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54C014-466A-4104-9BB5-378E6CA41294}" xr6:coauthVersionLast="47" xr6:coauthVersionMax="47" xr10:uidLastSave="{00000000-0000-0000-0000-000000000000}"/>
  <bookViews>
    <workbookView xWindow="-120" yWindow="-120" windowWidth="38640" windowHeight="15720" tabRatio="681" activeTab="2"/>
  </bookViews>
  <sheets>
    <sheet name="EnronVal" sheetId="50" r:id="rId1"/>
    <sheet name="EnronSumm" sheetId="51" r:id="rId2"/>
    <sheet name="FPLE_Wind Summary" sheetId="49" r:id="rId3"/>
    <sheet name="Cerro Gordo" sheetId="31" r:id="rId4"/>
    <sheet name="Southwest Mesa" sheetId="32" r:id="rId5"/>
    <sheet name="Vansycle" sheetId="33" r:id="rId6"/>
    <sheet name="Cameron" sheetId="34" r:id="rId7"/>
    <sheet name="Pacific Crest" sheetId="35" r:id="rId8"/>
    <sheet name="Sky River" sheetId="36" r:id="rId9"/>
    <sheet name="Ridgetop" sheetId="37" r:id="rId10"/>
    <sheet name="Green Ridge" sheetId="38" r:id="rId11"/>
    <sheet name="Mojave 16-18" sheetId="39" r:id="rId12"/>
    <sheet name="Morwind" sheetId="40" r:id="rId13"/>
    <sheet name="VG" sheetId="41" r:id="rId14"/>
    <sheet name="WPP 92" sheetId="42" r:id="rId15"/>
    <sheet name="WPP 91-2" sheetId="43" r:id="rId16"/>
    <sheet name="WPP 89" sheetId="44" r:id="rId17"/>
    <sheet name="WPP 91" sheetId="45" r:id="rId18"/>
    <sheet name="WPP 90" sheetId="46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a" hidden="1">{"Income Statement",#N/A,FALSE,"CFMODEL";"Balance Sheet",#N/A,FALSE,"CFMODEL"}</definedName>
    <definedName name="AnnualHours">[1]Assumptions!#REF!</definedName>
    <definedName name="annualsummary">#REF!</definedName>
    <definedName name="b" hidden="1">{"SourcesUses",#N/A,TRUE,"CFMODEL";"TransOverview",#N/A,TRUE,"CFMODEL"}</definedName>
    <definedName name="Begin_Op">[4]Sum!$N$7</definedName>
    <definedName name="cherokee">#REF!</definedName>
    <definedName name="chillers">[5]PROJECTCONFIGURATION!$M$65</definedName>
    <definedName name="d" hidden="1">{"SourcesUses",#N/A,TRUE,#N/A;"TransOverview",#N/A,TRUE,"CFMODEL"}</definedName>
    <definedName name="doswell">#REF!</definedName>
    <definedName name="doswellct">#REF!</definedName>
    <definedName name="e" hidden="1">{"SourcesUses",#N/A,TRUE,"FundsFlow";"TransOverview",#N/A,TRUE,"FundsFlow"}</definedName>
    <definedName name="idc">#REF!</definedName>
    <definedName name="lamar">#REF!</definedName>
    <definedName name="Main_Table">'[2]Maintenance Reserves'!$D$22:$I$45</definedName>
    <definedName name="mainehydro">#REF!</definedName>
    <definedName name="mainethermal">#REF!</definedName>
    <definedName name="Maint_Accrual">[1]Assumptions!#REF!</definedName>
    <definedName name="marcushook50">#REF!</definedName>
    <definedName name="nelp">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6">Cameron!$A$1:$Y$164</definedName>
    <definedName name="_xlnm.Print_Area" localSheetId="3">'Cerro Gordo'!$A$1:$Y$164</definedName>
    <definedName name="_xlnm.Print_Area" localSheetId="2">'FPLE_Wind Summary'!$B$2:$K$40</definedName>
    <definedName name="_xlnm.Print_Area" localSheetId="10">'Green Ridge'!$A$1:$Y$164</definedName>
    <definedName name="_xlnm.Print_Area" localSheetId="11">'Mojave 16-18'!$A$1:$Y$164</definedName>
    <definedName name="_xlnm.Print_Area" localSheetId="12">Morwind!$A$1:$Y$164</definedName>
    <definedName name="_xlnm.Print_Area" localSheetId="7">'Pacific Crest'!$A$1:$Y$165</definedName>
    <definedName name="_xlnm.Print_Area" localSheetId="9">Ridgetop!$A$1:$Y$164</definedName>
    <definedName name="_xlnm.Print_Area" localSheetId="8">'Sky River'!$A$1:$Y$164</definedName>
    <definedName name="_xlnm.Print_Area" localSheetId="4">'Southwest Mesa'!$A$1:$Y$164</definedName>
    <definedName name="_xlnm.Print_Area" localSheetId="5">Vansycle!$A$1:$Y$164</definedName>
    <definedName name="_xlnm.Print_Area" localSheetId="13">VG!$A$1:$Y$164</definedName>
    <definedName name="_xlnm.Print_Area" localSheetId="16">'WPP 89'!$A$1:$Y$164</definedName>
    <definedName name="_xlnm.Print_Area" localSheetId="18">'WPP 90'!$A$1:$Y$164</definedName>
    <definedName name="_xlnm.Print_Area" localSheetId="17">'WPP 91'!$A$1:$Y$164</definedName>
    <definedName name="_xlnm.Print_Area" localSheetId="15">'WPP 91-2'!$A$1:$Y$164</definedName>
    <definedName name="_xlnm.Print_Area" localSheetId="14">'WPP 92'!$A$1:$Y$164</definedName>
    <definedName name="_xlnm.Print_Titles" localSheetId="6">Cameron!$1:$2</definedName>
    <definedName name="_xlnm.Print_Titles" localSheetId="10">'Green Ridge'!$1:$2</definedName>
    <definedName name="_xlnm.Print_Titles" localSheetId="11">'Mojave 16-18'!$1:$2</definedName>
    <definedName name="_xlnm.Print_Titles" localSheetId="12">Morwind!$1:$2</definedName>
    <definedName name="_xlnm.Print_Titles" localSheetId="7">'Pacific Crest'!$1:$2</definedName>
    <definedName name="_xlnm.Print_Titles" localSheetId="9">Ridgetop!$1:$2</definedName>
    <definedName name="_xlnm.Print_Titles" localSheetId="8">'Sky River'!$1:$2</definedName>
    <definedName name="_xlnm.Print_Titles" localSheetId="4">'Southwest Mesa'!$1:$2</definedName>
    <definedName name="_xlnm.Print_Titles" localSheetId="5">Vansycle!$1:$2</definedName>
    <definedName name="_xlnm.Print_Titles" localSheetId="13">VG!$1:$2</definedName>
    <definedName name="_xlnm.Print_Titles" localSheetId="16">'WPP 89'!$1:$2</definedName>
    <definedName name="_xlnm.Print_Titles" localSheetId="18">'WPP 90'!$1:$2</definedName>
    <definedName name="_xlnm.Print_Titles" localSheetId="17">'WPP 91'!$1:$2</definedName>
    <definedName name="_xlnm.Print_Titles" localSheetId="15">'WPP 91-2'!$1:$2</definedName>
    <definedName name="ProjectLife">'[6]Project Assumptions'!$I$15</definedName>
    <definedName name="segs8">#REF!</definedName>
    <definedName name="segs9">#REF!</definedName>
    <definedName name="StartMWh">'[3]Project Assumptions'!#REF!</definedName>
    <definedName name="valuationsummary">#REF!</definedName>
    <definedName name="Variable">[1]Assumptions!#REF!</definedName>
    <definedName name="WaterTreatmentVar">[1]Assumptions!#REF!</definedName>
    <definedName name="wind">#REF!</definedName>
    <definedName name="windincomesummary">#REF!</definedName>
    <definedName name="windvaluation">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E5" i="34" l="1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AA10" i="34"/>
  <c r="AB10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AA11" i="34"/>
  <c r="AB11" i="34"/>
  <c r="AA12" i="34"/>
  <c r="AB12" i="34"/>
  <c r="AA13" i="34"/>
  <c r="AB13" i="34"/>
  <c r="AA14" i="34"/>
  <c r="AB14" i="34"/>
  <c r="AA15" i="34"/>
  <c r="AB15" i="34"/>
  <c r="AA16" i="34"/>
  <c r="AB16" i="34"/>
  <c r="AA17" i="34"/>
  <c r="AB17" i="34"/>
  <c r="AA18" i="34"/>
  <c r="AB18" i="34"/>
  <c r="AA19" i="34"/>
  <c r="AB19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AA20" i="34"/>
  <c r="AB20" i="34"/>
  <c r="AA21" i="34"/>
  <c r="AB21" i="34"/>
  <c r="AA22" i="34"/>
  <c r="AB22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AA23" i="34"/>
  <c r="AB23" i="34"/>
  <c r="AA24" i="34"/>
  <c r="AB24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AA25" i="34"/>
  <c r="AB25" i="34"/>
  <c r="AA26" i="34"/>
  <c r="AB26" i="34"/>
  <c r="AA27" i="34"/>
  <c r="AB27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AA28" i="34"/>
  <c r="AB28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AA29" i="34"/>
  <c r="AB29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AA30" i="34"/>
  <c r="AB30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AA31" i="34"/>
  <c r="AB31" i="34"/>
  <c r="AA32" i="34"/>
  <c r="AB32" i="34"/>
  <c r="AA33" i="34"/>
  <c r="AB33" i="34"/>
  <c r="AA34" i="34"/>
  <c r="AB34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AA35" i="34"/>
  <c r="AB35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AA36" i="34"/>
  <c r="AB36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AA37" i="34"/>
  <c r="AB37" i="34"/>
  <c r="AA38" i="34"/>
  <c r="AB38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AA39" i="34"/>
  <c r="AB39" i="34"/>
  <c r="AA40" i="34"/>
  <c r="AB40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AA41" i="34"/>
  <c r="AB41" i="34"/>
  <c r="AA42" i="34"/>
  <c r="AB42" i="34"/>
  <c r="AA43" i="34"/>
  <c r="AB43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AA44" i="34"/>
  <c r="AB44" i="34"/>
  <c r="AA45" i="34"/>
  <c r="AB45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AA46" i="34"/>
  <c r="AB46" i="34"/>
  <c r="AA47" i="34"/>
  <c r="AB47" i="34"/>
  <c r="AA48" i="34"/>
  <c r="AB48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V49" i="34"/>
  <c r="W49" i="34"/>
  <c r="X49" i="34"/>
  <c r="Y49" i="34"/>
  <c r="AA49" i="34"/>
  <c r="AB49" i="34"/>
  <c r="AA50" i="34"/>
  <c r="AB50" i="34"/>
  <c r="E51" i="34"/>
  <c r="F51" i="34"/>
  <c r="G51" i="34"/>
  <c r="H51" i="34"/>
  <c r="I51" i="34"/>
  <c r="J51" i="34"/>
  <c r="K51" i="34"/>
  <c r="L51" i="34"/>
  <c r="M51" i="34"/>
  <c r="N51" i="34"/>
  <c r="O51" i="34"/>
  <c r="P51" i="34"/>
  <c r="Q51" i="34"/>
  <c r="R51" i="34"/>
  <c r="S51" i="34"/>
  <c r="T51" i="34"/>
  <c r="U51" i="34"/>
  <c r="V51" i="34"/>
  <c r="W51" i="34"/>
  <c r="X51" i="34"/>
  <c r="Y51" i="34"/>
  <c r="AA51" i="34"/>
  <c r="AB51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Q52" i="34"/>
  <c r="R52" i="34"/>
  <c r="S52" i="34"/>
  <c r="T52" i="34"/>
  <c r="U52" i="34"/>
  <c r="V52" i="34"/>
  <c r="W52" i="34"/>
  <c r="X52" i="34"/>
  <c r="Y52" i="34"/>
  <c r="AA52" i="34"/>
  <c r="AB52" i="34"/>
  <c r="AA53" i="34"/>
  <c r="AB53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AA54" i="34"/>
  <c r="AB54" i="34"/>
  <c r="AA55" i="34"/>
  <c r="AB55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R56" i="34"/>
  <c r="S56" i="34"/>
  <c r="T56" i="34"/>
  <c r="U56" i="34"/>
  <c r="V56" i="34"/>
  <c r="W56" i="34"/>
  <c r="X56" i="34"/>
  <c r="Y56" i="34"/>
  <c r="AA56" i="34"/>
  <c r="AB56" i="34"/>
  <c r="E57" i="34"/>
  <c r="AA57" i="34"/>
  <c r="AB57" i="34"/>
  <c r="AA58" i="34"/>
  <c r="AB58" i="34"/>
  <c r="AA59" i="34"/>
  <c r="AB59" i="34"/>
  <c r="AA60" i="34"/>
  <c r="AB60" i="34"/>
  <c r="AA61" i="34"/>
  <c r="AB61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AA62" i="34"/>
  <c r="AB62" i="34"/>
  <c r="AA63" i="34"/>
  <c r="AB63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Q64" i="34"/>
  <c r="R64" i="34"/>
  <c r="S64" i="34"/>
  <c r="T64" i="34"/>
  <c r="U64" i="34"/>
  <c r="V64" i="34"/>
  <c r="W64" i="34"/>
  <c r="X64" i="34"/>
  <c r="Y64" i="34"/>
  <c r="AA64" i="34"/>
  <c r="AB64" i="34"/>
  <c r="AA65" i="34"/>
  <c r="AB65" i="34"/>
  <c r="F66" i="34"/>
  <c r="G66" i="34"/>
  <c r="H66" i="34"/>
  <c r="I66" i="34"/>
  <c r="J66" i="34"/>
  <c r="K66" i="34"/>
  <c r="L66" i="34"/>
  <c r="M66" i="34"/>
  <c r="N66" i="34"/>
  <c r="O66" i="34"/>
  <c r="P66" i="34"/>
  <c r="Q66" i="34"/>
  <c r="R66" i="34"/>
  <c r="S66" i="34"/>
  <c r="T66" i="34"/>
  <c r="U66" i="34"/>
  <c r="V66" i="34"/>
  <c r="W66" i="34"/>
  <c r="X66" i="34"/>
  <c r="Y66" i="34"/>
  <c r="AA66" i="34"/>
  <c r="AB66" i="34"/>
  <c r="AA67" i="34"/>
  <c r="AB67" i="34"/>
  <c r="F68" i="34"/>
  <c r="G68" i="34"/>
  <c r="H68" i="34"/>
  <c r="I68" i="34"/>
  <c r="J68" i="34"/>
  <c r="K68" i="34"/>
  <c r="L68" i="34"/>
  <c r="M68" i="34"/>
  <c r="N68" i="34"/>
  <c r="O68" i="34"/>
  <c r="P68" i="34"/>
  <c r="Q68" i="34"/>
  <c r="R68" i="34"/>
  <c r="S68" i="34"/>
  <c r="T68" i="34"/>
  <c r="U68" i="34"/>
  <c r="V68" i="34"/>
  <c r="W68" i="34"/>
  <c r="X68" i="34"/>
  <c r="Y68" i="34"/>
  <c r="AA68" i="34"/>
  <c r="AB68" i="34"/>
  <c r="E69" i="34"/>
  <c r="F69" i="34"/>
  <c r="G69" i="34"/>
  <c r="H69" i="34"/>
  <c r="I69" i="34"/>
  <c r="J69" i="34"/>
  <c r="K69" i="34"/>
  <c r="L69" i="34"/>
  <c r="M69" i="34"/>
  <c r="N69" i="34"/>
  <c r="O69" i="34"/>
  <c r="P69" i="34"/>
  <c r="Q69" i="34"/>
  <c r="R69" i="34"/>
  <c r="S69" i="34"/>
  <c r="T69" i="34"/>
  <c r="U69" i="34"/>
  <c r="V69" i="34"/>
  <c r="W69" i="34"/>
  <c r="X69" i="34"/>
  <c r="Y69" i="34"/>
  <c r="AA69" i="34"/>
  <c r="AB69" i="34"/>
  <c r="AA70" i="34"/>
  <c r="AB70" i="34"/>
  <c r="E71" i="34"/>
  <c r="F71" i="34"/>
  <c r="G71" i="34"/>
  <c r="H71" i="34"/>
  <c r="I71" i="34"/>
  <c r="J71" i="34"/>
  <c r="K71" i="34"/>
  <c r="L71" i="34"/>
  <c r="M71" i="34"/>
  <c r="N71" i="34"/>
  <c r="O71" i="34"/>
  <c r="P71" i="34"/>
  <c r="Q71" i="34"/>
  <c r="R71" i="34"/>
  <c r="S71" i="34"/>
  <c r="T71" i="34"/>
  <c r="U71" i="34"/>
  <c r="V71" i="34"/>
  <c r="W71" i="34"/>
  <c r="X71" i="34"/>
  <c r="Y71" i="34"/>
  <c r="AA71" i="34"/>
  <c r="AB71" i="34"/>
  <c r="AA72" i="34"/>
  <c r="AB72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AA73" i="34"/>
  <c r="AB73" i="34"/>
  <c r="AA74" i="34"/>
  <c r="AB74" i="34"/>
  <c r="AA75" i="34"/>
  <c r="AB75" i="34"/>
  <c r="C76" i="34"/>
  <c r="E76" i="34"/>
  <c r="F76" i="34"/>
  <c r="G76" i="34"/>
  <c r="H76" i="34"/>
  <c r="I76" i="34"/>
  <c r="J76" i="34"/>
  <c r="K76" i="34"/>
  <c r="L76" i="34"/>
  <c r="M76" i="34"/>
  <c r="N76" i="34"/>
  <c r="O76" i="34"/>
  <c r="P76" i="34"/>
  <c r="Q76" i="34"/>
  <c r="R76" i="34"/>
  <c r="S76" i="34"/>
  <c r="T76" i="34"/>
  <c r="U76" i="34"/>
  <c r="V76" i="34"/>
  <c r="W76" i="34"/>
  <c r="X76" i="34"/>
  <c r="Y76" i="34"/>
  <c r="AA76" i="34"/>
  <c r="AB76" i="34"/>
  <c r="C77" i="34"/>
  <c r="E77" i="34"/>
  <c r="F77" i="34"/>
  <c r="G77" i="34"/>
  <c r="H77" i="34"/>
  <c r="I77" i="34"/>
  <c r="J77" i="34"/>
  <c r="K77" i="34"/>
  <c r="L77" i="34"/>
  <c r="M77" i="34"/>
  <c r="N77" i="34"/>
  <c r="O77" i="34"/>
  <c r="P77" i="34"/>
  <c r="Q77" i="34"/>
  <c r="R77" i="34"/>
  <c r="S77" i="34"/>
  <c r="T77" i="34"/>
  <c r="U77" i="34"/>
  <c r="V77" i="34"/>
  <c r="W77" i="34"/>
  <c r="X77" i="34"/>
  <c r="Y77" i="34"/>
  <c r="AA77" i="34"/>
  <c r="AB77" i="34"/>
  <c r="AA78" i="34"/>
  <c r="AB78" i="34"/>
  <c r="AA79" i="34"/>
  <c r="AB79" i="34"/>
  <c r="AA80" i="34"/>
  <c r="AB80" i="34"/>
  <c r="AA81" i="34"/>
  <c r="AB81" i="34"/>
  <c r="AA82" i="34"/>
  <c r="AB82" i="34"/>
  <c r="AA83" i="34"/>
  <c r="AB83" i="34"/>
  <c r="AA84" i="34"/>
  <c r="AB84" i="34"/>
  <c r="AA85" i="34"/>
  <c r="AB85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AA86" i="34"/>
  <c r="AB86" i="34"/>
  <c r="AA87" i="34"/>
  <c r="AB87" i="34"/>
  <c r="F88" i="34"/>
  <c r="G88" i="34"/>
  <c r="H88" i="34"/>
  <c r="I88" i="34"/>
  <c r="J88" i="34"/>
  <c r="K88" i="34"/>
  <c r="L88" i="34"/>
  <c r="M88" i="34"/>
  <c r="N88" i="34"/>
  <c r="O88" i="34"/>
  <c r="P88" i="34"/>
  <c r="Q88" i="34"/>
  <c r="R88" i="34"/>
  <c r="S88" i="34"/>
  <c r="T88" i="34"/>
  <c r="U88" i="34"/>
  <c r="V88" i="34"/>
  <c r="W88" i="34"/>
  <c r="X88" i="34"/>
  <c r="Y88" i="34"/>
  <c r="AA88" i="34"/>
  <c r="AB88" i="34"/>
  <c r="F89" i="34"/>
  <c r="G89" i="34"/>
  <c r="H89" i="34"/>
  <c r="I89" i="34"/>
  <c r="J89" i="34"/>
  <c r="K89" i="34"/>
  <c r="L89" i="34"/>
  <c r="M89" i="34"/>
  <c r="N89" i="34"/>
  <c r="O89" i="34"/>
  <c r="P89" i="34"/>
  <c r="Q89" i="34"/>
  <c r="R89" i="34"/>
  <c r="S89" i="34"/>
  <c r="T89" i="34"/>
  <c r="U89" i="34"/>
  <c r="V89" i="34"/>
  <c r="W89" i="34"/>
  <c r="X89" i="34"/>
  <c r="Y89" i="34"/>
  <c r="AA89" i="34"/>
  <c r="AB89" i="34"/>
  <c r="F90" i="34"/>
  <c r="G90" i="34"/>
  <c r="H90" i="34"/>
  <c r="I90" i="34"/>
  <c r="J90" i="34"/>
  <c r="K90" i="34"/>
  <c r="L90" i="34"/>
  <c r="M90" i="34"/>
  <c r="N90" i="34"/>
  <c r="O90" i="34"/>
  <c r="P90" i="34"/>
  <c r="Q90" i="34"/>
  <c r="R90" i="34"/>
  <c r="S90" i="34"/>
  <c r="T90" i="34"/>
  <c r="U90" i="34"/>
  <c r="V90" i="34"/>
  <c r="W90" i="34"/>
  <c r="X90" i="34"/>
  <c r="Y90" i="34"/>
  <c r="AA90" i="34"/>
  <c r="AB90" i="34"/>
  <c r="Y91" i="34"/>
  <c r="AA91" i="34"/>
  <c r="AB91" i="34"/>
  <c r="F92" i="34"/>
  <c r="G92" i="34"/>
  <c r="H92" i="34"/>
  <c r="I92" i="34"/>
  <c r="J92" i="34"/>
  <c r="K92" i="34"/>
  <c r="L92" i="34"/>
  <c r="M92" i="34"/>
  <c r="N92" i="34"/>
  <c r="O92" i="34"/>
  <c r="P92" i="34"/>
  <c r="Q92" i="34"/>
  <c r="R92" i="34"/>
  <c r="S92" i="34"/>
  <c r="T92" i="34"/>
  <c r="U92" i="34"/>
  <c r="V92" i="34"/>
  <c r="W92" i="34"/>
  <c r="X92" i="34"/>
  <c r="Y92" i="34"/>
  <c r="AA92" i="34"/>
  <c r="AB92" i="34"/>
  <c r="AA93" i="34"/>
  <c r="AB93" i="34"/>
  <c r="AA94" i="34"/>
  <c r="AB94" i="34"/>
  <c r="E95" i="34"/>
  <c r="Y95" i="34"/>
  <c r="AA95" i="34"/>
  <c r="AB95" i="34"/>
  <c r="AA96" i="34"/>
  <c r="AB96" i="34"/>
  <c r="Y97" i="34"/>
  <c r="AA97" i="34"/>
  <c r="AB97" i="34"/>
  <c r="AA98" i="34"/>
  <c r="AB98" i="34"/>
  <c r="Y99" i="34"/>
  <c r="AA99" i="34"/>
  <c r="AB99" i="34"/>
  <c r="AA100" i="34"/>
  <c r="AB100" i="34"/>
  <c r="D101" i="34"/>
  <c r="H101" i="34"/>
  <c r="AA101" i="34"/>
  <c r="AB101" i="34"/>
  <c r="D102" i="34"/>
  <c r="AA102" i="34"/>
  <c r="AB102" i="34"/>
  <c r="D103" i="34"/>
  <c r="AA103" i="34"/>
  <c r="AB103" i="34"/>
  <c r="AA104" i="34"/>
  <c r="AB104" i="34"/>
  <c r="D105" i="34"/>
  <c r="AA105" i="34"/>
  <c r="AB105" i="34"/>
  <c r="AA106" i="34"/>
  <c r="AB106" i="34"/>
  <c r="F107" i="34"/>
  <c r="G107" i="34"/>
  <c r="H107" i="34"/>
  <c r="I107" i="34"/>
  <c r="J107" i="34"/>
  <c r="K107" i="34"/>
  <c r="L107" i="34"/>
  <c r="M107" i="34"/>
  <c r="N107" i="34"/>
  <c r="O107" i="34"/>
  <c r="P107" i="34"/>
  <c r="Q107" i="34"/>
  <c r="R107" i="34"/>
  <c r="S107" i="34"/>
  <c r="T107" i="34"/>
  <c r="U107" i="34"/>
  <c r="V107" i="34"/>
  <c r="W107" i="34"/>
  <c r="X107" i="34"/>
  <c r="Y107" i="34"/>
  <c r="AA107" i="34"/>
  <c r="AB107" i="34"/>
  <c r="AA108" i="34"/>
  <c r="AB108" i="34"/>
  <c r="D109" i="34"/>
  <c r="F109" i="34"/>
  <c r="G109" i="34"/>
  <c r="H109" i="34"/>
  <c r="I109" i="34"/>
  <c r="J109" i="34"/>
  <c r="K109" i="34"/>
  <c r="L109" i="34"/>
  <c r="M109" i="34"/>
  <c r="N109" i="34"/>
  <c r="O109" i="34"/>
  <c r="P109" i="34"/>
  <c r="Q109" i="34"/>
  <c r="R109" i="34"/>
  <c r="S109" i="34"/>
  <c r="T109" i="34"/>
  <c r="U109" i="34"/>
  <c r="V109" i="34"/>
  <c r="W109" i="34"/>
  <c r="X109" i="34"/>
  <c r="Y109" i="34"/>
  <c r="AA109" i="34"/>
  <c r="AB109" i="34"/>
  <c r="D110" i="34"/>
  <c r="F110" i="34"/>
  <c r="G110" i="34"/>
  <c r="H110" i="34"/>
  <c r="I110" i="34"/>
  <c r="J110" i="34"/>
  <c r="K110" i="34"/>
  <c r="L110" i="34"/>
  <c r="M110" i="34"/>
  <c r="N110" i="34"/>
  <c r="O110" i="34"/>
  <c r="P110" i="34"/>
  <c r="Q110" i="34"/>
  <c r="R110" i="34"/>
  <c r="S110" i="34"/>
  <c r="T110" i="34"/>
  <c r="U110" i="34"/>
  <c r="V110" i="34"/>
  <c r="W110" i="34"/>
  <c r="X110" i="34"/>
  <c r="Y110" i="34"/>
  <c r="AA110" i="34"/>
  <c r="AB110" i="34"/>
  <c r="AA111" i="34"/>
  <c r="AB111" i="34"/>
  <c r="AA112" i="34"/>
  <c r="AB112" i="34"/>
  <c r="D113" i="34"/>
  <c r="AA113" i="34"/>
  <c r="AB113" i="34"/>
  <c r="AA114" i="34"/>
  <c r="AB114" i="34"/>
  <c r="F115" i="34"/>
  <c r="G115" i="34"/>
  <c r="H115" i="34"/>
  <c r="I115" i="34"/>
  <c r="J115" i="34"/>
  <c r="K115" i="34"/>
  <c r="L115" i="34"/>
  <c r="M115" i="34"/>
  <c r="N115" i="34"/>
  <c r="O115" i="34"/>
  <c r="P115" i="34"/>
  <c r="Q115" i="34"/>
  <c r="R115" i="34"/>
  <c r="S115" i="34"/>
  <c r="T115" i="34"/>
  <c r="U115" i="34"/>
  <c r="V115" i="34"/>
  <c r="W115" i="34"/>
  <c r="X115" i="34"/>
  <c r="Y115" i="34"/>
  <c r="AA115" i="34"/>
  <c r="AB115" i="34"/>
  <c r="D116" i="34"/>
  <c r="F116" i="34"/>
  <c r="G116" i="34"/>
  <c r="H116" i="34"/>
  <c r="I116" i="34"/>
  <c r="J116" i="34"/>
  <c r="K116" i="34"/>
  <c r="L116" i="34"/>
  <c r="M116" i="34"/>
  <c r="N116" i="34"/>
  <c r="O116" i="34"/>
  <c r="P116" i="34"/>
  <c r="Q116" i="34"/>
  <c r="R116" i="34"/>
  <c r="S116" i="34"/>
  <c r="T116" i="34"/>
  <c r="U116" i="34"/>
  <c r="V116" i="34"/>
  <c r="W116" i="34"/>
  <c r="X116" i="34"/>
  <c r="Y116" i="34"/>
  <c r="AA116" i="34"/>
  <c r="AB116" i="34"/>
  <c r="AA117" i="34"/>
  <c r="AB117" i="34"/>
  <c r="AA118" i="34"/>
  <c r="AB118" i="34"/>
  <c r="F119" i="34"/>
  <c r="G119" i="34"/>
  <c r="H119" i="34"/>
  <c r="I119" i="34"/>
  <c r="J119" i="34"/>
  <c r="K119" i="34"/>
  <c r="L119" i="34"/>
  <c r="M119" i="34"/>
  <c r="N119" i="34"/>
  <c r="O119" i="34"/>
  <c r="P119" i="34"/>
  <c r="Q119" i="34"/>
  <c r="R119" i="34"/>
  <c r="S119" i="34"/>
  <c r="T119" i="34"/>
  <c r="U119" i="34"/>
  <c r="V119" i="34"/>
  <c r="W119" i="34"/>
  <c r="X119" i="34"/>
  <c r="Y119" i="34"/>
  <c r="AA119" i="34"/>
  <c r="AB119" i="34"/>
  <c r="AA120" i="34"/>
  <c r="AB120" i="34"/>
  <c r="A121" i="34"/>
  <c r="F121" i="34"/>
  <c r="G121" i="34"/>
  <c r="H121" i="34"/>
  <c r="I121" i="34"/>
  <c r="J121" i="34"/>
  <c r="K121" i="34"/>
  <c r="L121" i="34"/>
  <c r="M121" i="34"/>
  <c r="N121" i="34"/>
  <c r="O121" i="34"/>
  <c r="P121" i="34"/>
  <c r="Q121" i="34"/>
  <c r="R121" i="34"/>
  <c r="S121" i="34"/>
  <c r="T121" i="34"/>
  <c r="U121" i="34"/>
  <c r="V121" i="34"/>
  <c r="W121" i="34"/>
  <c r="X121" i="34"/>
  <c r="Y121" i="34"/>
  <c r="AA121" i="34"/>
  <c r="AB121" i="34"/>
  <c r="F122" i="34"/>
  <c r="G122" i="34"/>
  <c r="H122" i="34"/>
  <c r="I122" i="34"/>
  <c r="J122" i="34"/>
  <c r="K122" i="34"/>
  <c r="L122" i="34"/>
  <c r="M122" i="34"/>
  <c r="N122" i="34"/>
  <c r="O122" i="34"/>
  <c r="P122" i="34"/>
  <c r="Q122" i="34"/>
  <c r="R122" i="34"/>
  <c r="S122" i="34"/>
  <c r="T122" i="34"/>
  <c r="U122" i="34"/>
  <c r="V122" i="34"/>
  <c r="W122" i="34"/>
  <c r="X122" i="34"/>
  <c r="Y122" i="34"/>
  <c r="AA122" i="34"/>
  <c r="AB122" i="34"/>
  <c r="F123" i="34"/>
  <c r="G123" i="34"/>
  <c r="H123" i="34"/>
  <c r="I123" i="34"/>
  <c r="J123" i="34"/>
  <c r="K123" i="34"/>
  <c r="L123" i="34"/>
  <c r="M123" i="34"/>
  <c r="N123" i="34"/>
  <c r="O123" i="34"/>
  <c r="P123" i="34"/>
  <c r="Q123" i="34"/>
  <c r="R123" i="34"/>
  <c r="S123" i="34"/>
  <c r="T123" i="34"/>
  <c r="U123" i="34"/>
  <c r="V123" i="34"/>
  <c r="W123" i="34"/>
  <c r="X123" i="34"/>
  <c r="Y123" i="34"/>
  <c r="AA123" i="34"/>
  <c r="AB123" i="34"/>
  <c r="F124" i="34"/>
  <c r="G124" i="34"/>
  <c r="H124" i="34"/>
  <c r="I124" i="34"/>
  <c r="J124" i="34"/>
  <c r="K124" i="34"/>
  <c r="L124" i="34"/>
  <c r="M124" i="34"/>
  <c r="N124" i="34"/>
  <c r="O124" i="34"/>
  <c r="P124" i="34"/>
  <c r="Q124" i="34"/>
  <c r="R124" i="34"/>
  <c r="S124" i="34"/>
  <c r="T124" i="34"/>
  <c r="U124" i="34"/>
  <c r="V124" i="34"/>
  <c r="W124" i="34"/>
  <c r="X124" i="34"/>
  <c r="Y124" i="34"/>
  <c r="AA124" i="34"/>
  <c r="AB124" i="34"/>
  <c r="AA125" i="34"/>
  <c r="AB125" i="34"/>
  <c r="C126" i="34"/>
  <c r="F126" i="34"/>
  <c r="G126" i="34"/>
  <c r="H126" i="34"/>
  <c r="I126" i="34"/>
  <c r="J126" i="34"/>
  <c r="K126" i="34"/>
  <c r="L126" i="34"/>
  <c r="M126" i="34"/>
  <c r="N126" i="34"/>
  <c r="O126" i="34"/>
  <c r="P126" i="34"/>
  <c r="Q126" i="34"/>
  <c r="R126" i="34"/>
  <c r="S126" i="34"/>
  <c r="T126" i="34"/>
  <c r="U126" i="34"/>
  <c r="V126" i="34"/>
  <c r="W126" i="34"/>
  <c r="X126" i="34"/>
  <c r="Y126" i="34"/>
  <c r="AA126" i="34"/>
  <c r="AB126" i="34"/>
  <c r="C127" i="34"/>
  <c r="F127" i="34"/>
  <c r="G127" i="34"/>
  <c r="H127" i="34"/>
  <c r="I127" i="34"/>
  <c r="J127" i="34"/>
  <c r="K127" i="34"/>
  <c r="L127" i="34"/>
  <c r="M127" i="34"/>
  <c r="N127" i="34"/>
  <c r="O127" i="34"/>
  <c r="P127" i="34"/>
  <c r="Q127" i="34"/>
  <c r="R127" i="34"/>
  <c r="S127" i="34"/>
  <c r="T127" i="34"/>
  <c r="U127" i="34"/>
  <c r="V127" i="34"/>
  <c r="W127" i="34"/>
  <c r="X127" i="34"/>
  <c r="Y127" i="34"/>
  <c r="AA127" i="34"/>
  <c r="AB127" i="34"/>
  <c r="AA128" i="34"/>
  <c r="AB128" i="34"/>
  <c r="AA129" i="34"/>
  <c r="AB129" i="34"/>
  <c r="AA130" i="34"/>
  <c r="AB130" i="34"/>
  <c r="AA131" i="34"/>
  <c r="AB131" i="34"/>
  <c r="AA132" i="34"/>
  <c r="AB132" i="34"/>
  <c r="AA133" i="34"/>
  <c r="AB133" i="34"/>
  <c r="AA134" i="34"/>
  <c r="AB134" i="34"/>
  <c r="F135" i="34"/>
  <c r="G135" i="34"/>
  <c r="H135" i="34"/>
  <c r="I135" i="34"/>
  <c r="J135" i="34"/>
  <c r="K135" i="34"/>
  <c r="L135" i="34"/>
  <c r="M135" i="34"/>
  <c r="N135" i="34"/>
  <c r="O135" i="34"/>
  <c r="P135" i="34"/>
  <c r="Q135" i="34"/>
  <c r="R135" i="34"/>
  <c r="S135" i="34"/>
  <c r="T135" i="34"/>
  <c r="U135" i="34"/>
  <c r="V135" i="34"/>
  <c r="W135" i="34"/>
  <c r="X135" i="34"/>
  <c r="Y135" i="34"/>
  <c r="AA135" i="34"/>
  <c r="AB135" i="34"/>
  <c r="AA136" i="34"/>
  <c r="AB136" i="34"/>
  <c r="F137" i="34"/>
  <c r="G137" i="34"/>
  <c r="H137" i="34"/>
  <c r="I137" i="34"/>
  <c r="J137" i="34"/>
  <c r="K137" i="34"/>
  <c r="L137" i="34"/>
  <c r="M137" i="34"/>
  <c r="N137" i="34"/>
  <c r="O137" i="34"/>
  <c r="P137" i="34"/>
  <c r="Q137" i="34"/>
  <c r="R137" i="34"/>
  <c r="S137" i="34"/>
  <c r="T137" i="34"/>
  <c r="U137" i="34"/>
  <c r="V137" i="34"/>
  <c r="W137" i="34"/>
  <c r="X137" i="34"/>
  <c r="Y137" i="34"/>
  <c r="AA137" i="34"/>
  <c r="AB137" i="34"/>
  <c r="F138" i="34"/>
  <c r="G138" i="34"/>
  <c r="H138" i="34"/>
  <c r="I138" i="34"/>
  <c r="J138" i="34"/>
  <c r="K138" i="34"/>
  <c r="L138" i="34"/>
  <c r="M138" i="34"/>
  <c r="N138" i="34"/>
  <c r="O138" i="34"/>
  <c r="P138" i="34"/>
  <c r="Q138" i="34"/>
  <c r="R138" i="34"/>
  <c r="S138" i="34"/>
  <c r="T138" i="34"/>
  <c r="U138" i="34"/>
  <c r="V138" i="34"/>
  <c r="W138" i="34"/>
  <c r="X138" i="34"/>
  <c r="Y138" i="34"/>
  <c r="AA138" i="34"/>
  <c r="AB138" i="34"/>
  <c r="F139" i="34"/>
  <c r="G139" i="34"/>
  <c r="H139" i="34"/>
  <c r="I139" i="34"/>
  <c r="J139" i="34"/>
  <c r="K139" i="34"/>
  <c r="L139" i="34"/>
  <c r="M139" i="34"/>
  <c r="N139" i="34"/>
  <c r="O139" i="34"/>
  <c r="P139" i="34"/>
  <c r="Q139" i="34"/>
  <c r="R139" i="34"/>
  <c r="S139" i="34"/>
  <c r="T139" i="34"/>
  <c r="U139" i="34"/>
  <c r="V139" i="34"/>
  <c r="W139" i="34"/>
  <c r="X139" i="34"/>
  <c r="Y139" i="34"/>
  <c r="AA139" i="34"/>
  <c r="AB139" i="34"/>
  <c r="C140" i="34"/>
  <c r="F140" i="34"/>
  <c r="G140" i="34"/>
  <c r="H140" i="34"/>
  <c r="I140" i="34"/>
  <c r="J140" i="34"/>
  <c r="K140" i="34"/>
  <c r="L140" i="34"/>
  <c r="M140" i="34"/>
  <c r="N140" i="34"/>
  <c r="O140" i="34"/>
  <c r="P140" i="34"/>
  <c r="Q140" i="34"/>
  <c r="R140" i="34"/>
  <c r="S140" i="34"/>
  <c r="T140" i="34"/>
  <c r="U140" i="34"/>
  <c r="V140" i="34"/>
  <c r="W140" i="34"/>
  <c r="X140" i="34"/>
  <c r="Y140" i="34"/>
  <c r="AA140" i="34"/>
  <c r="AB140" i="34"/>
  <c r="C141" i="34"/>
  <c r="F141" i="34"/>
  <c r="G141" i="34"/>
  <c r="H141" i="34"/>
  <c r="I141" i="34"/>
  <c r="J141" i="34"/>
  <c r="K141" i="34"/>
  <c r="L141" i="34"/>
  <c r="M141" i="34"/>
  <c r="N141" i="34"/>
  <c r="O141" i="34"/>
  <c r="P141" i="34"/>
  <c r="Q141" i="34"/>
  <c r="R141" i="34"/>
  <c r="S141" i="34"/>
  <c r="T141" i="34"/>
  <c r="U141" i="34"/>
  <c r="V141" i="34"/>
  <c r="W141" i="34"/>
  <c r="X141" i="34"/>
  <c r="Y141" i="34"/>
  <c r="AA141" i="34"/>
  <c r="AB141" i="34"/>
  <c r="F142" i="34"/>
  <c r="G142" i="34"/>
  <c r="H142" i="34"/>
  <c r="I142" i="34"/>
  <c r="J142" i="34"/>
  <c r="K142" i="34"/>
  <c r="L142" i="34"/>
  <c r="M142" i="34"/>
  <c r="N142" i="34"/>
  <c r="O142" i="34"/>
  <c r="P142" i="34"/>
  <c r="Q142" i="34"/>
  <c r="R142" i="34"/>
  <c r="S142" i="34"/>
  <c r="T142" i="34"/>
  <c r="U142" i="34"/>
  <c r="V142" i="34"/>
  <c r="W142" i="34"/>
  <c r="X142" i="34"/>
  <c r="Y142" i="34"/>
  <c r="AA142" i="34"/>
  <c r="AB142" i="34"/>
  <c r="AA143" i="34"/>
  <c r="AB143" i="34"/>
  <c r="A144" i="34"/>
  <c r="F144" i="34"/>
  <c r="G144" i="34"/>
  <c r="H144" i="34"/>
  <c r="I144" i="34"/>
  <c r="J144" i="34"/>
  <c r="K144" i="34"/>
  <c r="L144" i="34"/>
  <c r="M144" i="34"/>
  <c r="N144" i="34"/>
  <c r="O144" i="34"/>
  <c r="P144" i="34"/>
  <c r="Q144" i="34"/>
  <c r="R144" i="34"/>
  <c r="S144" i="34"/>
  <c r="T144" i="34"/>
  <c r="U144" i="34"/>
  <c r="V144" i="34"/>
  <c r="W144" i="34"/>
  <c r="X144" i="34"/>
  <c r="Y144" i="34"/>
  <c r="AA144" i="34"/>
  <c r="AB144" i="34"/>
  <c r="F145" i="34"/>
  <c r="G145" i="34"/>
  <c r="H145" i="34"/>
  <c r="I145" i="34"/>
  <c r="J145" i="34"/>
  <c r="K145" i="34"/>
  <c r="L145" i="34"/>
  <c r="M145" i="34"/>
  <c r="N145" i="34"/>
  <c r="O145" i="34"/>
  <c r="P145" i="34"/>
  <c r="Q145" i="34"/>
  <c r="R145" i="34"/>
  <c r="S145" i="34"/>
  <c r="T145" i="34"/>
  <c r="U145" i="34"/>
  <c r="V145" i="34"/>
  <c r="W145" i="34"/>
  <c r="X145" i="34"/>
  <c r="Y145" i="34"/>
  <c r="AA145" i="34"/>
  <c r="AB145" i="34"/>
  <c r="AA146" i="34"/>
  <c r="AB146" i="34"/>
  <c r="F147" i="34"/>
  <c r="G147" i="34"/>
  <c r="H147" i="34"/>
  <c r="I147" i="34"/>
  <c r="J147" i="34"/>
  <c r="K147" i="34"/>
  <c r="L147" i="34"/>
  <c r="M147" i="34"/>
  <c r="N147" i="34"/>
  <c r="O147" i="34"/>
  <c r="P147" i="34"/>
  <c r="Q147" i="34"/>
  <c r="R147" i="34"/>
  <c r="S147" i="34"/>
  <c r="T147" i="34"/>
  <c r="U147" i="34"/>
  <c r="V147" i="34"/>
  <c r="W147" i="34"/>
  <c r="X147" i="34"/>
  <c r="Y147" i="34"/>
  <c r="AA147" i="34"/>
  <c r="AB147" i="34"/>
  <c r="AA148" i="34"/>
  <c r="AB148" i="34"/>
  <c r="AA149" i="34"/>
  <c r="AB149" i="34"/>
  <c r="A150" i="34"/>
  <c r="F150" i="34"/>
  <c r="G150" i="34"/>
  <c r="H150" i="34"/>
  <c r="I150" i="34"/>
  <c r="J150" i="34"/>
  <c r="K150" i="34"/>
  <c r="L150" i="34"/>
  <c r="M150" i="34"/>
  <c r="N150" i="34"/>
  <c r="O150" i="34"/>
  <c r="P150" i="34"/>
  <c r="Q150" i="34"/>
  <c r="R150" i="34"/>
  <c r="S150" i="34"/>
  <c r="T150" i="34"/>
  <c r="U150" i="34"/>
  <c r="V150" i="34"/>
  <c r="W150" i="34"/>
  <c r="X150" i="34"/>
  <c r="Y150" i="34"/>
  <c r="AA150" i="34"/>
  <c r="AB150" i="34"/>
  <c r="AA151" i="34"/>
  <c r="AB151" i="34"/>
  <c r="F152" i="34"/>
  <c r="G152" i="34"/>
  <c r="H152" i="34"/>
  <c r="I152" i="34"/>
  <c r="J152" i="34"/>
  <c r="K152" i="34"/>
  <c r="L152" i="34"/>
  <c r="M152" i="34"/>
  <c r="N152" i="34"/>
  <c r="O152" i="34"/>
  <c r="P152" i="34"/>
  <c r="Q152" i="34"/>
  <c r="R152" i="34"/>
  <c r="S152" i="34"/>
  <c r="T152" i="34"/>
  <c r="U152" i="34"/>
  <c r="V152" i="34"/>
  <c r="W152" i="34"/>
  <c r="X152" i="34"/>
  <c r="Y152" i="34"/>
  <c r="AA152" i="34"/>
  <c r="C155" i="34"/>
  <c r="D160" i="34"/>
  <c r="D161" i="34"/>
  <c r="D162" i="34"/>
  <c r="D163" i="34"/>
  <c r="C177" i="34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AA10" i="31"/>
  <c r="AB10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AA11" i="31"/>
  <c r="AB11" i="31"/>
  <c r="AA12" i="31"/>
  <c r="AB12" i="31"/>
  <c r="AA13" i="31"/>
  <c r="AB13" i="31"/>
  <c r="AA14" i="31"/>
  <c r="AB14" i="31"/>
  <c r="AA15" i="31"/>
  <c r="AB15" i="31"/>
  <c r="AA16" i="31"/>
  <c r="AB16" i="31"/>
  <c r="AA17" i="31"/>
  <c r="AB17" i="31"/>
  <c r="AA18" i="31"/>
  <c r="AB18" i="31"/>
  <c r="AA19" i="31"/>
  <c r="AB19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AA20" i="31"/>
  <c r="AB20" i="31"/>
  <c r="AA21" i="31"/>
  <c r="AB21" i="31"/>
  <c r="AA22" i="31"/>
  <c r="AB22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AA23" i="31"/>
  <c r="AB23" i="31"/>
  <c r="AA24" i="31"/>
  <c r="AB24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AA25" i="31"/>
  <c r="AB25" i="31"/>
  <c r="AA26" i="31"/>
  <c r="AB26" i="31"/>
  <c r="AA27" i="31"/>
  <c r="AB27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AA28" i="31"/>
  <c r="AB28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AA29" i="31"/>
  <c r="AB29" i="31"/>
  <c r="AA30" i="31"/>
  <c r="AB30" i="31"/>
  <c r="AA31" i="31"/>
  <c r="AB31" i="31"/>
  <c r="AA32" i="31"/>
  <c r="AB32" i="31"/>
  <c r="AA33" i="31"/>
  <c r="AB33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AA34" i="31"/>
  <c r="AB34" i="31"/>
  <c r="AA35" i="31"/>
  <c r="AB35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AA36" i="31"/>
  <c r="AB36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AA37" i="31"/>
  <c r="AB37" i="31"/>
  <c r="AA38" i="31"/>
  <c r="AB38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AA39" i="31"/>
  <c r="AB39" i="31"/>
  <c r="AA40" i="31"/>
  <c r="AB40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AA41" i="31"/>
  <c r="AB41" i="31"/>
  <c r="AA42" i="31"/>
  <c r="AB42" i="31"/>
  <c r="AA43" i="31"/>
  <c r="AB43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AA44" i="31"/>
  <c r="AB44" i="31"/>
  <c r="AA45" i="31"/>
  <c r="AB45" i="31"/>
  <c r="AA46" i="31"/>
  <c r="AB46" i="31"/>
  <c r="AA47" i="31"/>
  <c r="AB47" i="31"/>
  <c r="AA48" i="31"/>
  <c r="AB48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AA49" i="31"/>
  <c r="AB49" i="31"/>
  <c r="AA50" i="31"/>
  <c r="AB50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AA51" i="31"/>
  <c r="AB51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T52" i="31"/>
  <c r="U52" i="31"/>
  <c r="V52" i="31"/>
  <c r="W52" i="31"/>
  <c r="X52" i="31"/>
  <c r="Y52" i="31"/>
  <c r="AA52" i="31"/>
  <c r="AB52" i="31"/>
  <c r="AA53" i="31"/>
  <c r="AB53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AA54" i="31"/>
  <c r="AB54" i="31"/>
  <c r="AA55" i="31"/>
  <c r="AB55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AA56" i="31"/>
  <c r="AB56" i="31"/>
  <c r="E57" i="31"/>
  <c r="AA57" i="31"/>
  <c r="AB57" i="31"/>
  <c r="AA58" i="31"/>
  <c r="AB58" i="31"/>
  <c r="AA59" i="31"/>
  <c r="AB59" i="31"/>
  <c r="AA60" i="31"/>
  <c r="AB60" i="31"/>
  <c r="AA61" i="31"/>
  <c r="AB61" i="31"/>
  <c r="E62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T62" i="31"/>
  <c r="U62" i="31"/>
  <c r="V62" i="31"/>
  <c r="W62" i="31"/>
  <c r="X62" i="31"/>
  <c r="Y62" i="31"/>
  <c r="AA62" i="31"/>
  <c r="AB62" i="31"/>
  <c r="AA63" i="31"/>
  <c r="AB63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AA64" i="31"/>
  <c r="AB64" i="31"/>
  <c r="AA65" i="31"/>
  <c r="AB65" i="31"/>
  <c r="AA66" i="31"/>
  <c r="AB66" i="31"/>
  <c r="AA67" i="31"/>
  <c r="AB67" i="31"/>
  <c r="AA68" i="31"/>
  <c r="AB68" i="31"/>
  <c r="E69" i="31"/>
  <c r="F69" i="31"/>
  <c r="G69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AA69" i="31"/>
  <c r="AB69" i="31"/>
  <c r="AA70" i="31"/>
  <c r="AB70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AA71" i="31"/>
  <c r="AB71" i="31"/>
  <c r="AA72" i="31"/>
  <c r="AB72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AA73" i="31"/>
  <c r="AB73" i="31"/>
  <c r="AA74" i="31"/>
  <c r="AB74" i="31"/>
  <c r="AA75" i="31"/>
  <c r="AB75" i="31"/>
  <c r="C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AA76" i="31"/>
  <c r="AB76" i="31"/>
  <c r="C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AA77" i="31"/>
  <c r="AB77" i="31"/>
  <c r="AA78" i="31"/>
  <c r="AB78" i="31"/>
  <c r="AA79" i="31"/>
  <c r="AB79" i="31"/>
  <c r="AA80" i="31"/>
  <c r="AB80" i="31"/>
  <c r="AA81" i="31"/>
  <c r="AB81" i="31"/>
  <c r="AA82" i="31"/>
  <c r="AB82" i="31"/>
  <c r="AA83" i="31"/>
  <c r="AB83" i="31"/>
  <c r="AA84" i="31"/>
  <c r="AB84" i="31"/>
  <c r="AA85" i="31"/>
  <c r="AB85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AA86" i="31"/>
  <c r="AB86" i="31"/>
  <c r="AA87" i="31"/>
  <c r="AB87" i="31"/>
  <c r="F88" i="31"/>
  <c r="G88" i="31"/>
  <c r="H88" i="31"/>
  <c r="I88" i="31"/>
  <c r="J88" i="31"/>
  <c r="K88" i="31"/>
  <c r="L88" i="31"/>
  <c r="M88" i="31"/>
  <c r="N88" i="31"/>
  <c r="O88" i="31"/>
  <c r="P88" i="31"/>
  <c r="Q88" i="31"/>
  <c r="R88" i="31"/>
  <c r="S88" i="31"/>
  <c r="T88" i="31"/>
  <c r="U88" i="31"/>
  <c r="V88" i="31"/>
  <c r="W88" i="31"/>
  <c r="X88" i="31"/>
  <c r="Y88" i="31"/>
  <c r="AA88" i="31"/>
  <c r="AB88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AA89" i="31"/>
  <c r="AB89" i="31"/>
  <c r="F90" i="31"/>
  <c r="G90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T90" i="31"/>
  <c r="U90" i="31"/>
  <c r="V90" i="31"/>
  <c r="W90" i="31"/>
  <c r="X90" i="31"/>
  <c r="Y90" i="31"/>
  <c r="AA90" i="31"/>
  <c r="AB90" i="31"/>
  <c r="Y91" i="31"/>
  <c r="AA91" i="31"/>
  <c r="AB91" i="31"/>
  <c r="F92" i="31"/>
  <c r="G92" i="31"/>
  <c r="H92" i="31"/>
  <c r="I92" i="31"/>
  <c r="J92" i="31"/>
  <c r="K92" i="31"/>
  <c r="L92" i="31"/>
  <c r="M92" i="31"/>
  <c r="N92" i="31"/>
  <c r="O92" i="31"/>
  <c r="P92" i="31"/>
  <c r="Q92" i="31"/>
  <c r="R92" i="31"/>
  <c r="S92" i="31"/>
  <c r="T92" i="31"/>
  <c r="U92" i="31"/>
  <c r="V92" i="31"/>
  <c r="W92" i="31"/>
  <c r="X92" i="31"/>
  <c r="Y92" i="31"/>
  <c r="AA92" i="31"/>
  <c r="AB92" i="31"/>
  <c r="AA93" i="31"/>
  <c r="AB93" i="31"/>
  <c r="AA94" i="31"/>
  <c r="AB94" i="31"/>
  <c r="E95" i="31"/>
  <c r="Y95" i="31"/>
  <c r="AA95" i="31"/>
  <c r="AB95" i="31"/>
  <c r="AA96" i="31"/>
  <c r="AB96" i="31"/>
  <c r="Y97" i="31"/>
  <c r="AA97" i="31"/>
  <c r="AB97" i="31"/>
  <c r="AA98" i="31"/>
  <c r="AB98" i="31"/>
  <c r="Y99" i="31"/>
  <c r="AA99" i="31"/>
  <c r="AB99" i="31"/>
  <c r="AA100" i="31"/>
  <c r="AB100" i="31"/>
  <c r="AA101" i="31"/>
  <c r="AB101" i="31"/>
  <c r="D102" i="31"/>
  <c r="AA102" i="31"/>
  <c r="AB102" i="31"/>
  <c r="D103" i="31"/>
  <c r="AA103" i="31"/>
  <c r="AB103" i="31"/>
  <c r="AA104" i="31"/>
  <c r="AB104" i="31"/>
  <c r="D105" i="31"/>
  <c r="AA105" i="31"/>
  <c r="AB105" i="31"/>
  <c r="AA106" i="31"/>
  <c r="AB106" i="31"/>
  <c r="F107" i="31"/>
  <c r="G107" i="31"/>
  <c r="H107" i="31"/>
  <c r="I107" i="31"/>
  <c r="J107" i="31"/>
  <c r="K107" i="31"/>
  <c r="L107" i="31"/>
  <c r="M107" i="31"/>
  <c r="N107" i="31"/>
  <c r="O107" i="31"/>
  <c r="P107" i="31"/>
  <c r="Q107" i="31"/>
  <c r="R107" i="31"/>
  <c r="S107" i="31"/>
  <c r="T107" i="31"/>
  <c r="U107" i="31"/>
  <c r="V107" i="31"/>
  <c r="W107" i="31"/>
  <c r="X107" i="31"/>
  <c r="Y107" i="31"/>
  <c r="AA107" i="31"/>
  <c r="AB107" i="31"/>
  <c r="AA108" i="31"/>
  <c r="AB108" i="31"/>
  <c r="D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S109" i="31"/>
  <c r="T109" i="31"/>
  <c r="U109" i="31"/>
  <c r="V109" i="31"/>
  <c r="W109" i="31"/>
  <c r="X109" i="31"/>
  <c r="Y109" i="31"/>
  <c r="AA109" i="31"/>
  <c r="AB109" i="31"/>
  <c r="D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S110" i="31"/>
  <c r="T110" i="31"/>
  <c r="U110" i="31"/>
  <c r="V110" i="31"/>
  <c r="W110" i="31"/>
  <c r="X110" i="31"/>
  <c r="Y110" i="31"/>
  <c r="AA110" i="31"/>
  <c r="AB110" i="31"/>
  <c r="AA111" i="31"/>
  <c r="AB111" i="31"/>
  <c r="AA112" i="31"/>
  <c r="AB112" i="31"/>
  <c r="D113" i="31"/>
  <c r="AA113" i="31"/>
  <c r="AB113" i="31"/>
  <c r="AA114" i="31"/>
  <c r="AB114" i="31"/>
  <c r="F115" i="31"/>
  <c r="G115" i="31"/>
  <c r="H115" i="31"/>
  <c r="I115" i="31"/>
  <c r="J115" i="31"/>
  <c r="K115" i="31"/>
  <c r="L115" i="31"/>
  <c r="M115" i="31"/>
  <c r="N115" i="31"/>
  <c r="O115" i="31"/>
  <c r="P115" i="31"/>
  <c r="Q115" i="31"/>
  <c r="R115" i="31"/>
  <c r="S115" i="31"/>
  <c r="T115" i="31"/>
  <c r="U115" i="31"/>
  <c r="V115" i="31"/>
  <c r="W115" i="31"/>
  <c r="X115" i="31"/>
  <c r="Y115" i="31"/>
  <c r="AA115" i="31"/>
  <c r="AB115" i="31"/>
  <c r="D116" i="31"/>
  <c r="F116" i="31"/>
  <c r="G116" i="31"/>
  <c r="H116" i="31"/>
  <c r="I116" i="31"/>
  <c r="J116" i="31"/>
  <c r="K116" i="31"/>
  <c r="L116" i="31"/>
  <c r="M116" i="31"/>
  <c r="N116" i="31"/>
  <c r="O116" i="31"/>
  <c r="P116" i="31"/>
  <c r="Q116" i="31"/>
  <c r="R116" i="31"/>
  <c r="S116" i="31"/>
  <c r="T116" i="31"/>
  <c r="U116" i="31"/>
  <c r="V116" i="31"/>
  <c r="W116" i="31"/>
  <c r="X116" i="31"/>
  <c r="Y116" i="31"/>
  <c r="AA116" i="31"/>
  <c r="AB116" i="31"/>
  <c r="AA117" i="31"/>
  <c r="AB117" i="31"/>
  <c r="AA118" i="31"/>
  <c r="AB118" i="31"/>
  <c r="F119" i="31"/>
  <c r="G119" i="31"/>
  <c r="H119" i="31"/>
  <c r="I119" i="31"/>
  <c r="J119" i="31"/>
  <c r="K119" i="31"/>
  <c r="L119" i="31"/>
  <c r="M119" i="31"/>
  <c r="N119" i="31"/>
  <c r="O119" i="31"/>
  <c r="P119" i="31"/>
  <c r="Q119" i="31"/>
  <c r="R119" i="31"/>
  <c r="S119" i="31"/>
  <c r="T119" i="31"/>
  <c r="U119" i="31"/>
  <c r="V119" i="31"/>
  <c r="W119" i="31"/>
  <c r="X119" i="31"/>
  <c r="Y119" i="31"/>
  <c r="AA119" i="31"/>
  <c r="AB119" i="31"/>
  <c r="AA120" i="31"/>
  <c r="AB120" i="31"/>
  <c r="A121" i="31"/>
  <c r="F121" i="31"/>
  <c r="G121" i="31"/>
  <c r="H121" i="31"/>
  <c r="I121" i="31"/>
  <c r="J121" i="31"/>
  <c r="K121" i="31"/>
  <c r="L121" i="31"/>
  <c r="M121" i="31"/>
  <c r="N121" i="31"/>
  <c r="O121" i="31"/>
  <c r="P121" i="31"/>
  <c r="Q121" i="31"/>
  <c r="R121" i="31"/>
  <c r="S121" i="31"/>
  <c r="T121" i="31"/>
  <c r="U121" i="31"/>
  <c r="V121" i="31"/>
  <c r="W121" i="31"/>
  <c r="X121" i="31"/>
  <c r="Y121" i="31"/>
  <c r="AA121" i="31"/>
  <c r="AB121" i="31"/>
  <c r="F122" i="31"/>
  <c r="G122" i="31"/>
  <c r="H122" i="31"/>
  <c r="I122" i="31"/>
  <c r="J122" i="31"/>
  <c r="K122" i="31"/>
  <c r="L122" i="31"/>
  <c r="M122" i="31"/>
  <c r="N122" i="31"/>
  <c r="O122" i="31"/>
  <c r="P122" i="31"/>
  <c r="Q122" i="31"/>
  <c r="R122" i="31"/>
  <c r="S122" i="31"/>
  <c r="T122" i="31"/>
  <c r="U122" i="31"/>
  <c r="V122" i="31"/>
  <c r="W122" i="31"/>
  <c r="X122" i="31"/>
  <c r="Y122" i="31"/>
  <c r="AA122" i="31"/>
  <c r="AB122" i="31"/>
  <c r="F123" i="31"/>
  <c r="G123" i="31"/>
  <c r="H123" i="31"/>
  <c r="I123" i="31"/>
  <c r="J123" i="31"/>
  <c r="K123" i="31"/>
  <c r="L123" i="31"/>
  <c r="M123" i="31"/>
  <c r="N123" i="31"/>
  <c r="O123" i="31"/>
  <c r="P123" i="31"/>
  <c r="Q123" i="31"/>
  <c r="R123" i="31"/>
  <c r="S123" i="31"/>
  <c r="T123" i="31"/>
  <c r="U123" i="31"/>
  <c r="V123" i="31"/>
  <c r="W123" i="31"/>
  <c r="X123" i="31"/>
  <c r="Y123" i="31"/>
  <c r="AA123" i="31"/>
  <c r="AB123" i="31"/>
  <c r="F124" i="31"/>
  <c r="G124" i="31"/>
  <c r="H124" i="31"/>
  <c r="I124" i="31"/>
  <c r="J124" i="31"/>
  <c r="K124" i="31"/>
  <c r="L124" i="31"/>
  <c r="M124" i="31"/>
  <c r="N124" i="31"/>
  <c r="O124" i="31"/>
  <c r="P124" i="31"/>
  <c r="Q124" i="31"/>
  <c r="R124" i="31"/>
  <c r="S124" i="31"/>
  <c r="T124" i="31"/>
  <c r="U124" i="31"/>
  <c r="V124" i="31"/>
  <c r="W124" i="31"/>
  <c r="X124" i="31"/>
  <c r="Y124" i="31"/>
  <c r="AA124" i="31"/>
  <c r="AB124" i="31"/>
  <c r="AA125" i="31"/>
  <c r="AB125" i="31"/>
  <c r="C126" i="31"/>
  <c r="F126" i="31"/>
  <c r="G126" i="31"/>
  <c r="H126" i="31"/>
  <c r="I126" i="31"/>
  <c r="J126" i="31"/>
  <c r="K126" i="31"/>
  <c r="L126" i="31"/>
  <c r="M126" i="31"/>
  <c r="N126" i="31"/>
  <c r="O126" i="31"/>
  <c r="P126" i="31"/>
  <c r="Q126" i="31"/>
  <c r="R126" i="31"/>
  <c r="S126" i="31"/>
  <c r="T126" i="31"/>
  <c r="U126" i="31"/>
  <c r="V126" i="31"/>
  <c r="W126" i="31"/>
  <c r="X126" i="31"/>
  <c r="Y126" i="31"/>
  <c r="AA126" i="31"/>
  <c r="AB126" i="31"/>
  <c r="C127" i="31"/>
  <c r="F127" i="31"/>
  <c r="G127" i="31"/>
  <c r="H127" i="31"/>
  <c r="I127" i="31"/>
  <c r="J127" i="31"/>
  <c r="K127" i="31"/>
  <c r="L127" i="31"/>
  <c r="M127" i="31"/>
  <c r="N127" i="31"/>
  <c r="O127" i="31"/>
  <c r="P127" i="31"/>
  <c r="Q127" i="31"/>
  <c r="R127" i="31"/>
  <c r="S127" i="31"/>
  <c r="T127" i="31"/>
  <c r="U127" i="31"/>
  <c r="V127" i="31"/>
  <c r="W127" i="31"/>
  <c r="X127" i="31"/>
  <c r="Y127" i="31"/>
  <c r="AA127" i="31"/>
  <c r="AB127" i="31"/>
  <c r="AA128" i="31"/>
  <c r="AB128" i="31"/>
  <c r="AA129" i="31"/>
  <c r="AB129" i="31"/>
  <c r="AA130" i="31"/>
  <c r="AB130" i="31"/>
  <c r="AA131" i="31"/>
  <c r="AB131" i="31"/>
  <c r="AA132" i="31"/>
  <c r="AB132" i="31"/>
  <c r="AA133" i="31"/>
  <c r="AB133" i="31"/>
  <c r="AA134" i="31"/>
  <c r="AB134" i="31"/>
  <c r="F135" i="31"/>
  <c r="G135" i="31"/>
  <c r="H135" i="31"/>
  <c r="I135" i="31"/>
  <c r="J135" i="31"/>
  <c r="K135" i="31"/>
  <c r="L135" i="31"/>
  <c r="M135" i="31"/>
  <c r="N135" i="31"/>
  <c r="O135" i="31"/>
  <c r="P135" i="31"/>
  <c r="Q135" i="31"/>
  <c r="R135" i="31"/>
  <c r="S135" i="31"/>
  <c r="T135" i="31"/>
  <c r="U135" i="31"/>
  <c r="V135" i="31"/>
  <c r="W135" i="31"/>
  <c r="X135" i="31"/>
  <c r="Y135" i="31"/>
  <c r="AA135" i="31"/>
  <c r="AB135" i="31"/>
  <c r="AA136" i="31"/>
  <c r="AB136" i="31"/>
  <c r="F137" i="31"/>
  <c r="G137" i="31"/>
  <c r="H137" i="31"/>
  <c r="I137" i="31"/>
  <c r="J137" i="31"/>
  <c r="K137" i="31"/>
  <c r="L137" i="31"/>
  <c r="M137" i="31"/>
  <c r="N137" i="31"/>
  <c r="O137" i="31"/>
  <c r="P137" i="31"/>
  <c r="Q137" i="31"/>
  <c r="R137" i="31"/>
  <c r="S137" i="31"/>
  <c r="T137" i="31"/>
  <c r="U137" i="31"/>
  <c r="V137" i="31"/>
  <c r="W137" i="31"/>
  <c r="X137" i="31"/>
  <c r="Y137" i="31"/>
  <c r="AA137" i="31"/>
  <c r="AB137" i="31"/>
  <c r="F138" i="31"/>
  <c r="G138" i="31"/>
  <c r="H138" i="31"/>
  <c r="I138" i="31"/>
  <c r="J138" i="31"/>
  <c r="K138" i="31"/>
  <c r="L138" i="31"/>
  <c r="M138" i="31"/>
  <c r="N138" i="31"/>
  <c r="O138" i="31"/>
  <c r="P138" i="31"/>
  <c r="Q138" i="31"/>
  <c r="R138" i="31"/>
  <c r="S138" i="31"/>
  <c r="T138" i="31"/>
  <c r="U138" i="31"/>
  <c r="V138" i="31"/>
  <c r="W138" i="31"/>
  <c r="X138" i="31"/>
  <c r="Y138" i="31"/>
  <c r="AA138" i="31"/>
  <c r="AB138" i="31"/>
  <c r="F139" i="31"/>
  <c r="G139" i="31"/>
  <c r="H139" i="31"/>
  <c r="I139" i="31"/>
  <c r="J139" i="31"/>
  <c r="K139" i="31"/>
  <c r="L139" i="31"/>
  <c r="M139" i="31"/>
  <c r="N139" i="31"/>
  <c r="O139" i="31"/>
  <c r="P139" i="31"/>
  <c r="Q139" i="31"/>
  <c r="R139" i="31"/>
  <c r="S139" i="31"/>
  <c r="T139" i="31"/>
  <c r="U139" i="31"/>
  <c r="V139" i="31"/>
  <c r="W139" i="31"/>
  <c r="X139" i="31"/>
  <c r="Y139" i="31"/>
  <c r="AA139" i="31"/>
  <c r="AB139" i="31"/>
  <c r="C140" i="31"/>
  <c r="F140" i="31"/>
  <c r="G140" i="31"/>
  <c r="H140" i="31"/>
  <c r="I140" i="31"/>
  <c r="J140" i="31"/>
  <c r="K140" i="31"/>
  <c r="L140" i="31"/>
  <c r="M140" i="31"/>
  <c r="N140" i="31"/>
  <c r="O140" i="31"/>
  <c r="P140" i="31"/>
  <c r="Q140" i="31"/>
  <c r="R140" i="31"/>
  <c r="S140" i="31"/>
  <c r="T140" i="31"/>
  <c r="U140" i="31"/>
  <c r="V140" i="31"/>
  <c r="W140" i="31"/>
  <c r="X140" i="31"/>
  <c r="Y140" i="31"/>
  <c r="AA140" i="31"/>
  <c r="AB140" i="31"/>
  <c r="C141" i="31"/>
  <c r="F141" i="31"/>
  <c r="G141" i="31"/>
  <c r="H141" i="31"/>
  <c r="I141" i="31"/>
  <c r="J141" i="31"/>
  <c r="K141" i="31"/>
  <c r="L141" i="31"/>
  <c r="M141" i="31"/>
  <c r="N141" i="31"/>
  <c r="O141" i="31"/>
  <c r="P141" i="31"/>
  <c r="Q141" i="31"/>
  <c r="R141" i="31"/>
  <c r="S141" i="31"/>
  <c r="T141" i="31"/>
  <c r="U141" i="31"/>
  <c r="V141" i="31"/>
  <c r="W141" i="31"/>
  <c r="X141" i="31"/>
  <c r="Y141" i="31"/>
  <c r="AA141" i="31"/>
  <c r="AB141" i="31"/>
  <c r="F142" i="31"/>
  <c r="G142" i="31"/>
  <c r="H142" i="31"/>
  <c r="I142" i="31"/>
  <c r="J142" i="31"/>
  <c r="K142" i="31"/>
  <c r="L142" i="31"/>
  <c r="M142" i="31"/>
  <c r="N142" i="31"/>
  <c r="O142" i="31"/>
  <c r="P142" i="31"/>
  <c r="Q142" i="31"/>
  <c r="R142" i="31"/>
  <c r="S142" i="31"/>
  <c r="T142" i="31"/>
  <c r="U142" i="31"/>
  <c r="V142" i="31"/>
  <c r="W142" i="31"/>
  <c r="X142" i="31"/>
  <c r="Y142" i="31"/>
  <c r="AA142" i="31"/>
  <c r="AB142" i="31"/>
  <c r="AA143" i="31"/>
  <c r="AB143" i="31"/>
  <c r="A144" i="31"/>
  <c r="F144" i="31"/>
  <c r="G144" i="31"/>
  <c r="H144" i="31"/>
  <c r="I144" i="31"/>
  <c r="J144" i="31"/>
  <c r="K144" i="31"/>
  <c r="L144" i="31"/>
  <c r="M144" i="31"/>
  <c r="N144" i="31"/>
  <c r="O144" i="31"/>
  <c r="P144" i="31"/>
  <c r="Q144" i="31"/>
  <c r="R144" i="31"/>
  <c r="S144" i="31"/>
  <c r="T144" i="31"/>
  <c r="U144" i="31"/>
  <c r="V144" i="31"/>
  <c r="W144" i="31"/>
  <c r="X144" i="31"/>
  <c r="Y144" i="31"/>
  <c r="AA144" i="31"/>
  <c r="AB144" i="31"/>
  <c r="F145" i="31"/>
  <c r="G145" i="31"/>
  <c r="H145" i="31"/>
  <c r="I145" i="31"/>
  <c r="J145" i="31"/>
  <c r="K145" i="31"/>
  <c r="L145" i="31"/>
  <c r="M145" i="31"/>
  <c r="N145" i="31"/>
  <c r="O145" i="31"/>
  <c r="P145" i="31"/>
  <c r="Q145" i="31"/>
  <c r="R145" i="31"/>
  <c r="S145" i="31"/>
  <c r="T145" i="31"/>
  <c r="U145" i="31"/>
  <c r="V145" i="31"/>
  <c r="W145" i="31"/>
  <c r="X145" i="31"/>
  <c r="Y145" i="31"/>
  <c r="AA145" i="31"/>
  <c r="AB145" i="31"/>
  <c r="AA146" i="31"/>
  <c r="AB146" i="31"/>
  <c r="AA147" i="31"/>
  <c r="AB147" i="31"/>
  <c r="AA148" i="31"/>
  <c r="AB148" i="31"/>
  <c r="AA149" i="31"/>
  <c r="AB149" i="31"/>
  <c r="A150" i="31"/>
  <c r="F150" i="31"/>
  <c r="G150" i="31"/>
  <c r="H150" i="31"/>
  <c r="I150" i="31"/>
  <c r="J150" i="31"/>
  <c r="K150" i="31"/>
  <c r="L150" i="31"/>
  <c r="M150" i="31"/>
  <c r="N150" i="31"/>
  <c r="O150" i="31"/>
  <c r="P150" i="31"/>
  <c r="Q150" i="31"/>
  <c r="R150" i="31"/>
  <c r="S150" i="31"/>
  <c r="T150" i="31"/>
  <c r="U150" i="31"/>
  <c r="V150" i="31"/>
  <c r="W150" i="31"/>
  <c r="X150" i="31"/>
  <c r="Y150" i="31"/>
  <c r="AA150" i="31"/>
  <c r="AB150" i="31"/>
  <c r="AA151" i="31"/>
  <c r="AB151" i="31"/>
  <c r="F152" i="31"/>
  <c r="G152" i="31"/>
  <c r="H152" i="31"/>
  <c r="I152" i="31"/>
  <c r="J152" i="31"/>
  <c r="K152" i="31"/>
  <c r="L152" i="31"/>
  <c r="M152" i="31"/>
  <c r="N152" i="31"/>
  <c r="O152" i="31"/>
  <c r="P152" i="31"/>
  <c r="Q152" i="31"/>
  <c r="R152" i="31"/>
  <c r="S152" i="31"/>
  <c r="T152" i="31"/>
  <c r="U152" i="31"/>
  <c r="V152" i="31"/>
  <c r="W152" i="31"/>
  <c r="X152" i="31"/>
  <c r="Y152" i="31"/>
  <c r="AA152" i="31"/>
  <c r="C155" i="31"/>
  <c r="C156" i="31"/>
  <c r="D160" i="31"/>
  <c r="D162" i="31"/>
  <c r="D163" i="31"/>
  <c r="C177" i="31"/>
  <c r="G1" i="50"/>
  <c r="H1" i="50"/>
  <c r="I1" i="50"/>
  <c r="J1" i="50"/>
  <c r="K1" i="50"/>
  <c r="L1" i="50"/>
  <c r="M1" i="50"/>
  <c r="N1" i="50"/>
  <c r="O1" i="50"/>
  <c r="P1" i="50"/>
  <c r="Q1" i="50"/>
  <c r="R1" i="50"/>
  <c r="S1" i="50"/>
  <c r="T1" i="50"/>
  <c r="U1" i="50"/>
  <c r="V1" i="50"/>
  <c r="W1" i="50"/>
  <c r="X1" i="50"/>
  <c r="Y1" i="50"/>
  <c r="D13" i="50"/>
  <c r="B16" i="50"/>
  <c r="C16" i="50"/>
  <c r="D16" i="50"/>
  <c r="F16" i="50"/>
  <c r="G16" i="50"/>
  <c r="H16" i="50"/>
  <c r="I16" i="50"/>
  <c r="J16" i="50"/>
  <c r="K16" i="50"/>
  <c r="L16" i="50"/>
  <c r="M16" i="50"/>
  <c r="N16" i="50"/>
  <c r="O16" i="50"/>
  <c r="P16" i="50"/>
  <c r="Q16" i="50"/>
  <c r="R16" i="50"/>
  <c r="S16" i="50"/>
  <c r="T16" i="50"/>
  <c r="U16" i="50"/>
  <c r="V16" i="50"/>
  <c r="W16" i="50"/>
  <c r="B17" i="50"/>
  <c r="C17" i="50"/>
  <c r="D17" i="50"/>
  <c r="F17" i="50"/>
  <c r="G17" i="50"/>
  <c r="H17" i="50"/>
  <c r="I17" i="50"/>
  <c r="J17" i="50"/>
  <c r="K17" i="50"/>
  <c r="L17" i="50"/>
  <c r="M17" i="50"/>
  <c r="N17" i="50"/>
  <c r="O17" i="50"/>
  <c r="P17" i="50"/>
  <c r="Q17" i="50"/>
  <c r="R17" i="50"/>
  <c r="S17" i="50"/>
  <c r="T17" i="50"/>
  <c r="U17" i="50"/>
  <c r="V17" i="50"/>
  <c r="W17" i="50"/>
  <c r="B18" i="50"/>
  <c r="C18" i="50"/>
  <c r="D18" i="50"/>
  <c r="F18" i="50"/>
  <c r="G18" i="50"/>
  <c r="H18" i="50"/>
  <c r="I18" i="50"/>
  <c r="J18" i="50"/>
  <c r="K18" i="50"/>
  <c r="L18" i="50"/>
  <c r="M18" i="50"/>
  <c r="N18" i="50"/>
  <c r="O18" i="50"/>
  <c r="P18" i="50"/>
  <c r="Q18" i="50"/>
  <c r="R18" i="50"/>
  <c r="S18" i="50"/>
  <c r="T18" i="50"/>
  <c r="U18" i="50"/>
  <c r="V18" i="50"/>
  <c r="B23" i="50"/>
  <c r="C23" i="50"/>
  <c r="D23" i="50"/>
  <c r="F23" i="50"/>
  <c r="G23" i="50"/>
  <c r="H23" i="50"/>
  <c r="I23" i="50"/>
  <c r="J23" i="50"/>
  <c r="K23" i="50"/>
  <c r="L23" i="50"/>
  <c r="M23" i="50"/>
  <c r="N23" i="50"/>
  <c r="O23" i="50"/>
  <c r="P23" i="50"/>
  <c r="Q23" i="50"/>
  <c r="R23" i="50"/>
  <c r="S23" i="50"/>
  <c r="T23" i="50"/>
  <c r="U23" i="50"/>
  <c r="V23" i="50"/>
  <c r="W23" i="50"/>
  <c r="B24" i="50"/>
  <c r="C24" i="50"/>
  <c r="D24" i="50"/>
  <c r="F24" i="50"/>
  <c r="G24" i="50"/>
  <c r="H24" i="50"/>
  <c r="I24" i="50"/>
  <c r="J24" i="50"/>
  <c r="K24" i="50"/>
  <c r="L24" i="50"/>
  <c r="M24" i="50"/>
  <c r="N24" i="50"/>
  <c r="O24" i="50"/>
  <c r="P24" i="50"/>
  <c r="Q24" i="50"/>
  <c r="R24" i="50"/>
  <c r="S24" i="50"/>
  <c r="T24" i="50"/>
  <c r="U24" i="50"/>
  <c r="V24" i="50"/>
  <c r="W24" i="50"/>
  <c r="B25" i="50"/>
  <c r="C25" i="50"/>
  <c r="D25" i="50"/>
  <c r="F25" i="50"/>
  <c r="G25" i="50"/>
  <c r="H25" i="50"/>
  <c r="I25" i="50"/>
  <c r="J25" i="50"/>
  <c r="K25" i="50"/>
  <c r="L25" i="50"/>
  <c r="M25" i="50"/>
  <c r="N25" i="50"/>
  <c r="B29" i="50"/>
  <c r="C29" i="50"/>
  <c r="D29" i="50"/>
  <c r="F29" i="50"/>
  <c r="G29" i="50"/>
  <c r="H29" i="50"/>
  <c r="I29" i="50"/>
  <c r="J29" i="50"/>
  <c r="K29" i="50"/>
  <c r="L29" i="50"/>
  <c r="M29" i="50"/>
  <c r="N29" i="50"/>
  <c r="O29" i="50"/>
  <c r="P29" i="50"/>
  <c r="Q29" i="50"/>
  <c r="R29" i="50"/>
  <c r="S29" i="50"/>
  <c r="T29" i="50"/>
  <c r="U29" i="50"/>
  <c r="V29" i="50"/>
  <c r="W29" i="50"/>
  <c r="B30" i="50"/>
  <c r="C30" i="50"/>
  <c r="D30" i="50"/>
  <c r="F30" i="50"/>
  <c r="G30" i="50"/>
  <c r="H30" i="50"/>
  <c r="I30" i="50"/>
  <c r="J30" i="50"/>
  <c r="K30" i="50"/>
  <c r="L30" i="50"/>
  <c r="M30" i="50"/>
  <c r="N30" i="50"/>
  <c r="D9" i="49"/>
  <c r="F9" i="49"/>
  <c r="G9" i="49"/>
  <c r="H9" i="49"/>
  <c r="I9" i="49"/>
  <c r="J9" i="49"/>
  <c r="K9" i="49"/>
  <c r="L9" i="49"/>
  <c r="M9" i="49"/>
  <c r="D10" i="49"/>
  <c r="F10" i="49"/>
  <c r="G10" i="49"/>
  <c r="H10" i="49"/>
  <c r="I10" i="49"/>
  <c r="J10" i="49"/>
  <c r="K10" i="49"/>
  <c r="L10" i="49"/>
  <c r="M10" i="49"/>
  <c r="D11" i="49"/>
  <c r="F11" i="49"/>
  <c r="G11" i="49"/>
  <c r="H11" i="49"/>
  <c r="I11" i="49"/>
  <c r="J11" i="49"/>
  <c r="K11" i="49"/>
  <c r="L11" i="49"/>
  <c r="M11" i="49"/>
  <c r="C13" i="49"/>
  <c r="D13" i="49"/>
  <c r="E13" i="49"/>
  <c r="F13" i="49"/>
  <c r="H13" i="49"/>
  <c r="I13" i="49"/>
  <c r="J13" i="49"/>
  <c r="K13" i="49"/>
  <c r="L13" i="49"/>
  <c r="D16" i="49"/>
  <c r="F16" i="49"/>
  <c r="G16" i="49"/>
  <c r="H16" i="49"/>
  <c r="I16" i="49"/>
  <c r="J16" i="49"/>
  <c r="K16" i="49"/>
  <c r="L16" i="49"/>
  <c r="M16" i="49"/>
  <c r="D17" i="49"/>
  <c r="F17" i="49"/>
  <c r="G17" i="49"/>
  <c r="H17" i="49"/>
  <c r="I17" i="49"/>
  <c r="J17" i="49"/>
  <c r="K17" i="49"/>
  <c r="L17" i="49"/>
  <c r="M17" i="49"/>
  <c r="D18" i="49"/>
  <c r="F18" i="49"/>
  <c r="G18" i="49"/>
  <c r="H18" i="49"/>
  <c r="I18" i="49"/>
  <c r="J18" i="49"/>
  <c r="K18" i="49"/>
  <c r="L18" i="49"/>
  <c r="M18" i="49"/>
  <c r="D19" i="49"/>
  <c r="F19" i="49"/>
  <c r="G19" i="49"/>
  <c r="H19" i="49"/>
  <c r="I19" i="49"/>
  <c r="J19" i="49"/>
  <c r="K19" i="49"/>
  <c r="L19" i="49"/>
  <c r="M19" i="49"/>
  <c r="D20" i="49"/>
  <c r="F20" i="49"/>
  <c r="G20" i="49"/>
  <c r="H20" i="49"/>
  <c r="I20" i="49"/>
  <c r="J20" i="49"/>
  <c r="K20" i="49"/>
  <c r="L20" i="49"/>
  <c r="M20" i="49"/>
  <c r="D21" i="49"/>
  <c r="F21" i="49"/>
  <c r="G21" i="49"/>
  <c r="H21" i="49"/>
  <c r="I21" i="49"/>
  <c r="J21" i="49"/>
  <c r="K21" i="49"/>
  <c r="L21" i="49"/>
  <c r="M21" i="49"/>
  <c r="D22" i="49"/>
  <c r="F22" i="49"/>
  <c r="G22" i="49"/>
  <c r="H22" i="49"/>
  <c r="I22" i="49"/>
  <c r="J22" i="49"/>
  <c r="K22" i="49"/>
  <c r="L22" i="49"/>
  <c r="M22" i="49"/>
  <c r="D23" i="49"/>
  <c r="F23" i="49"/>
  <c r="G23" i="49"/>
  <c r="H23" i="49"/>
  <c r="I23" i="49"/>
  <c r="J23" i="49"/>
  <c r="K23" i="49"/>
  <c r="L23" i="49"/>
  <c r="M23" i="49"/>
  <c r="C25" i="49"/>
  <c r="D25" i="49"/>
  <c r="E25" i="49"/>
  <c r="F25" i="49"/>
  <c r="H25" i="49"/>
  <c r="I25" i="49"/>
  <c r="J25" i="49"/>
  <c r="K25" i="49"/>
  <c r="L25" i="49"/>
  <c r="D28" i="49"/>
  <c r="F28" i="49"/>
  <c r="G28" i="49"/>
  <c r="H28" i="49"/>
  <c r="I28" i="49"/>
  <c r="J28" i="49"/>
  <c r="K28" i="49"/>
  <c r="L28" i="49"/>
  <c r="M28" i="49"/>
  <c r="D29" i="49"/>
  <c r="F29" i="49"/>
  <c r="G29" i="49"/>
  <c r="H29" i="49"/>
  <c r="I29" i="49"/>
  <c r="J29" i="49"/>
  <c r="K29" i="49"/>
  <c r="L29" i="49"/>
  <c r="M29" i="49"/>
  <c r="H30" i="49"/>
  <c r="J30" i="49"/>
  <c r="K30" i="49"/>
  <c r="L30" i="49"/>
  <c r="D31" i="49"/>
  <c r="F31" i="49"/>
  <c r="G31" i="49"/>
  <c r="H31" i="49"/>
  <c r="I31" i="49"/>
  <c r="J31" i="49"/>
  <c r="K31" i="49"/>
  <c r="L31" i="49"/>
  <c r="M31" i="49"/>
  <c r="D32" i="49"/>
  <c r="F32" i="49"/>
  <c r="G32" i="49"/>
  <c r="H32" i="49"/>
  <c r="I32" i="49"/>
  <c r="J32" i="49"/>
  <c r="K32" i="49"/>
  <c r="L32" i="49"/>
  <c r="M32" i="49"/>
  <c r="D33" i="49"/>
  <c r="F33" i="49"/>
  <c r="G33" i="49"/>
  <c r="H33" i="49"/>
  <c r="I33" i="49"/>
  <c r="J33" i="49"/>
  <c r="K33" i="49"/>
  <c r="L33" i="49"/>
  <c r="M33" i="49"/>
  <c r="H34" i="49"/>
  <c r="I34" i="49"/>
  <c r="J34" i="49"/>
  <c r="K34" i="49"/>
  <c r="L34" i="49"/>
  <c r="C36" i="49"/>
  <c r="D36" i="49"/>
  <c r="E36" i="49"/>
  <c r="F36" i="49"/>
  <c r="H36" i="49"/>
  <c r="I36" i="49"/>
  <c r="J36" i="49"/>
  <c r="K36" i="49"/>
  <c r="L36" i="49"/>
  <c r="C38" i="49"/>
  <c r="D38" i="49"/>
  <c r="E38" i="49"/>
  <c r="F38" i="49"/>
  <c r="H38" i="49"/>
  <c r="I38" i="49"/>
  <c r="J38" i="49"/>
  <c r="K38" i="49"/>
  <c r="L38" i="49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AA10" i="38"/>
  <c r="AB10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AA11" i="38"/>
  <c r="AB11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AA12" i="38"/>
  <c r="AB12" i="38"/>
  <c r="AA13" i="38"/>
  <c r="AB13" i="38"/>
  <c r="AA14" i="38"/>
  <c r="AB14" i="38"/>
  <c r="AA15" i="38"/>
  <c r="AB15" i="38"/>
  <c r="AA16" i="38"/>
  <c r="AB16" i="38"/>
  <c r="AA17" i="38"/>
  <c r="AB17" i="38"/>
  <c r="AA18" i="38"/>
  <c r="AB18" i="38"/>
  <c r="AA19" i="38"/>
  <c r="AB19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AA20" i="38"/>
  <c r="AB20" i="38"/>
  <c r="AA21" i="38"/>
  <c r="AB21" i="38"/>
  <c r="AA22" i="38"/>
  <c r="AB22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AA23" i="38"/>
  <c r="AB23" i="38"/>
  <c r="AA24" i="38"/>
  <c r="AB24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AA25" i="38"/>
  <c r="AB25" i="38"/>
  <c r="AA26" i="38"/>
  <c r="AB26" i="38"/>
  <c r="AA27" i="38"/>
  <c r="AB27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AA28" i="38"/>
  <c r="AB28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AA29" i="38"/>
  <c r="AB29" i="38"/>
  <c r="AA30" i="38"/>
  <c r="AB30" i="38"/>
  <c r="AA31" i="38"/>
  <c r="AB31" i="38"/>
  <c r="AA32" i="38"/>
  <c r="AB32" i="38"/>
  <c r="AA33" i="38"/>
  <c r="AB33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AA34" i="38"/>
  <c r="AB34" i="38"/>
  <c r="AA35" i="38"/>
  <c r="AB35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AA36" i="38"/>
  <c r="AB36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AA37" i="38"/>
  <c r="AB37" i="38"/>
  <c r="AA38" i="38"/>
  <c r="AB38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AA39" i="38"/>
  <c r="AB39" i="38"/>
  <c r="AA40" i="38"/>
  <c r="AB40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AA41" i="38"/>
  <c r="AB41" i="38"/>
  <c r="AA42" i="38"/>
  <c r="AB42" i="38"/>
  <c r="AA43" i="38"/>
  <c r="AB43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AA44" i="38"/>
  <c r="AB44" i="38"/>
  <c r="AA45" i="38"/>
  <c r="AB45" i="38"/>
  <c r="AA46" i="38"/>
  <c r="AB46" i="38"/>
  <c r="AA47" i="38"/>
  <c r="AB47" i="38"/>
  <c r="AA48" i="38"/>
  <c r="AB48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AA49" i="38"/>
  <c r="AB49" i="38"/>
  <c r="AA50" i="38"/>
  <c r="AB50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AA51" i="38"/>
  <c r="AB51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AA52" i="38"/>
  <c r="AB52" i="38"/>
  <c r="AA53" i="38"/>
  <c r="AB53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AA54" i="38"/>
  <c r="AB54" i="38"/>
  <c r="AA55" i="38"/>
  <c r="AB55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AA56" i="38"/>
  <c r="AB56" i="38"/>
  <c r="E57" i="38"/>
  <c r="AA57" i="38"/>
  <c r="AB57" i="38"/>
  <c r="AA58" i="38"/>
  <c r="AB58" i="38"/>
  <c r="AA59" i="38"/>
  <c r="AB59" i="38"/>
  <c r="AA60" i="38"/>
  <c r="AB60" i="38"/>
  <c r="AA61" i="38"/>
  <c r="AB61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AA62" i="38"/>
  <c r="AB62" i="38"/>
  <c r="AA63" i="38"/>
  <c r="AB63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AA64" i="38"/>
  <c r="AB64" i="38"/>
  <c r="AA65" i="38"/>
  <c r="AB65" i="38"/>
  <c r="AA66" i="38"/>
  <c r="AB66" i="38"/>
  <c r="AA67" i="38"/>
  <c r="AB67" i="38"/>
  <c r="AA68" i="38"/>
  <c r="AB68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AA69" i="38"/>
  <c r="AB69" i="38"/>
  <c r="AA70" i="38"/>
  <c r="AB70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AA71" i="38"/>
  <c r="AB71" i="38"/>
  <c r="AA72" i="38"/>
  <c r="AB72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AA73" i="38"/>
  <c r="AB73" i="38"/>
  <c r="AA74" i="38"/>
  <c r="AB74" i="38"/>
  <c r="AA75" i="38"/>
  <c r="AB75" i="38"/>
  <c r="C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Y76" i="38"/>
  <c r="AA76" i="38"/>
  <c r="AB76" i="38"/>
  <c r="C77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T77" i="38"/>
  <c r="U77" i="38"/>
  <c r="V77" i="38"/>
  <c r="W77" i="38"/>
  <c r="X77" i="38"/>
  <c r="Y77" i="38"/>
  <c r="AA77" i="38"/>
  <c r="AB77" i="38"/>
  <c r="AA78" i="38"/>
  <c r="AB78" i="38"/>
  <c r="AA79" i="38"/>
  <c r="AB79" i="38"/>
  <c r="AA80" i="38"/>
  <c r="AB80" i="38"/>
  <c r="AA81" i="38"/>
  <c r="AB81" i="38"/>
  <c r="AA82" i="38"/>
  <c r="AB82" i="38"/>
  <c r="AA83" i="38"/>
  <c r="AB83" i="38"/>
  <c r="AA84" i="38"/>
  <c r="AB84" i="38"/>
  <c r="AA85" i="38"/>
  <c r="AB85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AA86" i="38"/>
  <c r="AB86" i="38"/>
  <c r="AA87" i="38"/>
  <c r="AB87" i="38"/>
  <c r="F88" i="38"/>
  <c r="G88" i="38"/>
  <c r="H88" i="38"/>
  <c r="I88" i="38"/>
  <c r="J88" i="38"/>
  <c r="K88" i="38"/>
  <c r="L88" i="38"/>
  <c r="M88" i="38"/>
  <c r="N88" i="38"/>
  <c r="O88" i="38"/>
  <c r="P88" i="38"/>
  <c r="Q88" i="38"/>
  <c r="R88" i="38"/>
  <c r="S88" i="38"/>
  <c r="T88" i="38"/>
  <c r="U88" i="38"/>
  <c r="V88" i="38"/>
  <c r="W88" i="38"/>
  <c r="X88" i="38"/>
  <c r="Y88" i="38"/>
  <c r="AA88" i="38"/>
  <c r="AB88" i="38"/>
  <c r="F89" i="38"/>
  <c r="G89" i="38"/>
  <c r="H89" i="38"/>
  <c r="I89" i="38"/>
  <c r="J89" i="38"/>
  <c r="K89" i="38"/>
  <c r="L89" i="38"/>
  <c r="M89" i="38"/>
  <c r="N89" i="38"/>
  <c r="O89" i="38"/>
  <c r="P89" i="38"/>
  <c r="Q89" i="38"/>
  <c r="R89" i="38"/>
  <c r="S89" i="38"/>
  <c r="T89" i="38"/>
  <c r="U89" i="38"/>
  <c r="V89" i="38"/>
  <c r="W89" i="38"/>
  <c r="X89" i="38"/>
  <c r="Y89" i="38"/>
  <c r="AA89" i="38"/>
  <c r="AB89" i="38"/>
  <c r="F90" i="38"/>
  <c r="G90" i="38"/>
  <c r="H90" i="38"/>
  <c r="I90" i="38"/>
  <c r="J90" i="38"/>
  <c r="K90" i="38"/>
  <c r="L90" i="38"/>
  <c r="M90" i="38"/>
  <c r="N90" i="38"/>
  <c r="O90" i="38"/>
  <c r="P90" i="38"/>
  <c r="Q90" i="38"/>
  <c r="R90" i="38"/>
  <c r="S90" i="38"/>
  <c r="T90" i="38"/>
  <c r="U90" i="38"/>
  <c r="V90" i="38"/>
  <c r="W90" i="38"/>
  <c r="X90" i="38"/>
  <c r="Y90" i="38"/>
  <c r="AA90" i="38"/>
  <c r="AB90" i="38"/>
  <c r="R91" i="38"/>
  <c r="AA91" i="38"/>
  <c r="AB91" i="38"/>
  <c r="F92" i="38"/>
  <c r="G92" i="38"/>
  <c r="H92" i="38"/>
  <c r="I92" i="38"/>
  <c r="J92" i="38"/>
  <c r="K92" i="38"/>
  <c r="L92" i="38"/>
  <c r="M92" i="38"/>
  <c r="N92" i="38"/>
  <c r="O92" i="38"/>
  <c r="P92" i="38"/>
  <c r="Q92" i="38"/>
  <c r="R92" i="38"/>
  <c r="S92" i="38"/>
  <c r="T92" i="38"/>
  <c r="U92" i="38"/>
  <c r="V92" i="38"/>
  <c r="W92" i="38"/>
  <c r="X92" i="38"/>
  <c r="Y92" i="38"/>
  <c r="AA92" i="38"/>
  <c r="AB92" i="38"/>
  <c r="AA93" i="38"/>
  <c r="AB93" i="38"/>
  <c r="AA94" i="38"/>
  <c r="AB94" i="38"/>
  <c r="E95" i="38"/>
  <c r="Y95" i="38"/>
  <c r="AA95" i="38"/>
  <c r="AB95" i="38"/>
  <c r="AA96" i="38"/>
  <c r="AB96" i="38"/>
  <c r="Y97" i="38"/>
  <c r="AA97" i="38"/>
  <c r="AB97" i="38"/>
  <c r="AA98" i="38"/>
  <c r="AB98" i="38"/>
  <c r="Y99" i="38"/>
  <c r="AA99" i="38"/>
  <c r="AB99" i="38"/>
  <c r="AA100" i="38"/>
  <c r="AB100" i="38"/>
  <c r="AA101" i="38"/>
  <c r="AB101" i="38"/>
  <c r="D102" i="38"/>
  <c r="AA102" i="38"/>
  <c r="AB102" i="38"/>
  <c r="D103" i="38"/>
  <c r="AA103" i="38"/>
  <c r="AB103" i="38"/>
  <c r="AA104" i="38"/>
  <c r="AB104" i="38"/>
  <c r="D105" i="38"/>
  <c r="AA105" i="38"/>
  <c r="AB105" i="38"/>
  <c r="AA106" i="38"/>
  <c r="AB106" i="38"/>
  <c r="F107" i="38"/>
  <c r="G107" i="38"/>
  <c r="H107" i="38"/>
  <c r="I107" i="38"/>
  <c r="J107" i="38"/>
  <c r="K107" i="38"/>
  <c r="L107" i="38"/>
  <c r="M107" i="38"/>
  <c r="N107" i="38"/>
  <c r="O107" i="38"/>
  <c r="P107" i="38"/>
  <c r="Q107" i="38"/>
  <c r="R107" i="38"/>
  <c r="S107" i="38"/>
  <c r="T107" i="38"/>
  <c r="U107" i="38"/>
  <c r="V107" i="38"/>
  <c r="W107" i="38"/>
  <c r="X107" i="38"/>
  <c r="Y107" i="38"/>
  <c r="AA107" i="38"/>
  <c r="AB107" i="38"/>
  <c r="AA108" i="38"/>
  <c r="AB108" i="38"/>
  <c r="D109" i="38"/>
  <c r="F109" i="38"/>
  <c r="G109" i="38"/>
  <c r="H109" i="38"/>
  <c r="I109" i="38"/>
  <c r="J109" i="38"/>
  <c r="K109" i="38"/>
  <c r="L109" i="38"/>
  <c r="M109" i="38"/>
  <c r="N109" i="38"/>
  <c r="O109" i="38"/>
  <c r="P109" i="38"/>
  <c r="Q109" i="38"/>
  <c r="R109" i="38"/>
  <c r="AA109" i="38"/>
  <c r="AB109" i="38"/>
  <c r="D110" i="38"/>
  <c r="F110" i="38"/>
  <c r="G110" i="38"/>
  <c r="H110" i="38"/>
  <c r="I110" i="38"/>
  <c r="J110" i="38"/>
  <c r="K110" i="38"/>
  <c r="L110" i="38"/>
  <c r="M110" i="38"/>
  <c r="N110" i="38"/>
  <c r="O110" i="38"/>
  <c r="P110" i="38"/>
  <c r="Q110" i="38"/>
  <c r="R110" i="38"/>
  <c r="AA110" i="38"/>
  <c r="AB110" i="38"/>
  <c r="AA111" i="38"/>
  <c r="AB111" i="38"/>
  <c r="AA112" i="38"/>
  <c r="AB112" i="38"/>
  <c r="D113" i="38"/>
  <c r="AA113" i="38"/>
  <c r="AB113" i="38"/>
  <c r="AA114" i="38"/>
  <c r="AB114" i="38"/>
  <c r="F115" i="38"/>
  <c r="G115" i="38"/>
  <c r="H115" i="38"/>
  <c r="I115" i="38"/>
  <c r="J115" i="38"/>
  <c r="K115" i="38"/>
  <c r="L115" i="38"/>
  <c r="M115" i="38"/>
  <c r="N115" i="38"/>
  <c r="O115" i="38"/>
  <c r="P115" i="38"/>
  <c r="Q115" i="38"/>
  <c r="R115" i="38"/>
  <c r="AA115" i="38"/>
  <c r="AB115" i="38"/>
  <c r="D116" i="38"/>
  <c r="F116" i="38"/>
  <c r="G116" i="38"/>
  <c r="H116" i="38"/>
  <c r="I116" i="38"/>
  <c r="J116" i="38"/>
  <c r="K116" i="38"/>
  <c r="L116" i="38"/>
  <c r="M116" i="38"/>
  <c r="N116" i="38"/>
  <c r="O116" i="38"/>
  <c r="P116" i="38"/>
  <c r="Q116" i="38"/>
  <c r="R116" i="38"/>
  <c r="AA116" i="38"/>
  <c r="AB116" i="38"/>
  <c r="AA117" i="38"/>
  <c r="AB117" i="38"/>
  <c r="AA118" i="38"/>
  <c r="AB118" i="38"/>
  <c r="F119" i="38"/>
  <c r="G119" i="38"/>
  <c r="H119" i="38"/>
  <c r="I119" i="38"/>
  <c r="J119" i="38"/>
  <c r="K119" i="38"/>
  <c r="L119" i="38"/>
  <c r="M119" i="38"/>
  <c r="N119" i="38"/>
  <c r="O119" i="38"/>
  <c r="P119" i="38"/>
  <c r="Q119" i="38"/>
  <c r="R119" i="38"/>
  <c r="S119" i="38"/>
  <c r="T119" i="38"/>
  <c r="U119" i="38"/>
  <c r="V119" i="38"/>
  <c r="W119" i="38"/>
  <c r="X119" i="38"/>
  <c r="Y119" i="38"/>
  <c r="AA119" i="38"/>
  <c r="AB119" i="38"/>
  <c r="AA120" i="38"/>
  <c r="AB120" i="38"/>
  <c r="A121" i="38"/>
  <c r="F121" i="38"/>
  <c r="G121" i="38"/>
  <c r="H121" i="38"/>
  <c r="I121" i="38"/>
  <c r="J121" i="38"/>
  <c r="K121" i="38"/>
  <c r="L121" i="38"/>
  <c r="M121" i="38"/>
  <c r="N121" i="38"/>
  <c r="O121" i="38"/>
  <c r="P121" i="38"/>
  <c r="Q121" i="38"/>
  <c r="R121" i="38"/>
  <c r="S121" i="38"/>
  <c r="T121" i="38"/>
  <c r="U121" i="38"/>
  <c r="V121" i="38"/>
  <c r="W121" i="38"/>
  <c r="X121" i="38"/>
  <c r="Y121" i="38"/>
  <c r="AA121" i="38"/>
  <c r="AB121" i="38"/>
  <c r="F122" i="38"/>
  <c r="G122" i="38"/>
  <c r="H122" i="38"/>
  <c r="I122" i="38"/>
  <c r="J122" i="38"/>
  <c r="K122" i="38"/>
  <c r="L122" i="38"/>
  <c r="M122" i="38"/>
  <c r="N122" i="38"/>
  <c r="O122" i="38"/>
  <c r="P122" i="38"/>
  <c r="Q122" i="38"/>
  <c r="R122" i="38"/>
  <c r="S122" i="38"/>
  <c r="T122" i="38"/>
  <c r="U122" i="38"/>
  <c r="V122" i="38"/>
  <c r="W122" i="38"/>
  <c r="X122" i="38"/>
  <c r="Y122" i="38"/>
  <c r="AA122" i="38"/>
  <c r="AB122" i="38"/>
  <c r="F123" i="38"/>
  <c r="G123" i="38"/>
  <c r="H123" i="38"/>
  <c r="I123" i="38"/>
  <c r="J123" i="38"/>
  <c r="K123" i="38"/>
  <c r="L123" i="38"/>
  <c r="M123" i="38"/>
  <c r="N123" i="38"/>
  <c r="O123" i="38"/>
  <c r="P123" i="38"/>
  <c r="Q123" i="38"/>
  <c r="R123" i="38"/>
  <c r="S123" i="38"/>
  <c r="T123" i="38"/>
  <c r="U123" i="38"/>
  <c r="V123" i="38"/>
  <c r="W123" i="38"/>
  <c r="X123" i="38"/>
  <c r="Y123" i="38"/>
  <c r="AA123" i="38"/>
  <c r="AB123" i="38"/>
  <c r="F124" i="38"/>
  <c r="G124" i="38"/>
  <c r="H124" i="38"/>
  <c r="I124" i="38"/>
  <c r="J124" i="38"/>
  <c r="K124" i="38"/>
  <c r="L124" i="38"/>
  <c r="M124" i="38"/>
  <c r="N124" i="38"/>
  <c r="O124" i="38"/>
  <c r="P124" i="38"/>
  <c r="Q124" i="38"/>
  <c r="R124" i="38"/>
  <c r="S124" i="38"/>
  <c r="T124" i="38"/>
  <c r="U124" i="38"/>
  <c r="V124" i="38"/>
  <c r="W124" i="38"/>
  <c r="X124" i="38"/>
  <c r="Y124" i="38"/>
  <c r="AA124" i="38"/>
  <c r="AB124" i="38"/>
  <c r="AA125" i="38"/>
  <c r="AB125" i="38"/>
  <c r="C126" i="38"/>
  <c r="F126" i="38"/>
  <c r="G126" i="38"/>
  <c r="H126" i="38"/>
  <c r="I126" i="38"/>
  <c r="J126" i="38"/>
  <c r="K126" i="38"/>
  <c r="L126" i="38"/>
  <c r="M126" i="38"/>
  <c r="N126" i="38"/>
  <c r="O126" i="38"/>
  <c r="P126" i="38"/>
  <c r="Q126" i="38"/>
  <c r="R126" i="38"/>
  <c r="S126" i="38"/>
  <c r="T126" i="38"/>
  <c r="U126" i="38"/>
  <c r="V126" i="38"/>
  <c r="W126" i="38"/>
  <c r="X126" i="38"/>
  <c r="Y126" i="38"/>
  <c r="AA126" i="38"/>
  <c r="AB126" i="38"/>
  <c r="C127" i="38"/>
  <c r="F127" i="38"/>
  <c r="G127" i="38"/>
  <c r="H127" i="38"/>
  <c r="I127" i="38"/>
  <c r="J127" i="38"/>
  <c r="K127" i="38"/>
  <c r="L127" i="38"/>
  <c r="M127" i="38"/>
  <c r="N127" i="38"/>
  <c r="O127" i="38"/>
  <c r="P127" i="38"/>
  <c r="Q127" i="38"/>
  <c r="R127" i="38"/>
  <c r="S127" i="38"/>
  <c r="T127" i="38"/>
  <c r="U127" i="38"/>
  <c r="V127" i="38"/>
  <c r="W127" i="38"/>
  <c r="X127" i="38"/>
  <c r="Y127" i="38"/>
  <c r="AA127" i="38"/>
  <c r="AB127" i="38"/>
  <c r="AA128" i="38"/>
  <c r="AB128" i="38"/>
  <c r="AA129" i="38"/>
  <c r="AB129" i="38"/>
  <c r="AA130" i="38"/>
  <c r="AB130" i="38"/>
  <c r="AA131" i="38"/>
  <c r="AB131" i="38"/>
  <c r="AA132" i="38"/>
  <c r="AB132" i="38"/>
  <c r="AA133" i="38"/>
  <c r="AB133" i="38"/>
  <c r="AA134" i="38"/>
  <c r="AB134" i="38"/>
  <c r="F135" i="38"/>
  <c r="G135" i="38"/>
  <c r="H135" i="38"/>
  <c r="I135" i="38"/>
  <c r="J135" i="38"/>
  <c r="K135" i="38"/>
  <c r="L135" i="38"/>
  <c r="M135" i="38"/>
  <c r="N135" i="38"/>
  <c r="O135" i="38"/>
  <c r="P135" i="38"/>
  <c r="Q135" i="38"/>
  <c r="R135" i="38"/>
  <c r="S135" i="38"/>
  <c r="T135" i="38"/>
  <c r="U135" i="38"/>
  <c r="V135" i="38"/>
  <c r="W135" i="38"/>
  <c r="X135" i="38"/>
  <c r="Y135" i="38"/>
  <c r="AA135" i="38"/>
  <c r="AB135" i="38"/>
  <c r="AA136" i="38"/>
  <c r="AB136" i="38"/>
  <c r="F137" i="38"/>
  <c r="G137" i="38"/>
  <c r="H137" i="38"/>
  <c r="I137" i="38"/>
  <c r="J137" i="38"/>
  <c r="K137" i="38"/>
  <c r="L137" i="38"/>
  <c r="M137" i="38"/>
  <c r="N137" i="38"/>
  <c r="O137" i="38"/>
  <c r="P137" i="38"/>
  <c r="Q137" i="38"/>
  <c r="R137" i="38"/>
  <c r="S137" i="38"/>
  <c r="T137" i="38"/>
  <c r="U137" i="38"/>
  <c r="V137" i="38"/>
  <c r="W137" i="38"/>
  <c r="X137" i="38"/>
  <c r="Y137" i="38"/>
  <c r="AA137" i="38"/>
  <c r="AB137" i="38"/>
  <c r="F138" i="38"/>
  <c r="G138" i="38"/>
  <c r="H138" i="38"/>
  <c r="I138" i="38"/>
  <c r="J138" i="38"/>
  <c r="K138" i="38"/>
  <c r="L138" i="38"/>
  <c r="M138" i="38"/>
  <c r="N138" i="38"/>
  <c r="O138" i="38"/>
  <c r="P138" i="38"/>
  <c r="Q138" i="38"/>
  <c r="R138" i="38"/>
  <c r="S138" i="38"/>
  <c r="T138" i="38"/>
  <c r="U138" i="38"/>
  <c r="V138" i="38"/>
  <c r="W138" i="38"/>
  <c r="X138" i="38"/>
  <c r="Y138" i="38"/>
  <c r="AA138" i="38"/>
  <c r="AB138" i="38"/>
  <c r="F139" i="38"/>
  <c r="G139" i="38"/>
  <c r="H139" i="38"/>
  <c r="I139" i="38"/>
  <c r="J139" i="38"/>
  <c r="K139" i="38"/>
  <c r="L139" i="38"/>
  <c r="M139" i="38"/>
  <c r="N139" i="38"/>
  <c r="O139" i="38"/>
  <c r="P139" i="38"/>
  <c r="Q139" i="38"/>
  <c r="R139" i="38"/>
  <c r="S139" i="38"/>
  <c r="T139" i="38"/>
  <c r="U139" i="38"/>
  <c r="V139" i="38"/>
  <c r="W139" i="38"/>
  <c r="X139" i="38"/>
  <c r="Y139" i="38"/>
  <c r="AA139" i="38"/>
  <c r="AB139" i="38"/>
  <c r="C140" i="38"/>
  <c r="F140" i="38"/>
  <c r="G140" i="38"/>
  <c r="H140" i="38"/>
  <c r="I140" i="38"/>
  <c r="J140" i="38"/>
  <c r="K140" i="38"/>
  <c r="L140" i="38"/>
  <c r="M140" i="38"/>
  <c r="N140" i="38"/>
  <c r="O140" i="38"/>
  <c r="P140" i="38"/>
  <c r="Q140" i="38"/>
  <c r="R140" i="38"/>
  <c r="S140" i="38"/>
  <c r="T140" i="38"/>
  <c r="U140" i="38"/>
  <c r="V140" i="38"/>
  <c r="W140" i="38"/>
  <c r="X140" i="38"/>
  <c r="Y140" i="38"/>
  <c r="AA140" i="38"/>
  <c r="AB140" i="38"/>
  <c r="C141" i="38"/>
  <c r="F141" i="38"/>
  <c r="G141" i="38"/>
  <c r="H141" i="38"/>
  <c r="I141" i="38"/>
  <c r="J141" i="38"/>
  <c r="K141" i="38"/>
  <c r="L141" i="38"/>
  <c r="M141" i="38"/>
  <c r="N141" i="38"/>
  <c r="O141" i="38"/>
  <c r="P141" i="38"/>
  <c r="Q141" i="38"/>
  <c r="R141" i="38"/>
  <c r="S141" i="38"/>
  <c r="T141" i="38"/>
  <c r="U141" i="38"/>
  <c r="V141" i="38"/>
  <c r="W141" i="38"/>
  <c r="X141" i="38"/>
  <c r="Y141" i="38"/>
  <c r="AA141" i="38"/>
  <c r="AB141" i="38"/>
  <c r="F142" i="38"/>
  <c r="G142" i="38"/>
  <c r="H142" i="38"/>
  <c r="I142" i="38"/>
  <c r="J142" i="38"/>
  <c r="K142" i="38"/>
  <c r="L142" i="38"/>
  <c r="M142" i="38"/>
  <c r="N142" i="38"/>
  <c r="O142" i="38"/>
  <c r="P142" i="38"/>
  <c r="Q142" i="38"/>
  <c r="R142" i="38"/>
  <c r="S142" i="38"/>
  <c r="T142" i="38"/>
  <c r="U142" i="38"/>
  <c r="V142" i="38"/>
  <c r="W142" i="38"/>
  <c r="X142" i="38"/>
  <c r="Y142" i="38"/>
  <c r="AA142" i="38"/>
  <c r="AB142" i="38"/>
  <c r="AA143" i="38"/>
  <c r="AB143" i="38"/>
  <c r="A144" i="38"/>
  <c r="F144" i="38"/>
  <c r="G144" i="38"/>
  <c r="H144" i="38"/>
  <c r="I144" i="38"/>
  <c r="J144" i="38"/>
  <c r="K144" i="38"/>
  <c r="L144" i="38"/>
  <c r="M144" i="38"/>
  <c r="N144" i="38"/>
  <c r="O144" i="38"/>
  <c r="P144" i="38"/>
  <c r="Q144" i="38"/>
  <c r="R144" i="38"/>
  <c r="S144" i="38"/>
  <c r="T144" i="38"/>
  <c r="U144" i="38"/>
  <c r="V144" i="38"/>
  <c r="W144" i="38"/>
  <c r="X144" i="38"/>
  <c r="Y144" i="38"/>
  <c r="AA144" i="38"/>
  <c r="AB144" i="38"/>
  <c r="F145" i="38"/>
  <c r="G145" i="38"/>
  <c r="H145" i="38"/>
  <c r="I145" i="38"/>
  <c r="J145" i="38"/>
  <c r="K145" i="38"/>
  <c r="L145" i="38"/>
  <c r="M145" i="38"/>
  <c r="N145" i="38"/>
  <c r="O145" i="38"/>
  <c r="P145" i="38"/>
  <c r="Q145" i="38"/>
  <c r="R145" i="38"/>
  <c r="S145" i="38"/>
  <c r="T145" i="38"/>
  <c r="U145" i="38"/>
  <c r="V145" i="38"/>
  <c r="W145" i="38"/>
  <c r="X145" i="38"/>
  <c r="Y145" i="38"/>
  <c r="AA145" i="38"/>
  <c r="AB145" i="38"/>
  <c r="AA146" i="38"/>
  <c r="AB146" i="38"/>
  <c r="AA147" i="38"/>
  <c r="AB147" i="38"/>
  <c r="AA148" i="38"/>
  <c r="AB148" i="38"/>
  <c r="AA149" i="38"/>
  <c r="AB149" i="38"/>
  <c r="A150" i="38"/>
  <c r="F150" i="38"/>
  <c r="G150" i="38"/>
  <c r="H150" i="38"/>
  <c r="I150" i="38"/>
  <c r="J150" i="38"/>
  <c r="K150" i="38"/>
  <c r="L150" i="38"/>
  <c r="M150" i="38"/>
  <c r="N150" i="38"/>
  <c r="O150" i="38"/>
  <c r="P150" i="38"/>
  <c r="Q150" i="38"/>
  <c r="R150" i="38"/>
  <c r="S150" i="38"/>
  <c r="T150" i="38"/>
  <c r="U150" i="38"/>
  <c r="V150" i="38"/>
  <c r="W150" i="38"/>
  <c r="X150" i="38"/>
  <c r="Y150" i="38"/>
  <c r="AA150" i="38"/>
  <c r="AB150" i="38"/>
  <c r="AA151" i="38"/>
  <c r="AB151" i="38"/>
  <c r="F152" i="38"/>
  <c r="G152" i="38"/>
  <c r="H152" i="38"/>
  <c r="I152" i="38"/>
  <c r="J152" i="38"/>
  <c r="K152" i="38"/>
  <c r="L152" i="38"/>
  <c r="M152" i="38"/>
  <c r="N152" i="38"/>
  <c r="O152" i="38"/>
  <c r="P152" i="38"/>
  <c r="Q152" i="38"/>
  <c r="R152" i="38"/>
  <c r="S152" i="38"/>
  <c r="T152" i="38"/>
  <c r="U152" i="38"/>
  <c r="V152" i="38"/>
  <c r="W152" i="38"/>
  <c r="X152" i="38"/>
  <c r="Y152" i="38"/>
  <c r="AA152" i="38"/>
  <c r="C155" i="38"/>
  <c r="C156" i="38"/>
  <c r="D160" i="38"/>
  <c r="D162" i="38"/>
  <c r="D163" i="38"/>
  <c r="C176" i="38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AA10" i="39"/>
  <c r="AB10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AA11" i="39"/>
  <c r="AB11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AA12" i="39"/>
  <c r="AB12" i="39"/>
  <c r="AA13" i="39"/>
  <c r="AB13" i="39"/>
  <c r="AA14" i="39"/>
  <c r="AB14" i="39"/>
  <c r="AA15" i="39"/>
  <c r="AB15" i="39"/>
  <c r="AA16" i="39"/>
  <c r="AB16" i="39"/>
  <c r="AA17" i="39"/>
  <c r="AB17" i="39"/>
  <c r="AA18" i="39"/>
  <c r="AB18" i="39"/>
  <c r="AA19" i="39"/>
  <c r="AB19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S20" i="39"/>
  <c r="T20" i="39"/>
  <c r="U20" i="39"/>
  <c r="V20" i="39"/>
  <c r="W20" i="39"/>
  <c r="X20" i="39"/>
  <c r="Y20" i="39"/>
  <c r="AA20" i="39"/>
  <c r="AB20" i="39"/>
  <c r="AA21" i="39"/>
  <c r="AB21" i="39"/>
  <c r="AA22" i="39"/>
  <c r="AB22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AA23" i="39"/>
  <c r="AB23" i="39"/>
  <c r="AA24" i="39"/>
  <c r="AB24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AA25" i="39"/>
  <c r="AB25" i="39"/>
  <c r="AA26" i="39"/>
  <c r="AB26" i="39"/>
  <c r="AA27" i="39"/>
  <c r="AB27" i="39"/>
  <c r="AA28" i="39"/>
  <c r="AB28" i="39"/>
  <c r="AA29" i="39"/>
  <c r="AB29" i="39"/>
  <c r="AA30" i="39"/>
  <c r="AB30" i="39"/>
  <c r="AA31" i="39"/>
  <c r="AB31" i="39"/>
  <c r="AA32" i="39"/>
  <c r="AB32" i="39"/>
  <c r="AA33" i="39"/>
  <c r="AB33" i="39"/>
  <c r="AA34" i="39"/>
  <c r="AB34" i="39"/>
  <c r="AA35" i="39"/>
  <c r="AB35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AA36" i="39"/>
  <c r="AB36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R37" i="39"/>
  <c r="S37" i="39"/>
  <c r="T37" i="39"/>
  <c r="U37" i="39"/>
  <c r="V37" i="39"/>
  <c r="W37" i="39"/>
  <c r="X37" i="39"/>
  <c r="Y37" i="39"/>
  <c r="AA37" i="39"/>
  <c r="AB37" i="39"/>
  <c r="AA38" i="39"/>
  <c r="AB38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S39" i="39"/>
  <c r="T39" i="39"/>
  <c r="U39" i="39"/>
  <c r="V39" i="39"/>
  <c r="W39" i="39"/>
  <c r="X39" i="39"/>
  <c r="Y39" i="39"/>
  <c r="AA39" i="39"/>
  <c r="AB39" i="39"/>
  <c r="AA40" i="39"/>
  <c r="AB40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R41" i="39"/>
  <c r="S41" i="39"/>
  <c r="T41" i="39"/>
  <c r="U41" i="39"/>
  <c r="V41" i="39"/>
  <c r="W41" i="39"/>
  <c r="X41" i="39"/>
  <c r="Y41" i="39"/>
  <c r="AA41" i="39"/>
  <c r="AB41" i="39"/>
  <c r="AA42" i="39"/>
  <c r="AB42" i="39"/>
  <c r="AA43" i="39"/>
  <c r="AB43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S44" i="39"/>
  <c r="T44" i="39"/>
  <c r="U44" i="39"/>
  <c r="V44" i="39"/>
  <c r="W44" i="39"/>
  <c r="X44" i="39"/>
  <c r="Y44" i="39"/>
  <c r="AA44" i="39"/>
  <c r="AB44" i="39"/>
  <c r="AA45" i="39"/>
  <c r="AB45" i="39"/>
  <c r="AA46" i="39"/>
  <c r="AB46" i="39"/>
  <c r="AA47" i="39"/>
  <c r="AB47" i="39"/>
  <c r="AA48" i="39"/>
  <c r="AB48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S49" i="39"/>
  <c r="T49" i="39"/>
  <c r="U49" i="39"/>
  <c r="V49" i="39"/>
  <c r="W49" i="39"/>
  <c r="X49" i="39"/>
  <c r="Y49" i="39"/>
  <c r="AA49" i="39"/>
  <c r="AB49" i="39"/>
  <c r="AA50" i="39"/>
  <c r="AB50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S51" i="39"/>
  <c r="T51" i="39"/>
  <c r="U51" i="39"/>
  <c r="V51" i="39"/>
  <c r="W51" i="39"/>
  <c r="X51" i="39"/>
  <c r="Y51" i="39"/>
  <c r="AA51" i="39"/>
  <c r="AB51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S52" i="39"/>
  <c r="T52" i="39"/>
  <c r="U52" i="39"/>
  <c r="V52" i="39"/>
  <c r="W52" i="39"/>
  <c r="X52" i="39"/>
  <c r="Y52" i="39"/>
  <c r="AA52" i="39"/>
  <c r="AB52" i="39"/>
  <c r="AA53" i="39"/>
  <c r="AB53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AA54" i="39"/>
  <c r="AB54" i="39"/>
  <c r="AA55" i="39"/>
  <c r="AB55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S56" i="39"/>
  <c r="T56" i="39"/>
  <c r="U56" i="39"/>
  <c r="V56" i="39"/>
  <c r="W56" i="39"/>
  <c r="X56" i="39"/>
  <c r="Y56" i="39"/>
  <c r="AA56" i="39"/>
  <c r="AB56" i="39"/>
  <c r="E57" i="39"/>
  <c r="AA57" i="39"/>
  <c r="AB57" i="39"/>
  <c r="AA58" i="39"/>
  <c r="AB58" i="39"/>
  <c r="AA59" i="39"/>
  <c r="AB59" i="39"/>
  <c r="AA60" i="39"/>
  <c r="AB60" i="39"/>
  <c r="AA61" i="39"/>
  <c r="AB61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Q62" i="39"/>
  <c r="R62" i="39"/>
  <c r="S62" i="39"/>
  <c r="T62" i="39"/>
  <c r="U62" i="39"/>
  <c r="V62" i="39"/>
  <c r="W62" i="39"/>
  <c r="X62" i="39"/>
  <c r="Y62" i="39"/>
  <c r="AA62" i="39"/>
  <c r="AB62" i="39"/>
  <c r="AA63" i="39"/>
  <c r="AB63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Q64" i="39"/>
  <c r="R64" i="39"/>
  <c r="S64" i="39"/>
  <c r="T64" i="39"/>
  <c r="U64" i="39"/>
  <c r="V64" i="39"/>
  <c r="W64" i="39"/>
  <c r="X64" i="39"/>
  <c r="Y64" i="39"/>
  <c r="AA64" i="39"/>
  <c r="AB64" i="39"/>
  <c r="AA65" i="39"/>
  <c r="AB65" i="39"/>
  <c r="AA66" i="39"/>
  <c r="AB66" i="39"/>
  <c r="AA67" i="39"/>
  <c r="AB67" i="39"/>
  <c r="AA68" i="39"/>
  <c r="AB68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S69" i="39"/>
  <c r="T69" i="39"/>
  <c r="U69" i="39"/>
  <c r="V69" i="39"/>
  <c r="W69" i="39"/>
  <c r="X69" i="39"/>
  <c r="Y69" i="39"/>
  <c r="AA69" i="39"/>
  <c r="AB69" i="39"/>
  <c r="AA70" i="39"/>
  <c r="AB70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R71" i="39"/>
  <c r="S71" i="39"/>
  <c r="T71" i="39"/>
  <c r="U71" i="39"/>
  <c r="V71" i="39"/>
  <c r="W71" i="39"/>
  <c r="X71" i="39"/>
  <c r="Y71" i="39"/>
  <c r="AA71" i="39"/>
  <c r="AB71" i="39"/>
  <c r="AA72" i="39"/>
  <c r="AB72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AA73" i="39"/>
  <c r="AB73" i="39"/>
  <c r="AA74" i="39"/>
  <c r="AB74" i="39"/>
  <c r="AA75" i="39"/>
  <c r="AB75" i="39"/>
  <c r="C76" i="39"/>
  <c r="E76" i="39"/>
  <c r="F76" i="39"/>
  <c r="G76" i="39"/>
  <c r="H76" i="39"/>
  <c r="I76" i="39"/>
  <c r="J76" i="39"/>
  <c r="K76" i="39"/>
  <c r="L76" i="39"/>
  <c r="M76" i="39"/>
  <c r="N76" i="39"/>
  <c r="O76" i="39"/>
  <c r="P76" i="39"/>
  <c r="Q76" i="39"/>
  <c r="R76" i="39"/>
  <c r="S76" i="39"/>
  <c r="T76" i="39"/>
  <c r="U76" i="39"/>
  <c r="V76" i="39"/>
  <c r="W76" i="39"/>
  <c r="X76" i="39"/>
  <c r="Y76" i="39"/>
  <c r="AA76" i="39"/>
  <c r="AB76" i="39"/>
  <c r="C77" i="39"/>
  <c r="E77" i="39"/>
  <c r="F77" i="39"/>
  <c r="G77" i="39"/>
  <c r="H77" i="39"/>
  <c r="I77" i="39"/>
  <c r="J77" i="39"/>
  <c r="K77" i="39"/>
  <c r="L77" i="39"/>
  <c r="M77" i="39"/>
  <c r="N77" i="39"/>
  <c r="O77" i="39"/>
  <c r="P77" i="39"/>
  <c r="Q77" i="39"/>
  <c r="R77" i="39"/>
  <c r="S77" i="39"/>
  <c r="T77" i="39"/>
  <c r="U77" i="39"/>
  <c r="V77" i="39"/>
  <c r="W77" i="39"/>
  <c r="X77" i="39"/>
  <c r="Y77" i="39"/>
  <c r="AA77" i="39"/>
  <c r="AB77" i="39"/>
  <c r="AA78" i="39"/>
  <c r="AB78" i="39"/>
  <c r="AA79" i="39"/>
  <c r="AB79" i="39"/>
  <c r="AA80" i="39"/>
  <c r="AB80" i="39"/>
  <c r="AA81" i="39"/>
  <c r="AB81" i="39"/>
  <c r="AA82" i="39"/>
  <c r="AB82" i="39"/>
  <c r="AA83" i="39"/>
  <c r="AB83" i="39"/>
  <c r="AA84" i="39"/>
  <c r="AB84" i="39"/>
  <c r="AA85" i="39"/>
  <c r="AB85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S86" i="39"/>
  <c r="T86" i="39"/>
  <c r="U86" i="39"/>
  <c r="V86" i="39"/>
  <c r="W86" i="39"/>
  <c r="X86" i="39"/>
  <c r="Y86" i="39"/>
  <c r="AA86" i="39"/>
  <c r="AB86" i="39"/>
  <c r="AA87" i="39"/>
  <c r="AB87" i="39"/>
  <c r="F88" i="39"/>
  <c r="G88" i="39"/>
  <c r="H88" i="39"/>
  <c r="I88" i="39"/>
  <c r="J88" i="39"/>
  <c r="K88" i="39"/>
  <c r="L88" i="39"/>
  <c r="M88" i="39"/>
  <c r="N88" i="39"/>
  <c r="O88" i="39"/>
  <c r="P88" i="39"/>
  <c r="Q88" i="39"/>
  <c r="R88" i="39"/>
  <c r="S88" i="39"/>
  <c r="T88" i="39"/>
  <c r="U88" i="39"/>
  <c r="V88" i="39"/>
  <c r="W88" i="39"/>
  <c r="X88" i="39"/>
  <c r="Y88" i="39"/>
  <c r="AA88" i="39"/>
  <c r="AB88" i="39"/>
  <c r="F89" i="39"/>
  <c r="G89" i="39"/>
  <c r="H89" i="39"/>
  <c r="I89" i="39"/>
  <c r="J89" i="39"/>
  <c r="K89" i="39"/>
  <c r="L89" i="39"/>
  <c r="M89" i="39"/>
  <c r="N89" i="39"/>
  <c r="O89" i="39"/>
  <c r="P89" i="39"/>
  <c r="Q89" i="39"/>
  <c r="R89" i="39"/>
  <c r="S89" i="39"/>
  <c r="T89" i="39"/>
  <c r="U89" i="39"/>
  <c r="V89" i="39"/>
  <c r="W89" i="39"/>
  <c r="X89" i="39"/>
  <c r="Y89" i="39"/>
  <c r="AA89" i="39"/>
  <c r="AB89" i="39"/>
  <c r="F90" i="39"/>
  <c r="G90" i="39"/>
  <c r="H90" i="39"/>
  <c r="I90" i="39"/>
  <c r="J90" i="39"/>
  <c r="K90" i="39"/>
  <c r="L90" i="39"/>
  <c r="M90" i="39"/>
  <c r="N90" i="39"/>
  <c r="O90" i="39"/>
  <c r="P90" i="39"/>
  <c r="Q90" i="39"/>
  <c r="R90" i="39"/>
  <c r="S90" i="39"/>
  <c r="T90" i="39"/>
  <c r="U90" i="39"/>
  <c r="V90" i="39"/>
  <c r="W90" i="39"/>
  <c r="X90" i="39"/>
  <c r="Y90" i="39"/>
  <c r="AA90" i="39"/>
  <c r="AB90" i="39"/>
  <c r="X91" i="39"/>
  <c r="AA91" i="39"/>
  <c r="AB91" i="39"/>
  <c r="F92" i="39"/>
  <c r="G92" i="39"/>
  <c r="H92" i="39"/>
  <c r="I92" i="39"/>
  <c r="J92" i="39"/>
  <c r="K92" i="39"/>
  <c r="L92" i="39"/>
  <c r="M92" i="39"/>
  <c r="N92" i="39"/>
  <c r="O92" i="39"/>
  <c r="P92" i="39"/>
  <c r="Q92" i="39"/>
  <c r="R92" i="39"/>
  <c r="S92" i="39"/>
  <c r="T92" i="39"/>
  <c r="U92" i="39"/>
  <c r="V92" i="39"/>
  <c r="W92" i="39"/>
  <c r="X92" i="39"/>
  <c r="Y92" i="39"/>
  <c r="AA92" i="39"/>
  <c r="AB92" i="39"/>
  <c r="AA93" i="39"/>
  <c r="AB93" i="39"/>
  <c r="AA94" i="39"/>
  <c r="AB94" i="39"/>
  <c r="E95" i="39"/>
  <c r="Y95" i="39"/>
  <c r="AA95" i="39"/>
  <c r="AB95" i="39"/>
  <c r="AA96" i="39"/>
  <c r="AB96" i="39"/>
  <c r="Y97" i="39"/>
  <c r="AA97" i="39"/>
  <c r="AB97" i="39"/>
  <c r="AA98" i="39"/>
  <c r="AB98" i="39"/>
  <c r="Y99" i="39"/>
  <c r="AA99" i="39"/>
  <c r="AB99" i="39"/>
  <c r="AA100" i="39"/>
  <c r="AB100" i="39"/>
  <c r="AA101" i="39"/>
  <c r="AB101" i="39"/>
  <c r="D102" i="39"/>
  <c r="AA102" i="39"/>
  <c r="AB102" i="39"/>
  <c r="D103" i="39"/>
  <c r="AA103" i="39"/>
  <c r="AB103" i="39"/>
  <c r="AA104" i="39"/>
  <c r="AB104" i="39"/>
  <c r="D105" i="39"/>
  <c r="AA105" i="39"/>
  <c r="AB105" i="39"/>
  <c r="AA106" i="39"/>
  <c r="AB106" i="39"/>
  <c r="F107" i="39"/>
  <c r="G107" i="39"/>
  <c r="H107" i="39"/>
  <c r="I107" i="39"/>
  <c r="J107" i="39"/>
  <c r="K107" i="39"/>
  <c r="L107" i="39"/>
  <c r="M107" i="39"/>
  <c r="N107" i="39"/>
  <c r="O107" i="39"/>
  <c r="P107" i="39"/>
  <c r="Q107" i="39"/>
  <c r="R107" i="39"/>
  <c r="S107" i="39"/>
  <c r="T107" i="39"/>
  <c r="U107" i="39"/>
  <c r="V107" i="39"/>
  <c r="W107" i="39"/>
  <c r="X107" i="39"/>
  <c r="Y107" i="39"/>
  <c r="AA107" i="39"/>
  <c r="AB107" i="39"/>
  <c r="AA108" i="39"/>
  <c r="AB108" i="39"/>
  <c r="D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S109" i="39"/>
  <c r="T109" i="39"/>
  <c r="U109" i="39"/>
  <c r="V109" i="39"/>
  <c r="W109" i="39"/>
  <c r="X109" i="39"/>
  <c r="AA109" i="39"/>
  <c r="AB109" i="39"/>
  <c r="D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S110" i="39"/>
  <c r="T110" i="39"/>
  <c r="U110" i="39"/>
  <c r="V110" i="39"/>
  <c r="W110" i="39"/>
  <c r="X110" i="39"/>
  <c r="AA110" i="39"/>
  <c r="AB110" i="39"/>
  <c r="AA111" i="39"/>
  <c r="AB111" i="39"/>
  <c r="AA112" i="39"/>
  <c r="AB112" i="39"/>
  <c r="D113" i="39"/>
  <c r="AA113" i="39"/>
  <c r="AB113" i="39"/>
  <c r="AA114" i="39"/>
  <c r="AB114" i="39"/>
  <c r="F115" i="39"/>
  <c r="G115" i="39"/>
  <c r="H115" i="39"/>
  <c r="I115" i="39"/>
  <c r="J115" i="39"/>
  <c r="K115" i="39"/>
  <c r="L115" i="39"/>
  <c r="M115" i="39"/>
  <c r="N115" i="39"/>
  <c r="O115" i="39"/>
  <c r="P115" i="39"/>
  <c r="Q115" i="39"/>
  <c r="R115" i="39"/>
  <c r="S115" i="39"/>
  <c r="T115" i="39"/>
  <c r="U115" i="39"/>
  <c r="V115" i="39"/>
  <c r="W115" i="39"/>
  <c r="X115" i="39"/>
  <c r="AA115" i="39"/>
  <c r="AB115" i="39"/>
  <c r="D116" i="39"/>
  <c r="F116" i="39"/>
  <c r="G116" i="39"/>
  <c r="H116" i="39"/>
  <c r="I116" i="39"/>
  <c r="J116" i="39"/>
  <c r="K116" i="39"/>
  <c r="L116" i="39"/>
  <c r="M116" i="39"/>
  <c r="N116" i="39"/>
  <c r="O116" i="39"/>
  <c r="P116" i="39"/>
  <c r="Q116" i="39"/>
  <c r="R116" i="39"/>
  <c r="S116" i="39"/>
  <c r="T116" i="39"/>
  <c r="U116" i="39"/>
  <c r="V116" i="39"/>
  <c r="W116" i="39"/>
  <c r="X116" i="39"/>
  <c r="AA116" i="39"/>
  <c r="AB116" i="39"/>
  <c r="AA117" i="39"/>
  <c r="AB117" i="39"/>
  <c r="AA118" i="39"/>
  <c r="AB118" i="39"/>
  <c r="F119" i="39"/>
  <c r="G119" i="39"/>
  <c r="H119" i="39"/>
  <c r="I119" i="39"/>
  <c r="J119" i="39"/>
  <c r="K119" i="39"/>
  <c r="L119" i="39"/>
  <c r="M119" i="39"/>
  <c r="N119" i="39"/>
  <c r="O119" i="39"/>
  <c r="P119" i="39"/>
  <c r="Q119" i="39"/>
  <c r="R119" i="39"/>
  <c r="S119" i="39"/>
  <c r="T119" i="39"/>
  <c r="U119" i="39"/>
  <c r="V119" i="39"/>
  <c r="W119" i="39"/>
  <c r="X119" i="39"/>
  <c r="Y119" i="39"/>
  <c r="AA119" i="39"/>
  <c r="AB119" i="39"/>
  <c r="AA120" i="39"/>
  <c r="AB120" i="39"/>
  <c r="A121" i="39"/>
  <c r="F121" i="39"/>
  <c r="G121" i="39"/>
  <c r="H121" i="39"/>
  <c r="I121" i="39"/>
  <c r="J121" i="39"/>
  <c r="K121" i="39"/>
  <c r="L121" i="39"/>
  <c r="M121" i="39"/>
  <c r="N121" i="39"/>
  <c r="O121" i="39"/>
  <c r="P121" i="39"/>
  <c r="Q121" i="39"/>
  <c r="R121" i="39"/>
  <c r="S121" i="39"/>
  <c r="T121" i="39"/>
  <c r="U121" i="39"/>
  <c r="V121" i="39"/>
  <c r="W121" i="39"/>
  <c r="X121" i="39"/>
  <c r="Y121" i="39"/>
  <c r="AA121" i="39"/>
  <c r="AB121" i="39"/>
  <c r="F122" i="39"/>
  <c r="G122" i="39"/>
  <c r="H122" i="39"/>
  <c r="I122" i="39"/>
  <c r="J122" i="39"/>
  <c r="K122" i="39"/>
  <c r="L122" i="39"/>
  <c r="M122" i="39"/>
  <c r="N122" i="39"/>
  <c r="O122" i="39"/>
  <c r="P122" i="39"/>
  <c r="Q122" i="39"/>
  <c r="R122" i="39"/>
  <c r="S122" i="39"/>
  <c r="T122" i="39"/>
  <c r="U122" i="39"/>
  <c r="V122" i="39"/>
  <c r="W122" i="39"/>
  <c r="X122" i="39"/>
  <c r="Y122" i="39"/>
  <c r="AA122" i="39"/>
  <c r="AB122" i="39"/>
  <c r="F123" i="39"/>
  <c r="G123" i="39"/>
  <c r="H123" i="39"/>
  <c r="I123" i="39"/>
  <c r="J123" i="39"/>
  <c r="K123" i="39"/>
  <c r="L123" i="39"/>
  <c r="M123" i="39"/>
  <c r="N123" i="39"/>
  <c r="O123" i="39"/>
  <c r="P123" i="39"/>
  <c r="Q123" i="39"/>
  <c r="R123" i="39"/>
  <c r="S123" i="39"/>
  <c r="T123" i="39"/>
  <c r="U123" i="39"/>
  <c r="V123" i="39"/>
  <c r="W123" i="39"/>
  <c r="X123" i="39"/>
  <c r="Y123" i="39"/>
  <c r="AA123" i="39"/>
  <c r="AB123" i="39"/>
  <c r="F124" i="39"/>
  <c r="G124" i="39"/>
  <c r="H124" i="39"/>
  <c r="I124" i="39"/>
  <c r="J124" i="39"/>
  <c r="K124" i="39"/>
  <c r="L124" i="39"/>
  <c r="M124" i="39"/>
  <c r="N124" i="39"/>
  <c r="O124" i="39"/>
  <c r="P124" i="39"/>
  <c r="Q124" i="39"/>
  <c r="R124" i="39"/>
  <c r="S124" i="39"/>
  <c r="T124" i="39"/>
  <c r="U124" i="39"/>
  <c r="V124" i="39"/>
  <c r="W124" i="39"/>
  <c r="X124" i="39"/>
  <c r="Y124" i="39"/>
  <c r="AA124" i="39"/>
  <c r="AB124" i="39"/>
  <c r="AA125" i="39"/>
  <c r="AB125" i="39"/>
  <c r="C126" i="39"/>
  <c r="F126" i="39"/>
  <c r="G126" i="39"/>
  <c r="H126" i="39"/>
  <c r="I126" i="39"/>
  <c r="J126" i="39"/>
  <c r="K126" i="39"/>
  <c r="L126" i="39"/>
  <c r="M126" i="39"/>
  <c r="N126" i="39"/>
  <c r="O126" i="39"/>
  <c r="P126" i="39"/>
  <c r="Q126" i="39"/>
  <c r="R126" i="39"/>
  <c r="S126" i="39"/>
  <c r="T126" i="39"/>
  <c r="U126" i="39"/>
  <c r="V126" i="39"/>
  <c r="W126" i="39"/>
  <c r="X126" i="39"/>
  <c r="Y126" i="39"/>
  <c r="AA126" i="39"/>
  <c r="AB126" i="39"/>
  <c r="C127" i="39"/>
  <c r="F127" i="39"/>
  <c r="G127" i="39"/>
  <c r="H127" i="39"/>
  <c r="I127" i="39"/>
  <c r="J127" i="39"/>
  <c r="K127" i="39"/>
  <c r="L127" i="39"/>
  <c r="M127" i="39"/>
  <c r="N127" i="39"/>
  <c r="O127" i="39"/>
  <c r="P127" i="39"/>
  <c r="Q127" i="39"/>
  <c r="R127" i="39"/>
  <c r="S127" i="39"/>
  <c r="T127" i="39"/>
  <c r="U127" i="39"/>
  <c r="V127" i="39"/>
  <c r="W127" i="39"/>
  <c r="X127" i="39"/>
  <c r="Y127" i="39"/>
  <c r="AA127" i="39"/>
  <c r="AB127" i="39"/>
  <c r="AA128" i="39"/>
  <c r="AB128" i="39"/>
  <c r="AA129" i="39"/>
  <c r="AB129" i="39"/>
  <c r="AA130" i="39"/>
  <c r="AB130" i="39"/>
  <c r="AA131" i="39"/>
  <c r="AB131" i="39"/>
  <c r="AA132" i="39"/>
  <c r="AB132" i="39"/>
  <c r="AA133" i="39"/>
  <c r="AB133" i="39"/>
  <c r="AA134" i="39"/>
  <c r="AB134" i="39"/>
  <c r="F135" i="39"/>
  <c r="G135" i="39"/>
  <c r="H135" i="39"/>
  <c r="I135" i="39"/>
  <c r="J135" i="39"/>
  <c r="K135" i="39"/>
  <c r="L135" i="39"/>
  <c r="M135" i="39"/>
  <c r="N135" i="39"/>
  <c r="O135" i="39"/>
  <c r="P135" i="39"/>
  <c r="Q135" i="39"/>
  <c r="R135" i="39"/>
  <c r="S135" i="39"/>
  <c r="T135" i="39"/>
  <c r="U135" i="39"/>
  <c r="V135" i="39"/>
  <c r="W135" i="39"/>
  <c r="X135" i="39"/>
  <c r="Y135" i="39"/>
  <c r="AA135" i="39"/>
  <c r="AB135" i="39"/>
  <c r="AA136" i="39"/>
  <c r="AB136" i="39"/>
  <c r="F137" i="39"/>
  <c r="G137" i="39"/>
  <c r="H137" i="39"/>
  <c r="I137" i="39"/>
  <c r="J137" i="39"/>
  <c r="K137" i="39"/>
  <c r="L137" i="39"/>
  <c r="M137" i="39"/>
  <c r="N137" i="39"/>
  <c r="O137" i="39"/>
  <c r="P137" i="39"/>
  <c r="Q137" i="39"/>
  <c r="R137" i="39"/>
  <c r="S137" i="39"/>
  <c r="T137" i="39"/>
  <c r="U137" i="39"/>
  <c r="V137" i="39"/>
  <c r="W137" i="39"/>
  <c r="X137" i="39"/>
  <c r="Y137" i="39"/>
  <c r="AA137" i="39"/>
  <c r="AB137" i="39"/>
  <c r="F138" i="39"/>
  <c r="G138" i="39"/>
  <c r="H138" i="39"/>
  <c r="I138" i="39"/>
  <c r="J138" i="39"/>
  <c r="K138" i="39"/>
  <c r="L138" i="39"/>
  <c r="M138" i="39"/>
  <c r="N138" i="39"/>
  <c r="O138" i="39"/>
  <c r="P138" i="39"/>
  <c r="Q138" i="39"/>
  <c r="R138" i="39"/>
  <c r="S138" i="39"/>
  <c r="T138" i="39"/>
  <c r="U138" i="39"/>
  <c r="V138" i="39"/>
  <c r="W138" i="39"/>
  <c r="X138" i="39"/>
  <c r="Y138" i="39"/>
  <c r="AA138" i="39"/>
  <c r="AB138" i="39"/>
  <c r="F139" i="39"/>
  <c r="G139" i="39"/>
  <c r="H139" i="39"/>
  <c r="I139" i="39"/>
  <c r="J139" i="39"/>
  <c r="K139" i="39"/>
  <c r="L139" i="39"/>
  <c r="M139" i="39"/>
  <c r="N139" i="39"/>
  <c r="O139" i="39"/>
  <c r="P139" i="39"/>
  <c r="Q139" i="39"/>
  <c r="R139" i="39"/>
  <c r="S139" i="39"/>
  <c r="T139" i="39"/>
  <c r="U139" i="39"/>
  <c r="V139" i="39"/>
  <c r="W139" i="39"/>
  <c r="X139" i="39"/>
  <c r="Y139" i="39"/>
  <c r="AA139" i="39"/>
  <c r="AB139" i="39"/>
  <c r="C140" i="39"/>
  <c r="F140" i="39"/>
  <c r="G140" i="39"/>
  <c r="H140" i="39"/>
  <c r="I140" i="39"/>
  <c r="J140" i="39"/>
  <c r="K140" i="39"/>
  <c r="L140" i="39"/>
  <c r="M140" i="39"/>
  <c r="N140" i="39"/>
  <c r="O140" i="39"/>
  <c r="P140" i="39"/>
  <c r="Q140" i="39"/>
  <c r="R140" i="39"/>
  <c r="S140" i="39"/>
  <c r="T140" i="39"/>
  <c r="U140" i="39"/>
  <c r="V140" i="39"/>
  <c r="W140" i="39"/>
  <c r="X140" i="39"/>
  <c r="Y140" i="39"/>
  <c r="AA140" i="39"/>
  <c r="AB140" i="39"/>
  <c r="C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S141" i="39"/>
  <c r="T141" i="39"/>
  <c r="U141" i="39"/>
  <c r="V141" i="39"/>
  <c r="W141" i="39"/>
  <c r="X141" i="39"/>
  <c r="Y141" i="39"/>
  <c r="AA141" i="39"/>
  <c r="AB141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S142" i="39"/>
  <c r="T142" i="39"/>
  <c r="U142" i="39"/>
  <c r="V142" i="39"/>
  <c r="W142" i="39"/>
  <c r="X142" i="39"/>
  <c r="Y142" i="39"/>
  <c r="AA142" i="39"/>
  <c r="AB142" i="39"/>
  <c r="AA143" i="39"/>
  <c r="AB143" i="39"/>
  <c r="A144" i="39"/>
  <c r="F144" i="39"/>
  <c r="G144" i="39"/>
  <c r="H144" i="39"/>
  <c r="I144" i="39"/>
  <c r="J144" i="39"/>
  <c r="K144" i="39"/>
  <c r="L144" i="39"/>
  <c r="M144" i="39"/>
  <c r="N144" i="39"/>
  <c r="O144" i="39"/>
  <c r="P144" i="39"/>
  <c r="Q144" i="39"/>
  <c r="R144" i="39"/>
  <c r="S144" i="39"/>
  <c r="T144" i="39"/>
  <c r="U144" i="39"/>
  <c r="V144" i="39"/>
  <c r="W144" i="39"/>
  <c r="X144" i="39"/>
  <c r="Y144" i="39"/>
  <c r="AA144" i="39"/>
  <c r="AB144" i="39"/>
  <c r="F145" i="39"/>
  <c r="G145" i="39"/>
  <c r="H145" i="39"/>
  <c r="I145" i="39"/>
  <c r="J145" i="39"/>
  <c r="K145" i="39"/>
  <c r="L145" i="39"/>
  <c r="M145" i="39"/>
  <c r="N145" i="39"/>
  <c r="O145" i="39"/>
  <c r="P145" i="39"/>
  <c r="Q145" i="39"/>
  <c r="R145" i="39"/>
  <c r="S145" i="39"/>
  <c r="T145" i="39"/>
  <c r="U145" i="39"/>
  <c r="V145" i="39"/>
  <c r="W145" i="39"/>
  <c r="X145" i="39"/>
  <c r="Y145" i="39"/>
  <c r="AA145" i="39"/>
  <c r="AB145" i="39"/>
  <c r="AA146" i="39"/>
  <c r="AB146" i="39"/>
  <c r="AA147" i="39"/>
  <c r="AB147" i="39"/>
  <c r="AA148" i="39"/>
  <c r="AB148" i="39"/>
  <c r="AA149" i="39"/>
  <c r="AB149" i="39"/>
  <c r="A150" i="39"/>
  <c r="F150" i="39"/>
  <c r="G150" i="39"/>
  <c r="H150" i="39"/>
  <c r="I150" i="39"/>
  <c r="J150" i="39"/>
  <c r="K150" i="39"/>
  <c r="L150" i="39"/>
  <c r="M150" i="39"/>
  <c r="N150" i="39"/>
  <c r="O150" i="39"/>
  <c r="P150" i="39"/>
  <c r="Q150" i="39"/>
  <c r="R150" i="39"/>
  <c r="S150" i="39"/>
  <c r="T150" i="39"/>
  <c r="U150" i="39"/>
  <c r="V150" i="39"/>
  <c r="W150" i="39"/>
  <c r="X150" i="39"/>
  <c r="Y150" i="39"/>
  <c r="AA150" i="39"/>
  <c r="AB150" i="39"/>
  <c r="AA151" i="39"/>
  <c r="AB151" i="39"/>
  <c r="F152" i="39"/>
  <c r="G152" i="39"/>
  <c r="H152" i="39"/>
  <c r="I152" i="39"/>
  <c r="J152" i="39"/>
  <c r="K152" i="39"/>
  <c r="L152" i="39"/>
  <c r="M152" i="39"/>
  <c r="N152" i="39"/>
  <c r="O152" i="39"/>
  <c r="P152" i="39"/>
  <c r="Q152" i="39"/>
  <c r="R152" i="39"/>
  <c r="S152" i="39"/>
  <c r="T152" i="39"/>
  <c r="U152" i="39"/>
  <c r="V152" i="39"/>
  <c r="W152" i="39"/>
  <c r="X152" i="39"/>
  <c r="Y152" i="39"/>
  <c r="AA152" i="39"/>
  <c r="C155" i="39"/>
  <c r="C156" i="39"/>
  <c r="D160" i="39"/>
  <c r="D162" i="39"/>
  <c r="D163" i="39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AA10" i="40"/>
  <c r="AB10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AA11" i="40"/>
  <c r="AB11" i="40"/>
  <c r="AA12" i="40"/>
  <c r="AB12" i="40"/>
  <c r="AA13" i="40"/>
  <c r="AB13" i="40"/>
  <c r="AA14" i="40"/>
  <c r="AB14" i="40"/>
  <c r="AA15" i="40"/>
  <c r="AB15" i="40"/>
  <c r="AA16" i="40"/>
  <c r="AB16" i="40"/>
  <c r="AA17" i="40"/>
  <c r="AB17" i="40"/>
  <c r="AA18" i="40"/>
  <c r="AB18" i="40"/>
  <c r="AA19" i="40"/>
  <c r="AB19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AA20" i="40"/>
  <c r="AB20" i="40"/>
  <c r="AA21" i="40"/>
  <c r="AB21" i="40"/>
  <c r="AA22" i="40"/>
  <c r="AB22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AA23" i="40"/>
  <c r="AB23" i="40"/>
  <c r="AA24" i="40"/>
  <c r="AB24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AA25" i="40"/>
  <c r="AB25" i="40"/>
  <c r="AA26" i="40"/>
  <c r="AB26" i="40"/>
  <c r="AA27" i="40"/>
  <c r="AB27" i="40"/>
  <c r="AA28" i="40"/>
  <c r="AB28" i="40"/>
  <c r="AA29" i="40"/>
  <c r="AB29" i="40"/>
  <c r="AA30" i="40"/>
  <c r="AB30" i="40"/>
  <c r="AA31" i="40"/>
  <c r="AB31" i="40"/>
  <c r="AA32" i="40"/>
  <c r="AB32" i="40"/>
  <c r="AA33" i="40"/>
  <c r="AB33" i="40"/>
  <c r="AA34" i="40"/>
  <c r="AB34" i="40"/>
  <c r="AA35" i="40"/>
  <c r="AB35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AA36" i="40"/>
  <c r="AB36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S37" i="40"/>
  <c r="T37" i="40"/>
  <c r="U37" i="40"/>
  <c r="V37" i="40"/>
  <c r="W37" i="40"/>
  <c r="X37" i="40"/>
  <c r="Y37" i="40"/>
  <c r="AA37" i="40"/>
  <c r="AB37" i="40"/>
  <c r="AA38" i="40"/>
  <c r="AB38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W39" i="40"/>
  <c r="X39" i="40"/>
  <c r="Y39" i="40"/>
  <c r="AA39" i="40"/>
  <c r="AB39" i="40"/>
  <c r="AA40" i="40"/>
  <c r="AB40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W41" i="40"/>
  <c r="X41" i="40"/>
  <c r="Y41" i="40"/>
  <c r="AA41" i="40"/>
  <c r="AB41" i="40"/>
  <c r="AA42" i="40"/>
  <c r="AB42" i="40"/>
  <c r="AA43" i="40"/>
  <c r="AB43" i="40"/>
  <c r="E44" i="40"/>
  <c r="F44" i="40"/>
  <c r="G44" i="40"/>
  <c r="H44" i="40"/>
  <c r="I44" i="40"/>
  <c r="J44" i="40"/>
  <c r="K44" i="40"/>
  <c r="L44" i="40"/>
  <c r="M44" i="40"/>
  <c r="N44" i="40"/>
  <c r="O44" i="40"/>
  <c r="P44" i="40"/>
  <c r="Q44" i="40"/>
  <c r="R44" i="40"/>
  <c r="S44" i="40"/>
  <c r="T44" i="40"/>
  <c r="U44" i="40"/>
  <c r="V44" i="40"/>
  <c r="W44" i="40"/>
  <c r="X44" i="40"/>
  <c r="Y44" i="40"/>
  <c r="AA44" i="40"/>
  <c r="AB44" i="40"/>
  <c r="AA45" i="40"/>
  <c r="AB45" i="40"/>
  <c r="AA46" i="40"/>
  <c r="AB46" i="40"/>
  <c r="AA47" i="40"/>
  <c r="AB47" i="40"/>
  <c r="AA48" i="40"/>
  <c r="AB48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R49" i="40"/>
  <c r="S49" i="40"/>
  <c r="T49" i="40"/>
  <c r="U49" i="40"/>
  <c r="V49" i="40"/>
  <c r="W49" i="40"/>
  <c r="X49" i="40"/>
  <c r="Y49" i="40"/>
  <c r="AA49" i="40"/>
  <c r="AB49" i="40"/>
  <c r="AA50" i="40"/>
  <c r="AB50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R51" i="40"/>
  <c r="S51" i="40"/>
  <c r="T51" i="40"/>
  <c r="U51" i="40"/>
  <c r="V51" i="40"/>
  <c r="W51" i="40"/>
  <c r="X51" i="40"/>
  <c r="Y51" i="40"/>
  <c r="AA51" i="40"/>
  <c r="AB51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R52" i="40"/>
  <c r="S52" i="40"/>
  <c r="T52" i="40"/>
  <c r="U52" i="40"/>
  <c r="V52" i="40"/>
  <c r="W52" i="40"/>
  <c r="X52" i="40"/>
  <c r="Y52" i="40"/>
  <c r="AA52" i="40"/>
  <c r="AB52" i="40"/>
  <c r="AA53" i="40"/>
  <c r="AB53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AA54" i="40"/>
  <c r="AB54" i="40"/>
  <c r="AA55" i="40"/>
  <c r="AB55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S56" i="40"/>
  <c r="T56" i="40"/>
  <c r="U56" i="40"/>
  <c r="V56" i="40"/>
  <c r="W56" i="40"/>
  <c r="X56" i="40"/>
  <c r="Y56" i="40"/>
  <c r="AA56" i="40"/>
  <c r="AB56" i="40"/>
  <c r="E57" i="40"/>
  <c r="AA57" i="40"/>
  <c r="AB57" i="40"/>
  <c r="AA58" i="40"/>
  <c r="AB58" i="40"/>
  <c r="AA59" i="40"/>
  <c r="AB59" i="40"/>
  <c r="AA60" i="40"/>
  <c r="AB60" i="40"/>
  <c r="AA61" i="40"/>
  <c r="AB61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S62" i="40"/>
  <c r="T62" i="40"/>
  <c r="U62" i="40"/>
  <c r="V62" i="40"/>
  <c r="W62" i="40"/>
  <c r="X62" i="40"/>
  <c r="Y62" i="40"/>
  <c r="AA62" i="40"/>
  <c r="AB62" i="40"/>
  <c r="AA63" i="40"/>
  <c r="AB63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R64" i="40"/>
  <c r="S64" i="40"/>
  <c r="T64" i="40"/>
  <c r="U64" i="40"/>
  <c r="V64" i="40"/>
  <c r="W64" i="40"/>
  <c r="X64" i="40"/>
  <c r="Y64" i="40"/>
  <c r="AA64" i="40"/>
  <c r="AB64" i="40"/>
  <c r="AA65" i="40"/>
  <c r="AB65" i="40"/>
  <c r="AA66" i="40"/>
  <c r="AB66" i="40"/>
  <c r="AA67" i="40"/>
  <c r="AB67" i="40"/>
  <c r="AA68" i="40"/>
  <c r="AB68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R69" i="40"/>
  <c r="S69" i="40"/>
  <c r="T69" i="40"/>
  <c r="U69" i="40"/>
  <c r="V69" i="40"/>
  <c r="W69" i="40"/>
  <c r="X69" i="40"/>
  <c r="Y69" i="40"/>
  <c r="AA69" i="40"/>
  <c r="AB69" i="40"/>
  <c r="AA70" i="40"/>
  <c r="AB70" i="40"/>
  <c r="E71" i="40"/>
  <c r="F71" i="40"/>
  <c r="G71" i="40"/>
  <c r="H71" i="40"/>
  <c r="I71" i="40"/>
  <c r="J71" i="40"/>
  <c r="K71" i="40"/>
  <c r="L71" i="40"/>
  <c r="M71" i="40"/>
  <c r="N71" i="40"/>
  <c r="O71" i="40"/>
  <c r="P71" i="40"/>
  <c r="Q71" i="40"/>
  <c r="R71" i="40"/>
  <c r="S71" i="40"/>
  <c r="T71" i="40"/>
  <c r="U71" i="40"/>
  <c r="V71" i="40"/>
  <c r="W71" i="40"/>
  <c r="X71" i="40"/>
  <c r="Y71" i="40"/>
  <c r="AA71" i="40"/>
  <c r="AB71" i="40"/>
  <c r="AA72" i="40"/>
  <c r="AB72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S73" i="40"/>
  <c r="T73" i="40"/>
  <c r="U73" i="40"/>
  <c r="V73" i="40"/>
  <c r="W73" i="40"/>
  <c r="X73" i="40"/>
  <c r="Y73" i="40"/>
  <c r="AA73" i="40"/>
  <c r="AB73" i="40"/>
  <c r="AA74" i="40"/>
  <c r="AB74" i="40"/>
  <c r="AA75" i="40"/>
  <c r="AB75" i="40"/>
  <c r="C76" i="40"/>
  <c r="E76" i="40"/>
  <c r="F76" i="40"/>
  <c r="G76" i="40"/>
  <c r="H76" i="40"/>
  <c r="I76" i="40"/>
  <c r="J76" i="40"/>
  <c r="K76" i="40"/>
  <c r="L76" i="40"/>
  <c r="M76" i="40"/>
  <c r="N76" i="40"/>
  <c r="O76" i="40"/>
  <c r="P76" i="40"/>
  <c r="Q76" i="40"/>
  <c r="R76" i="40"/>
  <c r="S76" i="40"/>
  <c r="T76" i="40"/>
  <c r="U76" i="40"/>
  <c r="V76" i="40"/>
  <c r="W76" i="40"/>
  <c r="X76" i="40"/>
  <c r="Y76" i="40"/>
  <c r="AA76" i="40"/>
  <c r="AB76" i="40"/>
  <c r="C77" i="40"/>
  <c r="E77" i="40"/>
  <c r="F77" i="40"/>
  <c r="G77" i="40"/>
  <c r="H77" i="40"/>
  <c r="I77" i="40"/>
  <c r="J77" i="40"/>
  <c r="K77" i="40"/>
  <c r="L77" i="40"/>
  <c r="M77" i="40"/>
  <c r="N77" i="40"/>
  <c r="O77" i="40"/>
  <c r="P77" i="40"/>
  <c r="Q77" i="40"/>
  <c r="R77" i="40"/>
  <c r="S77" i="40"/>
  <c r="T77" i="40"/>
  <c r="U77" i="40"/>
  <c r="V77" i="40"/>
  <c r="W77" i="40"/>
  <c r="X77" i="40"/>
  <c r="Y77" i="40"/>
  <c r="AA77" i="40"/>
  <c r="AB77" i="40"/>
  <c r="AA78" i="40"/>
  <c r="AB78" i="40"/>
  <c r="AA79" i="40"/>
  <c r="AB79" i="40"/>
  <c r="AA80" i="40"/>
  <c r="AB80" i="40"/>
  <c r="AA81" i="40"/>
  <c r="AB81" i="40"/>
  <c r="AA82" i="40"/>
  <c r="AB82" i="40"/>
  <c r="AA83" i="40"/>
  <c r="AB83" i="40"/>
  <c r="AA84" i="40"/>
  <c r="AB84" i="40"/>
  <c r="AA85" i="40"/>
  <c r="AB85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AA86" i="40"/>
  <c r="AB86" i="40"/>
  <c r="AA87" i="40"/>
  <c r="AB87" i="40"/>
  <c r="F88" i="40"/>
  <c r="G88" i="40"/>
  <c r="H88" i="40"/>
  <c r="I88" i="40"/>
  <c r="J88" i="40"/>
  <c r="K88" i="40"/>
  <c r="L88" i="40"/>
  <c r="M88" i="40"/>
  <c r="N88" i="40"/>
  <c r="O88" i="40"/>
  <c r="P88" i="40"/>
  <c r="Q88" i="40"/>
  <c r="R88" i="40"/>
  <c r="S88" i="40"/>
  <c r="T88" i="40"/>
  <c r="U88" i="40"/>
  <c r="V88" i="40"/>
  <c r="W88" i="40"/>
  <c r="X88" i="40"/>
  <c r="Y88" i="40"/>
  <c r="AA88" i="40"/>
  <c r="AB88" i="40"/>
  <c r="F89" i="40"/>
  <c r="G89" i="40"/>
  <c r="H89" i="40"/>
  <c r="I89" i="40"/>
  <c r="J89" i="40"/>
  <c r="K89" i="40"/>
  <c r="L89" i="40"/>
  <c r="M89" i="40"/>
  <c r="N89" i="40"/>
  <c r="O89" i="40"/>
  <c r="P89" i="40"/>
  <c r="Q89" i="40"/>
  <c r="R89" i="40"/>
  <c r="S89" i="40"/>
  <c r="T89" i="40"/>
  <c r="U89" i="40"/>
  <c r="V89" i="40"/>
  <c r="W89" i="40"/>
  <c r="X89" i="40"/>
  <c r="Y89" i="40"/>
  <c r="AA89" i="40"/>
  <c r="AB89" i="40"/>
  <c r="F90" i="40"/>
  <c r="G90" i="40"/>
  <c r="H90" i="40"/>
  <c r="I90" i="40"/>
  <c r="J90" i="40"/>
  <c r="K90" i="40"/>
  <c r="L90" i="40"/>
  <c r="M90" i="40"/>
  <c r="N90" i="40"/>
  <c r="O90" i="40"/>
  <c r="P90" i="40"/>
  <c r="Q90" i="40"/>
  <c r="R90" i="40"/>
  <c r="S90" i="40"/>
  <c r="T90" i="40"/>
  <c r="U90" i="40"/>
  <c r="V90" i="40"/>
  <c r="W90" i="40"/>
  <c r="X90" i="40"/>
  <c r="Y90" i="40"/>
  <c r="AA90" i="40"/>
  <c r="AB90" i="40"/>
  <c r="U91" i="40"/>
  <c r="AA91" i="40"/>
  <c r="AB91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S92" i="40"/>
  <c r="T92" i="40"/>
  <c r="U92" i="40"/>
  <c r="V92" i="40"/>
  <c r="W92" i="40"/>
  <c r="X92" i="40"/>
  <c r="Y92" i="40"/>
  <c r="AA92" i="40"/>
  <c r="AB92" i="40"/>
  <c r="AA93" i="40"/>
  <c r="AB93" i="40"/>
  <c r="AA94" i="40"/>
  <c r="AB94" i="40"/>
  <c r="E95" i="40"/>
  <c r="Y95" i="40"/>
  <c r="AA95" i="40"/>
  <c r="AB95" i="40"/>
  <c r="AA96" i="40"/>
  <c r="AB96" i="40"/>
  <c r="Y97" i="40"/>
  <c r="AA97" i="40"/>
  <c r="AB97" i="40"/>
  <c r="AA98" i="40"/>
  <c r="AB98" i="40"/>
  <c r="Y99" i="40"/>
  <c r="AA99" i="40"/>
  <c r="AB99" i="40"/>
  <c r="AA100" i="40"/>
  <c r="AB100" i="40"/>
  <c r="AA101" i="40"/>
  <c r="AB101" i="40"/>
  <c r="D102" i="40"/>
  <c r="AA102" i="40"/>
  <c r="AB102" i="40"/>
  <c r="D103" i="40"/>
  <c r="AA103" i="40"/>
  <c r="AB103" i="40"/>
  <c r="AA104" i="40"/>
  <c r="AB104" i="40"/>
  <c r="D105" i="40"/>
  <c r="AA105" i="40"/>
  <c r="AB105" i="40"/>
  <c r="AA106" i="40"/>
  <c r="AB106" i="40"/>
  <c r="F107" i="40"/>
  <c r="G107" i="40"/>
  <c r="H107" i="40"/>
  <c r="I107" i="40"/>
  <c r="J107" i="40"/>
  <c r="K107" i="40"/>
  <c r="L107" i="40"/>
  <c r="M107" i="40"/>
  <c r="N107" i="40"/>
  <c r="O107" i="40"/>
  <c r="P107" i="40"/>
  <c r="Q107" i="40"/>
  <c r="R107" i="40"/>
  <c r="S107" i="40"/>
  <c r="T107" i="40"/>
  <c r="U107" i="40"/>
  <c r="V107" i="40"/>
  <c r="W107" i="40"/>
  <c r="X107" i="40"/>
  <c r="Y107" i="40"/>
  <c r="AA107" i="40"/>
  <c r="AB107" i="40"/>
  <c r="AA108" i="40"/>
  <c r="AB108" i="40"/>
  <c r="D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AA109" i="40"/>
  <c r="AB109" i="40"/>
  <c r="D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AA110" i="40"/>
  <c r="AB110" i="40"/>
  <c r="AA111" i="40"/>
  <c r="AB111" i="40"/>
  <c r="AA112" i="40"/>
  <c r="AB112" i="40"/>
  <c r="D113" i="40"/>
  <c r="AA113" i="40"/>
  <c r="AB113" i="40"/>
  <c r="AA114" i="40"/>
  <c r="AB114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S115" i="40"/>
  <c r="T115" i="40"/>
  <c r="U115" i="40"/>
  <c r="AA115" i="40"/>
  <c r="AB115" i="40"/>
  <c r="D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S116" i="40"/>
  <c r="T116" i="40"/>
  <c r="U116" i="40"/>
  <c r="AA116" i="40"/>
  <c r="AB116" i="40"/>
  <c r="AA117" i="40"/>
  <c r="AB117" i="40"/>
  <c r="AA118" i="40"/>
  <c r="AB118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S119" i="40"/>
  <c r="T119" i="40"/>
  <c r="U119" i="40"/>
  <c r="V119" i="40"/>
  <c r="W119" i="40"/>
  <c r="X119" i="40"/>
  <c r="Y119" i="40"/>
  <c r="AA119" i="40"/>
  <c r="AB119" i="40"/>
  <c r="AA120" i="40"/>
  <c r="AB120" i="40"/>
  <c r="A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S121" i="40"/>
  <c r="T121" i="40"/>
  <c r="U121" i="40"/>
  <c r="V121" i="40"/>
  <c r="W121" i="40"/>
  <c r="X121" i="40"/>
  <c r="Y121" i="40"/>
  <c r="AA121" i="40"/>
  <c r="AB121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S122" i="40"/>
  <c r="T122" i="40"/>
  <c r="U122" i="40"/>
  <c r="V122" i="40"/>
  <c r="W122" i="40"/>
  <c r="X122" i="40"/>
  <c r="Y122" i="40"/>
  <c r="AA122" i="40"/>
  <c r="AB122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S123" i="40"/>
  <c r="T123" i="40"/>
  <c r="U123" i="40"/>
  <c r="V123" i="40"/>
  <c r="W123" i="40"/>
  <c r="X123" i="40"/>
  <c r="Y123" i="40"/>
  <c r="AA123" i="40"/>
  <c r="AB123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S124" i="40"/>
  <c r="T124" i="40"/>
  <c r="U124" i="40"/>
  <c r="V124" i="40"/>
  <c r="W124" i="40"/>
  <c r="X124" i="40"/>
  <c r="Y124" i="40"/>
  <c r="AA124" i="40"/>
  <c r="AB124" i="40"/>
  <c r="AA125" i="40"/>
  <c r="AB125" i="40"/>
  <c r="C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S126" i="40"/>
  <c r="T126" i="40"/>
  <c r="U126" i="40"/>
  <c r="V126" i="40"/>
  <c r="W126" i="40"/>
  <c r="X126" i="40"/>
  <c r="Y126" i="40"/>
  <c r="AA126" i="40"/>
  <c r="AB126" i="40"/>
  <c r="C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S127" i="40"/>
  <c r="T127" i="40"/>
  <c r="U127" i="40"/>
  <c r="V127" i="40"/>
  <c r="W127" i="40"/>
  <c r="X127" i="40"/>
  <c r="Y127" i="40"/>
  <c r="AA127" i="40"/>
  <c r="AB127" i="40"/>
  <c r="AA128" i="40"/>
  <c r="AB128" i="40"/>
  <c r="AA129" i="40"/>
  <c r="AB129" i="40"/>
  <c r="AA130" i="40"/>
  <c r="AB130" i="40"/>
  <c r="AA131" i="40"/>
  <c r="AB131" i="40"/>
  <c r="AA132" i="40"/>
  <c r="AB132" i="40"/>
  <c r="AA133" i="40"/>
  <c r="AB133" i="40"/>
  <c r="AA134" i="40"/>
  <c r="AB134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AA135" i="40"/>
  <c r="AB135" i="40"/>
  <c r="AA136" i="40"/>
  <c r="AB136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S137" i="40"/>
  <c r="T137" i="40"/>
  <c r="U137" i="40"/>
  <c r="V137" i="40"/>
  <c r="W137" i="40"/>
  <c r="X137" i="40"/>
  <c r="Y137" i="40"/>
  <c r="AA137" i="40"/>
  <c r="AB137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S138" i="40"/>
  <c r="T138" i="40"/>
  <c r="U138" i="40"/>
  <c r="V138" i="40"/>
  <c r="W138" i="40"/>
  <c r="X138" i="40"/>
  <c r="Y138" i="40"/>
  <c r="AA138" i="40"/>
  <c r="AB138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S139" i="40"/>
  <c r="T139" i="40"/>
  <c r="U139" i="40"/>
  <c r="V139" i="40"/>
  <c r="W139" i="40"/>
  <c r="X139" i="40"/>
  <c r="Y139" i="40"/>
  <c r="AA139" i="40"/>
  <c r="AB139" i="40"/>
  <c r="C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S140" i="40"/>
  <c r="T140" i="40"/>
  <c r="U140" i="40"/>
  <c r="V140" i="40"/>
  <c r="W140" i="40"/>
  <c r="X140" i="40"/>
  <c r="Y140" i="40"/>
  <c r="AA140" i="40"/>
  <c r="AB140" i="40"/>
  <c r="C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AA141" i="40"/>
  <c r="AB141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AA142" i="40"/>
  <c r="AB142" i="40"/>
  <c r="AA143" i="40"/>
  <c r="AB143" i="40"/>
  <c r="A144" i="40"/>
  <c r="F144" i="40"/>
  <c r="G144" i="40"/>
  <c r="H144" i="40"/>
  <c r="I144" i="40"/>
  <c r="J144" i="40"/>
  <c r="K144" i="40"/>
  <c r="L144" i="40"/>
  <c r="M144" i="40"/>
  <c r="N144" i="40"/>
  <c r="O144" i="40"/>
  <c r="P144" i="40"/>
  <c r="Q144" i="40"/>
  <c r="R144" i="40"/>
  <c r="S144" i="40"/>
  <c r="T144" i="40"/>
  <c r="U144" i="40"/>
  <c r="V144" i="40"/>
  <c r="W144" i="40"/>
  <c r="X144" i="40"/>
  <c r="Y144" i="40"/>
  <c r="AA144" i="40"/>
  <c r="AB144" i="40"/>
  <c r="F145" i="40"/>
  <c r="G145" i="40"/>
  <c r="H145" i="40"/>
  <c r="I145" i="40"/>
  <c r="J145" i="40"/>
  <c r="K145" i="40"/>
  <c r="L145" i="40"/>
  <c r="M145" i="40"/>
  <c r="N145" i="40"/>
  <c r="O145" i="40"/>
  <c r="P145" i="40"/>
  <c r="Q145" i="40"/>
  <c r="R145" i="40"/>
  <c r="S145" i="40"/>
  <c r="T145" i="40"/>
  <c r="U145" i="40"/>
  <c r="V145" i="40"/>
  <c r="W145" i="40"/>
  <c r="X145" i="40"/>
  <c r="Y145" i="40"/>
  <c r="AA145" i="40"/>
  <c r="AB145" i="40"/>
  <c r="AA146" i="40"/>
  <c r="AB146" i="40"/>
  <c r="AA147" i="40"/>
  <c r="AB147" i="40"/>
  <c r="AA148" i="40"/>
  <c r="AB148" i="40"/>
  <c r="AA149" i="40"/>
  <c r="AB149" i="40"/>
  <c r="A150" i="40"/>
  <c r="F150" i="40"/>
  <c r="G150" i="40"/>
  <c r="H150" i="40"/>
  <c r="I150" i="40"/>
  <c r="J150" i="40"/>
  <c r="K150" i="40"/>
  <c r="L150" i="40"/>
  <c r="M150" i="40"/>
  <c r="N150" i="40"/>
  <c r="O150" i="40"/>
  <c r="P150" i="40"/>
  <c r="Q150" i="40"/>
  <c r="R150" i="40"/>
  <c r="S150" i="40"/>
  <c r="T150" i="40"/>
  <c r="U150" i="40"/>
  <c r="V150" i="40"/>
  <c r="W150" i="40"/>
  <c r="X150" i="40"/>
  <c r="Y150" i="40"/>
  <c r="AA150" i="40"/>
  <c r="AB150" i="40"/>
  <c r="AA151" i="40"/>
  <c r="AB151" i="40"/>
  <c r="F152" i="40"/>
  <c r="G152" i="40"/>
  <c r="H152" i="40"/>
  <c r="I152" i="40"/>
  <c r="J152" i="40"/>
  <c r="K152" i="40"/>
  <c r="L152" i="40"/>
  <c r="M152" i="40"/>
  <c r="N152" i="40"/>
  <c r="O152" i="40"/>
  <c r="P152" i="40"/>
  <c r="Q152" i="40"/>
  <c r="R152" i="40"/>
  <c r="S152" i="40"/>
  <c r="T152" i="40"/>
  <c r="U152" i="40"/>
  <c r="V152" i="40"/>
  <c r="W152" i="40"/>
  <c r="X152" i="40"/>
  <c r="Y152" i="40"/>
  <c r="AA152" i="40"/>
  <c r="C155" i="40"/>
  <c r="C156" i="40"/>
  <c r="D160" i="40"/>
  <c r="D162" i="40"/>
  <c r="D163" i="40"/>
  <c r="C176" i="40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AA10" i="35"/>
  <c r="AB10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AA11" i="35"/>
  <c r="AB11" i="35"/>
  <c r="AA12" i="35"/>
  <c r="AB12" i="35"/>
  <c r="AA13" i="35"/>
  <c r="AB13" i="35"/>
  <c r="AA14" i="35"/>
  <c r="AB14" i="35"/>
  <c r="AA15" i="35"/>
  <c r="AB15" i="35"/>
  <c r="AA16" i="35"/>
  <c r="AB16" i="35"/>
  <c r="AA17" i="35"/>
  <c r="AB17" i="35"/>
  <c r="AA18" i="35"/>
  <c r="AB18" i="35"/>
  <c r="AA19" i="35"/>
  <c r="AB19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AA20" i="35"/>
  <c r="AB20" i="35"/>
  <c r="AA21" i="35"/>
  <c r="AB21" i="35"/>
  <c r="AA22" i="35"/>
  <c r="AB22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AA23" i="35"/>
  <c r="AB23" i="35"/>
  <c r="AA24" i="35"/>
  <c r="AB24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AA25" i="35"/>
  <c r="AB25" i="35"/>
  <c r="AA26" i="35"/>
  <c r="AB26" i="35"/>
  <c r="AA27" i="35"/>
  <c r="AB27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AA28" i="35"/>
  <c r="AB28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AA29" i="35"/>
  <c r="AB29" i="35"/>
  <c r="AA30" i="35"/>
  <c r="AB30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AA31" i="35"/>
  <c r="AB31" i="35"/>
  <c r="AA32" i="35"/>
  <c r="AB32" i="35"/>
  <c r="AA33" i="35"/>
  <c r="AB33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AA34" i="35"/>
  <c r="AB34" i="35"/>
  <c r="AA35" i="35"/>
  <c r="AB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AA36" i="35"/>
  <c r="AB36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AA37" i="35"/>
  <c r="AB37" i="35"/>
  <c r="AA38" i="35"/>
  <c r="AB38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AA39" i="35"/>
  <c r="AB39" i="35"/>
  <c r="AA40" i="35"/>
  <c r="AB40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AA41" i="35"/>
  <c r="AB41" i="35"/>
  <c r="AA42" i="35"/>
  <c r="AB42" i="35"/>
  <c r="AA43" i="35"/>
  <c r="AB43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AA44" i="35"/>
  <c r="AB44" i="35"/>
  <c r="AA45" i="35"/>
  <c r="AB45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AA46" i="35"/>
  <c r="AB46" i="35"/>
  <c r="AA47" i="35"/>
  <c r="AB47" i="35"/>
  <c r="AA48" i="35"/>
  <c r="AB48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R49" i="35"/>
  <c r="S49" i="35"/>
  <c r="T49" i="35"/>
  <c r="U49" i="35"/>
  <c r="V49" i="35"/>
  <c r="W49" i="35"/>
  <c r="X49" i="35"/>
  <c r="Y49" i="35"/>
  <c r="AA49" i="35"/>
  <c r="AB49" i="35"/>
  <c r="AA50" i="35"/>
  <c r="AB50" i="35"/>
  <c r="E51" i="35"/>
  <c r="F51" i="35"/>
  <c r="G51" i="35"/>
  <c r="H51" i="35"/>
  <c r="I51" i="35"/>
  <c r="J51" i="35"/>
  <c r="K51" i="35"/>
  <c r="L51" i="35"/>
  <c r="M51" i="35"/>
  <c r="N51" i="35"/>
  <c r="O51" i="35"/>
  <c r="P51" i="35"/>
  <c r="Q51" i="35"/>
  <c r="R51" i="35"/>
  <c r="S51" i="35"/>
  <c r="T51" i="35"/>
  <c r="U51" i="35"/>
  <c r="V51" i="35"/>
  <c r="W51" i="35"/>
  <c r="X51" i="35"/>
  <c r="Y51" i="35"/>
  <c r="AA51" i="35"/>
  <c r="AB51" i="35"/>
  <c r="E52" i="35"/>
  <c r="F52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U52" i="35"/>
  <c r="V52" i="35"/>
  <c r="W52" i="35"/>
  <c r="X52" i="35"/>
  <c r="Y52" i="35"/>
  <c r="AA52" i="35"/>
  <c r="AB52" i="35"/>
  <c r="AA53" i="35"/>
  <c r="AB53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AA54" i="35"/>
  <c r="AB54" i="35"/>
  <c r="AA55" i="35"/>
  <c r="AB55" i="35"/>
  <c r="E56" i="35"/>
  <c r="F56" i="35"/>
  <c r="G56" i="35"/>
  <c r="H56" i="35"/>
  <c r="I56" i="35"/>
  <c r="J56" i="35"/>
  <c r="K56" i="35"/>
  <c r="L56" i="35"/>
  <c r="M56" i="35"/>
  <c r="N56" i="35"/>
  <c r="O56" i="35"/>
  <c r="P56" i="35"/>
  <c r="Q56" i="35"/>
  <c r="R56" i="35"/>
  <c r="S56" i="35"/>
  <c r="T56" i="35"/>
  <c r="U56" i="35"/>
  <c r="V56" i="35"/>
  <c r="W56" i="35"/>
  <c r="X56" i="35"/>
  <c r="Y56" i="35"/>
  <c r="AA56" i="35"/>
  <c r="AB56" i="35"/>
  <c r="E57" i="35"/>
  <c r="AA57" i="35"/>
  <c r="AB57" i="35"/>
  <c r="N58" i="35"/>
  <c r="AA58" i="35"/>
  <c r="AB58" i="35"/>
  <c r="AA59" i="35"/>
  <c r="AB59" i="35"/>
  <c r="AA60" i="35"/>
  <c r="AB60" i="35"/>
  <c r="AA61" i="35"/>
  <c r="AB61" i="35"/>
  <c r="E62" i="35"/>
  <c r="F62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T62" i="35"/>
  <c r="U62" i="35"/>
  <c r="V62" i="35"/>
  <c r="W62" i="35"/>
  <c r="X62" i="35"/>
  <c r="Y62" i="35"/>
  <c r="AA62" i="35"/>
  <c r="AB62" i="35"/>
  <c r="AA63" i="35"/>
  <c r="AB63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AA64" i="35"/>
  <c r="AB64" i="35"/>
  <c r="AA65" i="35"/>
  <c r="AB65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AA66" i="35"/>
  <c r="AB66" i="35"/>
  <c r="AA67" i="35"/>
  <c r="AB67" i="35"/>
  <c r="E68" i="35"/>
  <c r="F68" i="35"/>
  <c r="G68" i="35"/>
  <c r="H68" i="35"/>
  <c r="I68" i="35"/>
  <c r="J68" i="35"/>
  <c r="K68" i="35"/>
  <c r="L68" i="35"/>
  <c r="M68" i="35"/>
  <c r="N68" i="35"/>
  <c r="O68" i="35"/>
  <c r="P68" i="35"/>
  <c r="Q68" i="35"/>
  <c r="R68" i="35"/>
  <c r="S68" i="35"/>
  <c r="T68" i="35"/>
  <c r="U68" i="35"/>
  <c r="V68" i="35"/>
  <c r="W68" i="35"/>
  <c r="X68" i="35"/>
  <c r="Y68" i="35"/>
  <c r="AA68" i="35"/>
  <c r="AB68" i="35"/>
  <c r="E69" i="35"/>
  <c r="F69" i="35"/>
  <c r="G69" i="35"/>
  <c r="H69" i="35"/>
  <c r="I69" i="35"/>
  <c r="J69" i="35"/>
  <c r="K69" i="35"/>
  <c r="L69" i="35"/>
  <c r="M69" i="35"/>
  <c r="N69" i="35"/>
  <c r="O69" i="35"/>
  <c r="P69" i="35"/>
  <c r="Q69" i="35"/>
  <c r="R69" i="35"/>
  <c r="S69" i="35"/>
  <c r="T69" i="35"/>
  <c r="U69" i="35"/>
  <c r="V69" i="35"/>
  <c r="W69" i="35"/>
  <c r="X69" i="35"/>
  <c r="Y69" i="35"/>
  <c r="AA69" i="35"/>
  <c r="AB69" i="35"/>
  <c r="AA70" i="35"/>
  <c r="AB70" i="35"/>
  <c r="E71" i="35"/>
  <c r="F71" i="35"/>
  <c r="G71" i="35"/>
  <c r="H71" i="35"/>
  <c r="I71" i="35"/>
  <c r="J71" i="35"/>
  <c r="K71" i="35"/>
  <c r="L71" i="35"/>
  <c r="M71" i="35"/>
  <c r="N71" i="35"/>
  <c r="O71" i="35"/>
  <c r="P71" i="35"/>
  <c r="Q71" i="35"/>
  <c r="R71" i="35"/>
  <c r="S71" i="35"/>
  <c r="T71" i="35"/>
  <c r="U71" i="35"/>
  <c r="V71" i="35"/>
  <c r="W71" i="35"/>
  <c r="X71" i="35"/>
  <c r="Y71" i="35"/>
  <c r="AA71" i="35"/>
  <c r="AB71" i="35"/>
  <c r="AA72" i="35"/>
  <c r="AB72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AA73" i="35"/>
  <c r="AB73" i="35"/>
  <c r="AA74" i="35"/>
  <c r="AB74" i="35"/>
  <c r="AA75" i="35"/>
  <c r="AB75" i="35"/>
  <c r="C76" i="35"/>
  <c r="E76" i="35"/>
  <c r="F76" i="35"/>
  <c r="G76" i="35"/>
  <c r="H76" i="35"/>
  <c r="I76" i="35"/>
  <c r="J76" i="35"/>
  <c r="K76" i="35"/>
  <c r="L76" i="35"/>
  <c r="M76" i="35"/>
  <c r="N76" i="35"/>
  <c r="O76" i="35"/>
  <c r="P76" i="35"/>
  <c r="Q76" i="35"/>
  <c r="R76" i="35"/>
  <c r="S76" i="35"/>
  <c r="T76" i="35"/>
  <c r="U76" i="35"/>
  <c r="V76" i="35"/>
  <c r="W76" i="35"/>
  <c r="X76" i="35"/>
  <c r="Y76" i="35"/>
  <c r="AA76" i="35"/>
  <c r="AB76" i="35"/>
  <c r="C77" i="35"/>
  <c r="E77" i="35"/>
  <c r="F77" i="35"/>
  <c r="G77" i="35"/>
  <c r="H77" i="35"/>
  <c r="I77" i="35"/>
  <c r="J77" i="35"/>
  <c r="K77" i="35"/>
  <c r="L77" i="35"/>
  <c r="M77" i="35"/>
  <c r="N77" i="35"/>
  <c r="O77" i="35"/>
  <c r="P77" i="35"/>
  <c r="Q77" i="35"/>
  <c r="R77" i="35"/>
  <c r="S77" i="35"/>
  <c r="T77" i="35"/>
  <c r="U77" i="35"/>
  <c r="V77" i="35"/>
  <c r="W77" i="35"/>
  <c r="X77" i="35"/>
  <c r="Y77" i="35"/>
  <c r="AA77" i="35"/>
  <c r="AB77" i="35"/>
  <c r="AA78" i="35"/>
  <c r="AB78" i="35"/>
  <c r="AA79" i="35"/>
  <c r="AB79" i="35"/>
  <c r="AA80" i="35"/>
  <c r="AB80" i="35"/>
  <c r="AA81" i="35"/>
  <c r="AB81" i="35"/>
  <c r="AA82" i="35"/>
  <c r="AB82" i="35"/>
  <c r="AA83" i="35"/>
  <c r="AB83" i="35"/>
  <c r="AA84" i="35"/>
  <c r="AB84" i="35"/>
  <c r="AA85" i="35"/>
  <c r="AB85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AA86" i="35"/>
  <c r="AB86" i="35"/>
  <c r="AA87" i="35"/>
  <c r="AB87" i="35"/>
  <c r="F88" i="35"/>
  <c r="G88" i="35"/>
  <c r="H88" i="35"/>
  <c r="I88" i="35"/>
  <c r="J88" i="35"/>
  <c r="K88" i="35"/>
  <c r="L88" i="35"/>
  <c r="M88" i="35"/>
  <c r="N88" i="35"/>
  <c r="O88" i="35"/>
  <c r="P88" i="35"/>
  <c r="Q88" i="35"/>
  <c r="R88" i="35"/>
  <c r="S88" i="35"/>
  <c r="T88" i="35"/>
  <c r="U88" i="35"/>
  <c r="V88" i="35"/>
  <c r="W88" i="35"/>
  <c r="X88" i="35"/>
  <c r="Y88" i="35"/>
  <c r="AA88" i="35"/>
  <c r="AB88" i="35"/>
  <c r="F89" i="35"/>
  <c r="G89" i="35"/>
  <c r="H89" i="35"/>
  <c r="I89" i="35"/>
  <c r="J89" i="35"/>
  <c r="K89" i="35"/>
  <c r="L89" i="35"/>
  <c r="M89" i="35"/>
  <c r="N89" i="35"/>
  <c r="O89" i="35"/>
  <c r="P89" i="35"/>
  <c r="Q89" i="35"/>
  <c r="R89" i="35"/>
  <c r="S89" i="35"/>
  <c r="T89" i="35"/>
  <c r="U89" i="35"/>
  <c r="V89" i="35"/>
  <c r="W89" i="35"/>
  <c r="X89" i="35"/>
  <c r="Y89" i="35"/>
  <c r="AA89" i="35"/>
  <c r="AB89" i="35"/>
  <c r="F90" i="35"/>
  <c r="G90" i="35"/>
  <c r="H90" i="35"/>
  <c r="I90" i="35"/>
  <c r="J90" i="35"/>
  <c r="K90" i="35"/>
  <c r="L90" i="35"/>
  <c r="M90" i="35"/>
  <c r="N90" i="35"/>
  <c r="O90" i="35"/>
  <c r="P90" i="35"/>
  <c r="Q90" i="35"/>
  <c r="R90" i="35"/>
  <c r="S90" i="35"/>
  <c r="T90" i="35"/>
  <c r="U90" i="35"/>
  <c r="V90" i="35"/>
  <c r="W90" i="35"/>
  <c r="X90" i="35"/>
  <c r="Y90" i="35"/>
  <c r="AA90" i="35"/>
  <c r="AB90" i="35"/>
  <c r="X91" i="35"/>
  <c r="AA91" i="35"/>
  <c r="AB91" i="35"/>
  <c r="F92" i="35"/>
  <c r="G92" i="35"/>
  <c r="H92" i="35"/>
  <c r="I92" i="35"/>
  <c r="J92" i="35"/>
  <c r="K92" i="35"/>
  <c r="L92" i="35"/>
  <c r="M92" i="35"/>
  <c r="N92" i="35"/>
  <c r="O92" i="35"/>
  <c r="P92" i="35"/>
  <c r="Q92" i="35"/>
  <c r="R92" i="35"/>
  <c r="S92" i="35"/>
  <c r="T92" i="35"/>
  <c r="U92" i="35"/>
  <c r="V92" i="35"/>
  <c r="W92" i="35"/>
  <c r="X92" i="35"/>
  <c r="Y92" i="35"/>
  <c r="AA92" i="35"/>
  <c r="AB92" i="35"/>
  <c r="AA93" i="35"/>
  <c r="AB93" i="35"/>
  <c r="AA94" i="35"/>
  <c r="AB94" i="35"/>
  <c r="E95" i="35"/>
  <c r="Y95" i="35"/>
  <c r="AA95" i="35"/>
  <c r="AB95" i="35"/>
  <c r="AA96" i="35"/>
  <c r="AB96" i="35"/>
  <c r="Y97" i="35"/>
  <c r="AA97" i="35"/>
  <c r="AB97" i="35"/>
  <c r="AA98" i="35"/>
  <c r="AB98" i="35"/>
  <c r="Y99" i="35"/>
  <c r="AA99" i="35"/>
  <c r="AB99" i="35"/>
  <c r="AA100" i="35"/>
  <c r="AB100" i="35"/>
  <c r="D101" i="35"/>
  <c r="H101" i="35"/>
  <c r="AA101" i="35"/>
  <c r="AB101" i="35"/>
  <c r="D102" i="35"/>
  <c r="AA102" i="35"/>
  <c r="AB102" i="35"/>
  <c r="D103" i="35"/>
  <c r="AA103" i="35"/>
  <c r="AB103" i="35"/>
  <c r="AA104" i="35"/>
  <c r="AB104" i="35"/>
  <c r="D105" i="35"/>
  <c r="AA105" i="35"/>
  <c r="AB105" i="35"/>
  <c r="AA106" i="35"/>
  <c r="AB106" i="35"/>
  <c r="F107" i="35"/>
  <c r="G107" i="35"/>
  <c r="H107" i="35"/>
  <c r="I107" i="35"/>
  <c r="J107" i="35"/>
  <c r="K107" i="35"/>
  <c r="L107" i="35"/>
  <c r="M107" i="35"/>
  <c r="N107" i="35"/>
  <c r="O107" i="35"/>
  <c r="P107" i="35"/>
  <c r="Q107" i="35"/>
  <c r="R107" i="35"/>
  <c r="S107" i="35"/>
  <c r="T107" i="35"/>
  <c r="U107" i="35"/>
  <c r="V107" i="35"/>
  <c r="W107" i="35"/>
  <c r="X107" i="35"/>
  <c r="Y107" i="35"/>
  <c r="AA107" i="35"/>
  <c r="AB107" i="35"/>
  <c r="AA108" i="35"/>
  <c r="AB108" i="35"/>
  <c r="D109" i="35"/>
  <c r="F109" i="35"/>
  <c r="G109" i="35"/>
  <c r="H109" i="35"/>
  <c r="I109" i="35"/>
  <c r="J109" i="35"/>
  <c r="K109" i="35"/>
  <c r="L109" i="35"/>
  <c r="M109" i="35"/>
  <c r="N109" i="35"/>
  <c r="O109" i="35"/>
  <c r="P109" i="35"/>
  <c r="Q109" i="35"/>
  <c r="R109" i="35"/>
  <c r="S109" i="35"/>
  <c r="T109" i="35"/>
  <c r="U109" i="35"/>
  <c r="V109" i="35"/>
  <c r="W109" i="35"/>
  <c r="X109" i="35"/>
  <c r="AA109" i="35"/>
  <c r="AB109" i="35"/>
  <c r="D110" i="35"/>
  <c r="F110" i="35"/>
  <c r="G110" i="35"/>
  <c r="H110" i="35"/>
  <c r="I110" i="35"/>
  <c r="J110" i="35"/>
  <c r="K110" i="35"/>
  <c r="L110" i="35"/>
  <c r="M110" i="35"/>
  <c r="N110" i="35"/>
  <c r="O110" i="35"/>
  <c r="P110" i="35"/>
  <c r="Q110" i="35"/>
  <c r="R110" i="35"/>
  <c r="S110" i="35"/>
  <c r="T110" i="35"/>
  <c r="U110" i="35"/>
  <c r="V110" i="35"/>
  <c r="W110" i="35"/>
  <c r="X110" i="35"/>
  <c r="AA110" i="35"/>
  <c r="AB110" i="35"/>
  <c r="AA111" i="35"/>
  <c r="AB111" i="35"/>
  <c r="AA112" i="35"/>
  <c r="AB112" i="35"/>
  <c r="D113" i="35"/>
  <c r="AA113" i="35"/>
  <c r="AB113" i="35"/>
  <c r="AA114" i="35"/>
  <c r="AB114" i="35"/>
  <c r="F115" i="35"/>
  <c r="G115" i="35"/>
  <c r="H115" i="35"/>
  <c r="I115" i="35"/>
  <c r="J115" i="35"/>
  <c r="K115" i="35"/>
  <c r="L115" i="35"/>
  <c r="M115" i="35"/>
  <c r="N115" i="35"/>
  <c r="O115" i="35"/>
  <c r="P115" i="35"/>
  <c r="Q115" i="35"/>
  <c r="R115" i="35"/>
  <c r="S115" i="35"/>
  <c r="T115" i="35"/>
  <c r="U115" i="35"/>
  <c r="V115" i="35"/>
  <c r="W115" i="35"/>
  <c r="X115" i="35"/>
  <c r="AA115" i="35"/>
  <c r="AB115" i="35"/>
  <c r="D116" i="35"/>
  <c r="F116" i="35"/>
  <c r="G116" i="35"/>
  <c r="H116" i="35"/>
  <c r="I116" i="35"/>
  <c r="J116" i="35"/>
  <c r="K116" i="35"/>
  <c r="L116" i="35"/>
  <c r="M116" i="35"/>
  <c r="N116" i="35"/>
  <c r="O116" i="35"/>
  <c r="P116" i="35"/>
  <c r="Q116" i="35"/>
  <c r="R116" i="35"/>
  <c r="S116" i="35"/>
  <c r="T116" i="35"/>
  <c r="U116" i="35"/>
  <c r="V116" i="35"/>
  <c r="W116" i="35"/>
  <c r="X116" i="35"/>
  <c r="AA116" i="35"/>
  <c r="AB116" i="35"/>
  <c r="AA117" i="35"/>
  <c r="AB117" i="35"/>
  <c r="AA118" i="35"/>
  <c r="AB118" i="35"/>
  <c r="F119" i="35"/>
  <c r="G119" i="35"/>
  <c r="H119" i="35"/>
  <c r="I119" i="35"/>
  <c r="J119" i="35"/>
  <c r="K119" i="35"/>
  <c r="L119" i="35"/>
  <c r="M119" i="35"/>
  <c r="N119" i="35"/>
  <c r="O119" i="35"/>
  <c r="P119" i="35"/>
  <c r="Q119" i="35"/>
  <c r="R119" i="35"/>
  <c r="S119" i="35"/>
  <c r="T119" i="35"/>
  <c r="U119" i="35"/>
  <c r="V119" i="35"/>
  <c r="W119" i="35"/>
  <c r="X119" i="35"/>
  <c r="Y119" i="35"/>
  <c r="AA119" i="35"/>
  <c r="AB119" i="35"/>
  <c r="AA120" i="35"/>
  <c r="AB120" i="35"/>
  <c r="A121" i="35"/>
  <c r="F121" i="35"/>
  <c r="G121" i="35"/>
  <c r="H121" i="35"/>
  <c r="I121" i="35"/>
  <c r="J121" i="35"/>
  <c r="K121" i="35"/>
  <c r="L121" i="35"/>
  <c r="M121" i="35"/>
  <c r="N121" i="35"/>
  <c r="O121" i="35"/>
  <c r="P121" i="35"/>
  <c r="Q121" i="35"/>
  <c r="R121" i="35"/>
  <c r="S121" i="35"/>
  <c r="T121" i="35"/>
  <c r="U121" i="35"/>
  <c r="V121" i="35"/>
  <c r="W121" i="35"/>
  <c r="X121" i="35"/>
  <c r="Y121" i="35"/>
  <c r="AA121" i="35"/>
  <c r="AB121" i="35"/>
  <c r="F122" i="35"/>
  <c r="G122" i="35"/>
  <c r="H122" i="35"/>
  <c r="I122" i="35"/>
  <c r="J122" i="35"/>
  <c r="K122" i="35"/>
  <c r="L122" i="35"/>
  <c r="M122" i="35"/>
  <c r="N122" i="35"/>
  <c r="O122" i="35"/>
  <c r="P122" i="35"/>
  <c r="Q122" i="35"/>
  <c r="R122" i="35"/>
  <c r="S122" i="35"/>
  <c r="T122" i="35"/>
  <c r="U122" i="35"/>
  <c r="V122" i="35"/>
  <c r="W122" i="35"/>
  <c r="X122" i="35"/>
  <c r="Y122" i="35"/>
  <c r="AA122" i="35"/>
  <c r="AB122" i="35"/>
  <c r="F123" i="35"/>
  <c r="G123" i="35"/>
  <c r="H123" i="35"/>
  <c r="I123" i="35"/>
  <c r="J123" i="35"/>
  <c r="K123" i="35"/>
  <c r="L123" i="35"/>
  <c r="M123" i="35"/>
  <c r="N123" i="35"/>
  <c r="O123" i="35"/>
  <c r="P123" i="35"/>
  <c r="Q123" i="35"/>
  <c r="R123" i="35"/>
  <c r="S123" i="35"/>
  <c r="T123" i="35"/>
  <c r="U123" i="35"/>
  <c r="V123" i="35"/>
  <c r="W123" i="35"/>
  <c r="X123" i="35"/>
  <c r="Y123" i="35"/>
  <c r="AA123" i="35"/>
  <c r="AB123" i="35"/>
  <c r="F124" i="35"/>
  <c r="G124" i="35"/>
  <c r="H124" i="35"/>
  <c r="I124" i="35"/>
  <c r="J124" i="35"/>
  <c r="K124" i="35"/>
  <c r="L124" i="35"/>
  <c r="M124" i="35"/>
  <c r="N124" i="35"/>
  <c r="O124" i="35"/>
  <c r="P124" i="35"/>
  <c r="Q124" i="35"/>
  <c r="R124" i="35"/>
  <c r="S124" i="35"/>
  <c r="T124" i="35"/>
  <c r="U124" i="35"/>
  <c r="V124" i="35"/>
  <c r="W124" i="35"/>
  <c r="X124" i="35"/>
  <c r="Y124" i="35"/>
  <c r="AA124" i="35"/>
  <c r="AB124" i="35"/>
  <c r="AA125" i="35"/>
  <c r="AB125" i="35"/>
  <c r="C126" i="35"/>
  <c r="F126" i="35"/>
  <c r="G126" i="35"/>
  <c r="H126" i="35"/>
  <c r="I126" i="35"/>
  <c r="J126" i="35"/>
  <c r="K126" i="35"/>
  <c r="L126" i="35"/>
  <c r="M126" i="35"/>
  <c r="N126" i="35"/>
  <c r="O126" i="35"/>
  <c r="P126" i="35"/>
  <c r="Q126" i="35"/>
  <c r="R126" i="35"/>
  <c r="S126" i="35"/>
  <c r="T126" i="35"/>
  <c r="U126" i="35"/>
  <c r="V126" i="35"/>
  <c r="W126" i="35"/>
  <c r="X126" i="35"/>
  <c r="Y126" i="35"/>
  <c r="AA126" i="35"/>
  <c r="AB126" i="35"/>
  <c r="C127" i="35"/>
  <c r="F127" i="35"/>
  <c r="G127" i="35"/>
  <c r="H127" i="35"/>
  <c r="I127" i="35"/>
  <c r="J127" i="35"/>
  <c r="K127" i="35"/>
  <c r="L127" i="35"/>
  <c r="M127" i="35"/>
  <c r="N127" i="35"/>
  <c r="O127" i="35"/>
  <c r="P127" i="35"/>
  <c r="Q127" i="35"/>
  <c r="R127" i="35"/>
  <c r="S127" i="35"/>
  <c r="T127" i="35"/>
  <c r="U127" i="35"/>
  <c r="V127" i="35"/>
  <c r="W127" i="35"/>
  <c r="X127" i="35"/>
  <c r="Y127" i="35"/>
  <c r="AA127" i="35"/>
  <c r="AB127" i="35"/>
  <c r="AA128" i="35"/>
  <c r="AB128" i="35"/>
  <c r="AA129" i="35"/>
  <c r="AB129" i="35"/>
  <c r="AA130" i="35"/>
  <c r="AB130" i="35"/>
  <c r="AA131" i="35"/>
  <c r="AB131" i="35"/>
  <c r="AA132" i="35"/>
  <c r="AB132" i="35"/>
  <c r="AA133" i="35"/>
  <c r="AB133" i="35"/>
  <c r="AA134" i="35"/>
  <c r="AB134" i="35"/>
  <c r="F135" i="35"/>
  <c r="G135" i="35"/>
  <c r="H135" i="35"/>
  <c r="I135" i="35"/>
  <c r="J135" i="35"/>
  <c r="K135" i="35"/>
  <c r="L135" i="35"/>
  <c r="M135" i="35"/>
  <c r="N135" i="35"/>
  <c r="O135" i="35"/>
  <c r="P135" i="35"/>
  <c r="Q135" i="35"/>
  <c r="R135" i="35"/>
  <c r="S135" i="35"/>
  <c r="T135" i="35"/>
  <c r="U135" i="35"/>
  <c r="V135" i="35"/>
  <c r="W135" i="35"/>
  <c r="X135" i="35"/>
  <c r="Y135" i="35"/>
  <c r="AA135" i="35"/>
  <c r="AB135" i="35"/>
  <c r="AA136" i="35"/>
  <c r="AB136" i="35"/>
  <c r="F137" i="35"/>
  <c r="G137" i="35"/>
  <c r="H137" i="35"/>
  <c r="I137" i="35"/>
  <c r="J137" i="35"/>
  <c r="K137" i="35"/>
  <c r="L137" i="35"/>
  <c r="M137" i="35"/>
  <c r="N137" i="35"/>
  <c r="O137" i="35"/>
  <c r="P137" i="35"/>
  <c r="Q137" i="35"/>
  <c r="R137" i="35"/>
  <c r="S137" i="35"/>
  <c r="T137" i="35"/>
  <c r="U137" i="35"/>
  <c r="V137" i="35"/>
  <c r="W137" i="35"/>
  <c r="X137" i="35"/>
  <c r="Y137" i="35"/>
  <c r="AA137" i="35"/>
  <c r="AB137" i="35"/>
  <c r="F138" i="35"/>
  <c r="G138" i="35"/>
  <c r="H138" i="35"/>
  <c r="I138" i="35"/>
  <c r="J138" i="35"/>
  <c r="K138" i="35"/>
  <c r="L138" i="35"/>
  <c r="M138" i="35"/>
  <c r="N138" i="35"/>
  <c r="O138" i="35"/>
  <c r="P138" i="35"/>
  <c r="Q138" i="35"/>
  <c r="R138" i="35"/>
  <c r="S138" i="35"/>
  <c r="T138" i="35"/>
  <c r="U138" i="35"/>
  <c r="V138" i="35"/>
  <c r="W138" i="35"/>
  <c r="X138" i="35"/>
  <c r="Y138" i="35"/>
  <c r="AA138" i="35"/>
  <c r="AB138" i="35"/>
  <c r="F139" i="35"/>
  <c r="G139" i="35"/>
  <c r="H139" i="35"/>
  <c r="I139" i="35"/>
  <c r="J139" i="35"/>
  <c r="K139" i="35"/>
  <c r="L139" i="35"/>
  <c r="M139" i="35"/>
  <c r="N139" i="35"/>
  <c r="O139" i="35"/>
  <c r="P139" i="35"/>
  <c r="Q139" i="35"/>
  <c r="R139" i="35"/>
  <c r="S139" i="35"/>
  <c r="T139" i="35"/>
  <c r="U139" i="35"/>
  <c r="V139" i="35"/>
  <c r="W139" i="35"/>
  <c r="X139" i="35"/>
  <c r="Y139" i="35"/>
  <c r="AA139" i="35"/>
  <c r="AB139" i="35"/>
  <c r="C140" i="35"/>
  <c r="F140" i="35"/>
  <c r="G140" i="35"/>
  <c r="H140" i="35"/>
  <c r="I140" i="35"/>
  <c r="J140" i="35"/>
  <c r="K140" i="35"/>
  <c r="L140" i="35"/>
  <c r="M140" i="35"/>
  <c r="N140" i="35"/>
  <c r="O140" i="35"/>
  <c r="P140" i="35"/>
  <c r="Q140" i="35"/>
  <c r="R140" i="35"/>
  <c r="S140" i="35"/>
  <c r="T140" i="35"/>
  <c r="U140" i="35"/>
  <c r="V140" i="35"/>
  <c r="W140" i="35"/>
  <c r="X140" i="35"/>
  <c r="Y140" i="35"/>
  <c r="AA140" i="35"/>
  <c r="AB140" i="35"/>
  <c r="C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T141" i="35"/>
  <c r="U141" i="35"/>
  <c r="V141" i="35"/>
  <c r="W141" i="35"/>
  <c r="X141" i="35"/>
  <c r="Y141" i="35"/>
  <c r="AA141" i="35"/>
  <c r="AB141" i="35"/>
  <c r="F142" i="35"/>
  <c r="G142" i="35"/>
  <c r="H142" i="35"/>
  <c r="I142" i="35"/>
  <c r="J142" i="35"/>
  <c r="K142" i="35"/>
  <c r="L142" i="35"/>
  <c r="M142" i="35"/>
  <c r="N142" i="35"/>
  <c r="O142" i="35"/>
  <c r="P142" i="35"/>
  <c r="Q142" i="35"/>
  <c r="R142" i="35"/>
  <c r="S142" i="35"/>
  <c r="T142" i="35"/>
  <c r="U142" i="35"/>
  <c r="V142" i="35"/>
  <c r="W142" i="35"/>
  <c r="X142" i="35"/>
  <c r="Y142" i="35"/>
  <c r="AA142" i="35"/>
  <c r="AB142" i="35"/>
  <c r="AA143" i="35"/>
  <c r="AB143" i="35"/>
  <c r="A144" i="35"/>
  <c r="F144" i="35"/>
  <c r="G144" i="35"/>
  <c r="H144" i="35"/>
  <c r="I144" i="35"/>
  <c r="J144" i="35"/>
  <c r="K144" i="35"/>
  <c r="L144" i="35"/>
  <c r="M144" i="35"/>
  <c r="N144" i="35"/>
  <c r="O144" i="35"/>
  <c r="P144" i="35"/>
  <c r="Q144" i="35"/>
  <c r="R144" i="35"/>
  <c r="S144" i="35"/>
  <c r="T144" i="35"/>
  <c r="U144" i="35"/>
  <c r="V144" i="35"/>
  <c r="W144" i="35"/>
  <c r="X144" i="35"/>
  <c r="Y144" i="35"/>
  <c r="AA144" i="35"/>
  <c r="AB144" i="35"/>
  <c r="F145" i="35"/>
  <c r="G145" i="35"/>
  <c r="H145" i="35"/>
  <c r="I145" i="35"/>
  <c r="J145" i="35"/>
  <c r="K145" i="35"/>
  <c r="L145" i="35"/>
  <c r="M145" i="35"/>
  <c r="N145" i="35"/>
  <c r="O145" i="35"/>
  <c r="P145" i="35"/>
  <c r="Q145" i="35"/>
  <c r="R145" i="35"/>
  <c r="S145" i="35"/>
  <c r="T145" i="35"/>
  <c r="U145" i="35"/>
  <c r="V145" i="35"/>
  <c r="W145" i="35"/>
  <c r="X145" i="35"/>
  <c r="Y145" i="35"/>
  <c r="AA145" i="35"/>
  <c r="AB145" i="35"/>
  <c r="AA146" i="35"/>
  <c r="AB146" i="35"/>
  <c r="AA147" i="35"/>
  <c r="AB147" i="35"/>
  <c r="AA148" i="35"/>
  <c r="AB148" i="35"/>
  <c r="AA149" i="35"/>
  <c r="AB149" i="35"/>
  <c r="A150" i="35"/>
  <c r="F150" i="35"/>
  <c r="G150" i="35"/>
  <c r="H150" i="35"/>
  <c r="I150" i="35"/>
  <c r="J150" i="35"/>
  <c r="K150" i="35"/>
  <c r="L150" i="35"/>
  <c r="M150" i="35"/>
  <c r="N150" i="35"/>
  <c r="O150" i="35"/>
  <c r="P150" i="35"/>
  <c r="Q150" i="35"/>
  <c r="R150" i="35"/>
  <c r="S150" i="35"/>
  <c r="T150" i="35"/>
  <c r="U150" i="35"/>
  <c r="V150" i="35"/>
  <c r="W150" i="35"/>
  <c r="X150" i="35"/>
  <c r="AA150" i="35"/>
  <c r="AB150" i="35"/>
  <c r="AA151" i="35"/>
  <c r="AB151" i="35"/>
  <c r="F152" i="35"/>
  <c r="G152" i="35"/>
  <c r="H152" i="35"/>
  <c r="I152" i="35"/>
  <c r="J152" i="35"/>
  <c r="K152" i="35"/>
  <c r="L152" i="35"/>
  <c r="M152" i="35"/>
  <c r="N152" i="35"/>
  <c r="O152" i="35"/>
  <c r="P152" i="35"/>
  <c r="Q152" i="35"/>
  <c r="R152" i="35"/>
  <c r="S152" i="35"/>
  <c r="T152" i="35"/>
  <c r="U152" i="35"/>
  <c r="V152" i="35"/>
  <c r="W152" i="35"/>
  <c r="X152" i="35"/>
  <c r="Y152" i="35"/>
  <c r="AA152" i="35"/>
  <c r="C155" i="35"/>
  <c r="C156" i="35"/>
  <c r="D160" i="35"/>
  <c r="D161" i="35"/>
  <c r="D162" i="35"/>
  <c r="D163" i="35"/>
  <c r="D164" i="35"/>
  <c r="C177" i="35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AA10" i="37"/>
  <c r="AB10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AA11" i="37"/>
  <c r="AB11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AA12" i="37"/>
  <c r="AB12" i="37"/>
  <c r="AA13" i="37"/>
  <c r="AB13" i="37"/>
  <c r="AA14" i="37"/>
  <c r="AB14" i="37"/>
  <c r="AA15" i="37"/>
  <c r="AB15" i="37"/>
  <c r="AA16" i="37"/>
  <c r="AB16" i="37"/>
  <c r="AA17" i="37"/>
  <c r="AB17" i="37"/>
  <c r="AA18" i="37"/>
  <c r="AB18" i="37"/>
  <c r="AA19" i="37"/>
  <c r="AB19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AA20" i="37"/>
  <c r="AB20" i="37"/>
  <c r="AA21" i="37"/>
  <c r="AB21" i="37"/>
  <c r="AA22" i="37"/>
  <c r="AB22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AA23" i="37"/>
  <c r="AB23" i="37"/>
  <c r="AA24" i="37"/>
  <c r="AB24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AA25" i="37"/>
  <c r="AB25" i="37"/>
  <c r="AA26" i="37"/>
  <c r="AB26" i="37"/>
  <c r="AA27" i="37"/>
  <c r="AB27" i="37"/>
  <c r="AA28" i="37"/>
  <c r="AB28" i="37"/>
  <c r="AA29" i="37"/>
  <c r="AB29" i="37"/>
  <c r="AA30" i="37"/>
  <c r="AB30" i="37"/>
  <c r="AA31" i="37"/>
  <c r="AB31" i="37"/>
  <c r="AA32" i="37"/>
  <c r="AB32" i="37"/>
  <c r="AA33" i="37"/>
  <c r="AB33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AA34" i="37"/>
  <c r="AB34" i="37"/>
  <c r="AA35" i="37"/>
  <c r="AB35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AA36" i="37"/>
  <c r="AB36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AA37" i="37"/>
  <c r="AB37" i="37"/>
  <c r="AA38" i="37"/>
  <c r="AB38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AA39" i="37"/>
  <c r="AB39" i="37"/>
  <c r="AA40" i="37"/>
  <c r="AB40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AA41" i="37"/>
  <c r="AB41" i="37"/>
  <c r="AA42" i="37"/>
  <c r="AB42" i="37"/>
  <c r="AA43" i="37"/>
  <c r="AB43" i="37"/>
  <c r="E44" i="37"/>
  <c r="F44" i="37"/>
  <c r="G44" i="37"/>
  <c r="H44" i="37"/>
  <c r="I44" i="37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AA44" i="37"/>
  <c r="AB44" i="37"/>
  <c r="AA45" i="37"/>
  <c r="AB45" i="37"/>
  <c r="AA46" i="37"/>
  <c r="AB46" i="37"/>
  <c r="AA47" i="37"/>
  <c r="AB47" i="37"/>
  <c r="AA48" i="37"/>
  <c r="AB48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AA49" i="37"/>
  <c r="AB49" i="37"/>
  <c r="AA50" i="37"/>
  <c r="AB50" i="37"/>
  <c r="E51" i="37"/>
  <c r="F51" i="37"/>
  <c r="G51" i="37"/>
  <c r="H51" i="37"/>
  <c r="I51" i="37"/>
  <c r="J51" i="37"/>
  <c r="K51" i="37"/>
  <c r="L51" i="37"/>
  <c r="M51" i="37"/>
  <c r="N51" i="37"/>
  <c r="O51" i="37"/>
  <c r="P51" i="37"/>
  <c r="Q51" i="37"/>
  <c r="R51" i="37"/>
  <c r="S51" i="37"/>
  <c r="T51" i="37"/>
  <c r="U51" i="37"/>
  <c r="V51" i="37"/>
  <c r="W51" i="37"/>
  <c r="X51" i="37"/>
  <c r="Y51" i="37"/>
  <c r="AA51" i="37"/>
  <c r="AB51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Q52" i="37"/>
  <c r="R52" i="37"/>
  <c r="S52" i="37"/>
  <c r="T52" i="37"/>
  <c r="U52" i="37"/>
  <c r="V52" i="37"/>
  <c r="W52" i="37"/>
  <c r="X52" i="37"/>
  <c r="Y52" i="37"/>
  <c r="AA52" i="37"/>
  <c r="AB52" i="37"/>
  <c r="AA53" i="37"/>
  <c r="AB53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AA54" i="37"/>
  <c r="AB54" i="37"/>
  <c r="AA55" i="37"/>
  <c r="AB55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AA56" i="37"/>
  <c r="AB56" i="37"/>
  <c r="E57" i="37"/>
  <c r="AA57" i="37"/>
  <c r="AB57" i="37"/>
  <c r="AA58" i="37"/>
  <c r="AB58" i="37"/>
  <c r="AA59" i="37"/>
  <c r="AB59" i="37"/>
  <c r="AA60" i="37"/>
  <c r="AB60" i="37"/>
  <c r="AA61" i="37"/>
  <c r="AB61" i="37"/>
  <c r="E62" i="37"/>
  <c r="F62" i="37"/>
  <c r="G62" i="37"/>
  <c r="H62" i="37"/>
  <c r="I62" i="37"/>
  <c r="J62" i="37"/>
  <c r="K62" i="37"/>
  <c r="L62" i="37"/>
  <c r="M62" i="37"/>
  <c r="N62" i="37"/>
  <c r="O62" i="37"/>
  <c r="P62" i="37"/>
  <c r="Q62" i="37"/>
  <c r="R62" i="37"/>
  <c r="S62" i="37"/>
  <c r="T62" i="37"/>
  <c r="U62" i="37"/>
  <c r="V62" i="37"/>
  <c r="W62" i="37"/>
  <c r="X62" i="37"/>
  <c r="Y62" i="37"/>
  <c r="AA62" i="37"/>
  <c r="AB62" i="37"/>
  <c r="AA63" i="37"/>
  <c r="AB63" i="37"/>
  <c r="E64" i="37"/>
  <c r="F64" i="37"/>
  <c r="G64" i="37"/>
  <c r="H64" i="37"/>
  <c r="I64" i="37"/>
  <c r="J64" i="37"/>
  <c r="K64" i="37"/>
  <c r="L64" i="37"/>
  <c r="M64" i="37"/>
  <c r="N64" i="37"/>
  <c r="O64" i="37"/>
  <c r="P64" i="37"/>
  <c r="Q64" i="37"/>
  <c r="R64" i="37"/>
  <c r="S64" i="37"/>
  <c r="T64" i="37"/>
  <c r="U64" i="37"/>
  <c r="V64" i="37"/>
  <c r="W64" i="37"/>
  <c r="X64" i="37"/>
  <c r="Y64" i="37"/>
  <c r="AA64" i="37"/>
  <c r="AB64" i="37"/>
  <c r="AA65" i="37"/>
  <c r="AB65" i="37"/>
  <c r="AA66" i="37"/>
  <c r="AB66" i="37"/>
  <c r="AA67" i="37"/>
  <c r="AB67" i="37"/>
  <c r="AA68" i="37"/>
  <c r="AB68" i="37"/>
  <c r="E69" i="37"/>
  <c r="F69" i="37"/>
  <c r="G69" i="37"/>
  <c r="H69" i="37"/>
  <c r="I69" i="37"/>
  <c r="J69" i="37"/>
  <c r="K69" i="37"/>
  <c r="L69" i="37"/>
  <c r="M69" i="37"/>
  <c r="N69" i="37"/>
  <c r="O69" i="37"/>
  <c r="P69" i="37"/>
  <c r="Q69" i="37"/>
  <c r="R69" i="37"/>
  <c r="S69" i="37"/>
  <c r="T69" i="37"/>
  <c r="U69" i="37"/>
  <c r="V69" i="37"/>
  <c r="W69" i="37"/>
  <c r="X69" i="37"/>
  <c r="Y69" i="37"/>
  <c r="AA69" i="37"/>
  <c r="AB69" i="37"/>
  <c r="AA70" i="37"/>
  <c r="AB70" i="37"/>
  <c r="E71" i="37"/>
  <c r="F71" i="37"/>
  <c r="G71" i="37"/>
  <c r="H71" i="37"/>
  <c r="I71" i="37"/>
  <c r="J71" i="37"/>
  <c r="K71" i="37"/>
  <c r="L71" i="37"/>
  <c r="M71" i="37"/>
  <c r="N71" i="37"/>
  <c r="O71" i="37"/>
  <c r="P71" i="37"/>
  <c r="Q71" i="37"/>
  <c r="R71" i="37"/>
  <c r="S71" i="37"/>
  <c r="T71" i="37"/>
  <c r="U71" i="37"/>
  <c r="V71" i="37"/>
  <c r="W71" i="37"/>
  <c r="X71" i="37"/>
  <c r="Y71" i="37"/>
  <c r="AA71" i="37"/>
  <c r="AB71" i="37"/>
  <c r="AA72" i="37"/>
  <c r="AB72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AA73" i="37"/>
  <c r="AB73" i="37"/>
  <c r="AA74" i="37"/>
  <c r="AB74" i="37"/>
  <c r="AA75" i="37"/>
  <c r="AB75" i="37"/>
  <c r="C76" i="37"/>
  <c r="E76" i="37"/>
  <c r="F76" i="37"/>
  <c r="G76" i="37"/>
  <c r="H76" i="37"/>
  <c r="I76" i="37"/>
  <c r="J76" i="37"/>
  <c r="K76" i="37"/>
  <c r="L76" i="37"/>
  <c r="M76" i="37"/>
  <c r="N76" i="37"/>
  <c r="O76" i="37"/>
  <c r="P76" i="37"/>
  <c r="Q76" i="37"/>
  <c r="R76" i="37"/>
  <c r="S76" i="37"/>
  <c r="T76" i="37"/>
  <c r="U76" i="37"/>
  <c r="V76" i="37"/>
  <c r="W76" i="37"/>
  <c r="X76" i="37"/>
  <c r="Y76" i="37"/>
  <c r="AA76" i="37"/>
  <c r="AB76" i="37"/>
  <c r="C77" i="37"/>
  <c r="E77" i="37"/>
  <c r="F77" i="37"/>
  <c r="G77" i="37"/>
  <c r="H77" i="37"/>
  <c r="I77" i="37"/>
  <c r="J77" i="37"/>
  <c r="K77" i="37"/>
  <c r="L77" i="37"/>
  <c r="M77" i="37"/>
  <c r="N77" i="37"/>
  <c r="O77" i="37"/>
  <c r="P77" i="37"/>
  <c r="Q77" i="37"/>
  <c r="R77" i="37"/>
  <c r="S77" i="37"/>
  <c r="T77" i="37"/>
  <c r="U77" i="37"/>
  <c r="V77" i="37"/>
  <c r="W77" i="37"/>
  <c r="X77" i="37"/>
  <c r="Y77" i="37"/>
  <c r="AA77" i="37"/>
  <c r="AB77" i="37"/>
  <c r="AA78" i="37"/>
  <c r="AB78" i="37"/>
  <c r="AA79" i="37"/>
  <c r="AB79" i="37"/>
  <c r="AA80" i="37"/>
  <c r="AB80" i="37"/>
  <c r="AA81" i="37"/>
  <c r="AB81" i="37"/>
  <c r="AA82" i="37"/>
  <c r="AB82" i="37"/>
  <c r="AA83" i="37"/>
  <c r="AB83" i="37"/>
  <c r="AA84" i="37"/>
  <c r="AB84" i="37"/>
  <c r="AA85" i="37"/>
  <c r="AB85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AA86" i="37"/>
  <c r="AB86" i="37"/>
  <c r="AA87" i="37"/>
  <c r="AB87" i="37"/>
  <c r="F88" i="37"/>
  <c r="G88" i="37"/>
  <c r="H88" i="37"/>
  <c r="I88" i="37"/>
  <c r="J88" i="37"/>
  <c r="K88" i="37"/>
  <c r="L88" i="37"/>
  <c r="M88" i="37"/>
  <c r="N88" i="37"/>
  <c r="O88" i="37"/>
  <c r="P88" i="37"/>
  <c r="Q88" i="37"/>
  <c r="R88" i="37"/>
  <c r="S88" i="37"/>
  <c r="T88" i="37"/>
  <c r="U88" i="37"/>
  <c r="V88" i="37"/>
  <c r="W88" i="37"/>
  <c r="X88" i="37"/>
  <c r="Y88" i="37"/>
  <c r="AA88" i="37"/>
  <c r="AB88" i="37"/>
  <c r="F89" i="37"/>
  <c r="G89" i="37"/>
  <c r="H89" i="37"/>
  <c r="I89" i="37"/>
  <c r="J89" i="37"/>
  <c r="K89" i="37"/>
  <c r="L89" i="37"/>
  <c r="M89" i="37"/>
  <c r="N89" i="37"/>
  <c r="O89" i="37"/>
  <c r="P89" i="37"/>
  <c r="Q89" i="37"/>
  <c r="R89" i="37"/>
  <c r="S89" i="37"/>
  <c r="T89" i="37"/>
  <c r="U89" i="37"/>
  <c r="V89" i="37"/>
  <c r="W89" i="37"/>
  <c r="X89" i="37"/>
  <c r="Y89" i="37"/>
  <c r="AA89" i="37"/>
  <c r="AB89" i="37"/>
  <c r="F90" i="37"/>
  <c r="G90" i="37"/>
  <c r="H90" i="37"/>
  <c r="I90" i="37"/>
  <c r="J90" i="37"/>
  <c r="K90" i="37"/>
  <c r="L90" i="37"/>
  <c r="M90" i="37"/>
  <c r="N90" i="37"/>
  <c r="O90" i="37"/>
  <c r="P90" i="37"/>
  <c r="Q90" i="37"/>
  <c r="R90" i="37"/>
  <c r="S90" i="37"/>
  <c r="T90" i="37"/>
  <c r="U90" i="37"/>
  <c r="V90" i="37"/>
  <c r="W90" i="37"/>
  <c r="X90" i="37"/>
  <c r="Y90" i="37"/>
  <c r="AA90" i="37"/>
  <c r="AB90" i="37"/>
  <c r="X91" i="37"/>
  <c r="AA91" i="37"/>
  <c r="AB91" i="37"/>
  <c r="F92" i="37"/>
  <c r="G92" i="37"/>
  <c r="H92" i="37"/>
  <c r="I92" i="37"/>
  <c r="J92" i="37"/>
  <c r="K92" i="37"/>
  <c r="L92" i="37"/>
  <c r="M92" i="37"/>
  <c r="N92" i="37"/>
  <c r="O92" i="37"/>
  <c r="P92" i="37"/>
  <c r="Q92" i="37"/>
  <c r="R92" i="37"/>
  <c r="S92" i="37"/>
  <c r="T92" i="37"/>
  <c r="U92" i="37"/>
  <c r="V92" i="37"/>
  <c r="W92" i="37"/>
  <c r="X92" i="37"/>
  <c r="Y92" i="37"/>
  <c r="AA92" i="37"/>
  <c r="AB92" i="37"/>
  <c r="AA93" i="37"/>
  <c r="AB93" i="37"/>
  <c r="AA94" i="37"/>
  <c r="AB94" i="37"/>
  <c r="E95" i="37"/>
  <c r="Y95" i="37"/>
  <c r="AA95" i="37"/>
  <c r="AB95" i="37"/>
  <c r="AA96" i="37"/>
  <c r="AB96" i="37"/>
  <c r="Y97" i="37"/>
  <c r="AA97" i="37"/>
  <c r="AB97" i="37"/>
  <c r="AA98" i="37"/>
  <c r="AB98" i="37"/>
  <c r="Y99" i="37"/>
  <c r="AA99" i="37"/>
  <c r="AB99" i="37"/>
  <c r="AA100" i="37"/>
  <c r="AB100" i="37"/>
  <c r="AA101" i="37"/>
  <c r="AB101" i="37"/>
  <c r="D102" i="37"/>
  <c r="AA102" i="37"/>
  <c r="AB102" i="37"/>
  <c r="D103" i="37"/>
  <c r="AA103" i="37"/>
  <c r="AB103" i="37"/>
  <c r="AA104" i="37"/>
  <c r="AB104" i="37"/>
  <c r="D105" i="37"/>
  <c r="AA105" i="37"/>
  <c r="AB105" i="37"/>
  <c r="AA106" i="37"/>
  <c r="AB106" i="37"/>
  <c r="F107" i="37"/>
  <c r="G107" i="37"/>
  <c r="H107" i="37"/>
  <c r="I107" i="37"/>
  <c r="J107" i="37"/>
  <c r="K107" i="37"/>
  <c r="L107" i="37"/>
  <c r="M107" i="37"/>
  <c r="N107" i="37"/>
  <c r="O107" i="37"/>
  <c r="P107" i="37"/>
  <c r="Q107" i="37"/>
  <c r="R107" i="37"/>
  <c r="S107" i="37"/>
  <c r="T107" i="37"/>
  <c r="U107" i="37"/>
  <c r="V107" i="37"/>
  <c r="W107" i="37"/>
  <c r="X107" i="37"/>
  <c r="Y107" i="37"/>
  <c r="AA107" i="37"/>
  <c r="AB107" i="37"/>
  <c r="AA108" i="37"/>
  <c r="AB108" i="37"/>
  <c r="D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AA109" i="37"/>
  <c r="AB109" i="37"/>
  <c r="D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AA110" i="37"/>
  <c r="AB110" i="37"/>
  <c r="AA111" i="37"/>
  <c r="AB111" i="37"/>
  <c r="AA112" i="37"/>
  <c r="AB112" i="37"/>
  <c r="D113" i="37"/>
  <c r="AA113" i="37"/>
  <c r="AB113" i="37"/>
  <c r="AA114" i="37"/>
  <c r="AB114" i="37"/>
  <c r="F115" i="37"/>
  <c r="G115" i="37"/>
  <c r="H115" i="37"/>
  <c r="I115" i="37"/>
  <c r="J115" i="37"/>
  <c r="K115" i="37"/>
  <c r="L115" i="37"/>
  <c r="M115" i="37"/>
  <c r="N115" i="37"/>
  <c r="O115" i="37"/>
  <c r="P115" i="37"/>
  <c r="Q115" i="37"/>
  <c r="R115" i="37"/>
  <c r="S115" i="37"/>
  <c r="T115" i="37"/>
  <c r="U115" i="37"/>
  <c r="V115" i="37"/>
  <c r="W115" i="37"/>
  <c r="X115" i="37"/>
  <c r="AA115" i="37"/>
  <c r="AB115" i="37"/>
  <c r="D116" i="37"/>
  <c r="F116" i="37"/>
  <c r="G116" i="37"/>
  <c r="H116" i="37"/>
  <c r="I116" i="37"/>
  <c r="J116" i="37"/>
  <c r="K116" i="37"/>
  <c r="L116" i="37"/>
  <c r="M116" i="37"/>
  <c r="N116" i="37"/>
  <c r="O116" i="37"/>
  <c r="P116" i="37"/>
  <c r="Q116" i="37"/>
  <c r="R116" i="37"/>
  <c r="S116" i="37"/>
  <c r="T116" i="37"/>
  <c r="U116" i="37"/>
  <c r="V116" i="37"/>
  <c r="W116" i="37"/>
  <c r="X116" i="37"/>
  <c r="AA116" i="37"/>
  <c r="AB116" i="37"/>
  <c r="AA117" i="37"/>
  <c r="AB117" i="37"/>
  <c r="AA118" i="37"/>
  <c r="AB118" i="37"/>
  <c r="F119" i="37"/>
  <c r="G119" i="37"/>
  <c r="H119" i="37"/>
  <c r="I119" i="37"/>
  <c r="J119" i="37"/>
  <c r="K119" i="37"/>
  <c r="L119" i="37"/>
  <c r="M119" i="37"/>
  <c r="N119" i="37"/>
  <c r="O119" i="37"/>
  <c r="P119" i="37"/>
  <c r="Q119" i="37"/>
  <c r="R119" i="37"/>
  <c r="S119" i="37"/>
  <c r="T119" i="37"/>
  <c r="U119" i="37"/>
  <c r="V119" i="37"/>
  <c r="W119" i="37"/>
  <c r="X119" i="37"/>
  <c r="Y119" i="37"/>
  <c r="AA119" i="37"/>
  <c r="AB119" i="37"/>
  <c r="AA120" i="37"/>
  <c r="AB120" i="37"/>
  <c r="A121" i="37"/>
  <c r="F121" i="37"/>
  <c r="G121" i="37"/>
  <c r="H121" i="37"/>
  <c r="I121" i="37"/>
  <c r="J121" i="37"/>
  <c r="K121" i="37"/>
  <c r="L121" i="37"/>
  <c r="M121" i="37"/>
  <c r="N121" i="37"/>
  <c r="O121" i="37"/>
  <c r="P121" i="37"/>
  <c r="Q121" i="37"/>
  <c r="R121" i="37"/>
  <c r="S121" i="37"/>
  <c r="T121" i="37"/>
  <c r="U121" i="37"/>
  <c r="V121" i="37"/>
  <c r="W121" i="37"/>
  <c r="X121" i="37"/>
  <c r="Y121" i="37"/>
  <c r="AA121" i="37"/>
  <c r="AB121" i="37"/>
  <c r="F122" i="37"/>
  <c r="G122" i="37"/>
  <c r="H122" i="37"/>
  <c r="I122" i="37"/>
  <c r="J122" i="37"/>
  <c r="K122" i="37"/>
  <c r="L122" i="37"/>
  <c r="M122" i="37"/>
  <c r="N122" i="37"/>
  <c r="O122" i="37"/>
  <c r="P122" i="37"/>
  <c r="Q122" i="37"/>
  <c r="R122" i="37"/>
  <c r="S122" i="37"/>
  <c r="T122" i="37"/>
  <c r="U122" i="37"/>
  <c r="V122" i="37"/>
  <c r="W122" i="37"/>
  <c r="X122" i="37"/>
  <c r="Y122" i="37"/>
  <c r="AA122" i="37"/>
  <c r="AB122" i="37"/>
  <c r="F123" i="37"/>
  <c r="G123" i="37"/>
  <c r="H123" i="37"/>
  <c r="I123" i="37"/>
  <c r="J123" i="37"/>
  <c r="K123" i="37"/>
  <c r="L123" i="37"/>
  <c r="M123" i="37"/>
  <c r="N123" i="37"/>
  <c r="O123" i="37"/>
  <c r="P123" i="37"/>
  <c r="Q123" i="37"/>
  <c r="R123" i="37"/>
  <c r="S123" i="37"/>
  <c r="T123" i="37"/>
  <c r="U123" i="37"/>
  <c r="V123" i="37"/>
  <c r="W123" i="37"/>
  <c r="X123" i="37"/>
  <c r="Y123" i="37"/>
  <c r="AA123" i="37"/>
  <c r="AB123" i="37"/>
  <c r="F124" i="37"/>
  <c r="G124" i="37"/>
  <c r="H124" i="37"/>
  <c r="I124" i="37"/>
  <c r="J124" i="37"/>
  <c r="K124" i="37"/>
  <c r="L124" i="37"/>
  <c r="M124" i="37"/>
  <c r="N124" i="37"/>
  <c r="O124" i="37"/>
  <c r="P124" i="37"/>
  <c r="Q124" i="37"/>
  <c r="R124" i="37"/>
  <c r="S124" i="37"/>
  <c r="T124" i="37"/>
  <c r="U124" i="37"/>
  <c r="V124" i="37"/>
  <c r="W124" i="37"/>
  <c r="X124" i="37"/>
  <c r="Y124" i="37"/>
  <c r="AA124" i="37"/>
  <c r="AB124" i="37"/>
  <c r="AA125" i="37"/>
  <c r="AB125" i="37"/>
  <c r="C126" i="37"/>
  <c r="F126" i="37"/>
  <c r="G126" i="37"/>
  <c r="H126" i="37"/>
  <c r="I126" i="37"/>
  <c r="J126" i="37"/>
  <c r="K126" i="37"/>
  <c r="L126" i="37"/>
  <c r="M126" i="37"/>
  <c r="N126" i="37"/>
  <c r="O126" i="37"/>
  <c r="P126" i="37"/>
  <c r="Q126" i="37"/>
  <c r="R126" i="37"/>
  <c r="S126" i="37"/>
  <c r="T126" i="37"/>
  <c r="U126" i="37"/>
  <c r="V126" i="37"/>
  <c r="W126" i="37"/>
  <c r="X126" i="37"/>
  <c r="Y126" i="37"/>
  <c r="AA126" i="37"/>
  <c r="AB126" i="37"/>
  <c r="C127" i="37"/>
  <c r="F127" i="37"/>
  <c r="G127" i="37"/>
  <c r="H127" i="37"/>
  <c r="I127" i="37"/>
  <c r="J127" i="37"/>
  <c r="K127" i="37"/>
  <c r="L127" i="37"/>
  <c r="M127" i="37"/>
  <c r="N127" i="37"/>
  <c r="O127" i="37"/>
  <c r="P127" i="37"/>
  <c r="Q127" i="37"/>
  <c r="R127" i="37"/>
  <c r="S127" i="37"/>
  <c r="T127" i="37"/>
  <c r="U127" i="37"/>
  <c r="V127" i="37"/>
  <c r="W127" i="37"/>
  <c r="X127" i="37"/>
  <c r="Y127" i="37"/>
  <c r="AA127" i="37"/>
  <c r="AB127" i="37"/>
  <c r="AA128" i="37"/>
  <c r="AB128" i="37"/>
  <c r="AA129" i="37"/>
  <c r="AB129" i="37"/>
  <c r="AA130" i="37"/>
  <c r="AB130" i="37"/>
  <c r="AA131" i="37"/>
  <c r="AB131" i="37"/>
  <c r="AA132" i="37"/>
  <c r="AB132" i="37"/>
  <c r="AA133" i="37"/>
  <c r="AB133" i="37"/>
  <c r="AA134" i="37"/>
  <c r="AB134" i="37"/>
  <c r="F135" i="37"/>
  <c r="G135" i="37"/>
  <c r="H135" i="37"/>
  <c r="I135" i="37"/>
  <c r="J135" i="37"/>
  <c r="K135" i="37"/>
  <c r="L135" i="37"/>
  <c r="M135" i="37"/>
  <c r="N135" i="37"/>
  <c r="O135" i="37"/>
  <c r="P135" i="37"/>
  <c r="Q135" i="37"/>
  <c r="R135" i="37"/>
  <c r="S135" i="37"/>
  <c r="T135" i="37"/>
  <c r="U135" i="37"/>
  <c r="V135" i="37"/>
  <c r="W135" i="37"/>
  <c r="X135" i="37"/>
  <c r="Y135" i="37"/>
  <c r="AA135" i="37"/>
  <c r="AB135" i="37"/>
  <c r="AA136" i="37"/>
  <c r="AB136" i="37"/>
  <c r="F137" i="37"/>
  <c r="G137" i="37"/>
  <c r="H137" i="37"/>
  <c r="I137" i="37"/>
  <c r="J137" i="37"/>
  <c r="K137" i="37"/>
  <c r="L137" i="37"/>
  <c r="M137" i="37"/>
  <c r="N137" i="37"/>
  <c r="O137" i="37"/>
  <c r="P137" i="37"/>
  <c r="Q137" i="37"/>
  <c r="R137" i="37"/>
  <c r="S137" i="37"/>
  <c r="T137" i="37"/>
  <c r="U137" i="37"/>
  <c r="V137" i="37"/>
  <c r="W137" i="37"/>
  <c r="X137" i="37"/>
  <c r="Y137" i="37"/>
  <c r="AA137" i="37"/>
  <c r="AB137" i="37"/>
  <c r="F138" i="37"/>
  <c r="G138" i="37"/>
  <c r="H138" i="37"/>
  <c r="I138" i="37"/>
  <c r="J138" i="37"/>
  <c r="K138" i="37"/>
  <c r="L138" i="37"/>
  <c r="M138" i="37"/>
  <c r="N138" i="37"/>
  <c r="O138" i="37"/>
  <c r="P138" i="37"/>
  <c r="Q138" i="37"/>
  <c r="R138" i="37"/>
  <c r="S138" i="37"/>
  <c r="T138" i="37"/>
  <c r="U138" i="37"/>
  <c r="V138" i="37"/>
  <c r="W138" i="37"/>
  <c r="X138" i="37"/>
  <c r="Y138" i="37"/>
  <c r="AA138" i="37"/>
  <c r="AB138" i="37"/>
  <c r="F139" i="37"/>
  <c r="G139" i="37"/>
  <c r="H139" i="37"/>
  <c r="I139" i="37"/>
  <c r="J139" i="37"/>
  <c r="K139" i="37"/>
  <c r="L139" i="37"/>
  <c r="M139" i="37"/>
  <c r="N139" i="37"/>
  <c r="O139" i="37"/>
  <c r="P139" i="37"/>
  <c r="Q139" i="37"/>
  <c r="R139" i="37"/>
  <c r="S139" i="37"/>
  <c r="T139" i="37"/>
  <c r="U139" i="37"/>
  <c r="V139" i="37"/>
  <c r="W139" i="37"/>
  <c r="X139" i="37"/>
  <c r="Y139" i="37"/>
  <c r="AA139" i="37"/>
  <c r="AB139" i="37"/>
  <c r="C140" i="37"/>
  <c r="F140" i="37"/>
  <c r="G140" i="37"/>
  <c r="H140" i="37"/>
  <c r="I140" i="37"/>
  <c r="J140" i="37"/>
  <c r="K140" i="37"/>
  <c r="L140" i="37"/>
  <c r="M140" i="37"/>
  <c r="N140" i="37"/>
  <c r="O140" i="37"/>
  <c r="P140" i="37"/>
  <c r="Q140" i="37"/>
  <c r="R140" i="37"/>
  <c r="S140" i="37"/>
  <c r="T140" i="37"/>
  <c r="U140" i="37"/>
  <c r="V140" i="37"/>
  <c r="W140" i="37"/>
  <c r="X140" i="37"/>
  <c r="Y140" i="37"/>
  <c r="AA140" i="37"/>
  <c r="AB140" i="37"/>
  <c r="C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AA141" i="37"/>
  <c r="AB141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AA142" i="37"/>
  <c r="AB142" i="37"/>
  <c r="AA143" i="37"/>
  <c r="AB143" i="37"/>
  <c r="A144" i="37"/>
  <c r="F144" i="37"/>
  <c r="G144" i="37"/>
  <c r="H144" i="37"/>
  <c r="I144" i="37"/>
  <c r="J144" i="37"/>
  <c r="K144" i="37"/>
  <c r="L144" i="37"/>
  <c r="M144" i="37"/>
  <c r="N144" i="37"/>
  <c r="O144" i="37"/>
  <c r="P144" i="37"/>
  <c r="Q144" i="37"/>
  <c r="R144" i="37"/>
  <c r="S144" i="37"/>
  <c r="T144" i="37"/>
  <c r="U144" i="37"/>
  <c r="V144" i="37"/>
  <c r="W144" i="37"/>
  <c r="X144" i="37"/>
  <c r="Y144" i="37"/>
  <c r="AA144" i="37"/>
  <c r="AB144" i="37"/>
  <c r="F145" i="37"/>
  <c r="G145" i="37"/>
  <c r="H145" i="37"/>
  <c r="I145" i="37"/>
  <c r="J145" i="37"/>
  <c r="K145" i="37"/>
  <c r="L145" i="37"/>
  <c r="M145" i="37"/>
  <c r="N145" i="37"/>
  <c r="O145" i="37"/>
  <c r="P145" i="37"/>
  <c r="Q145" i="37"/>
  <c r="R145" i="37"/>
  <c r="S145" i="37"/>
  <c r="T145" i="37"/>
  <c r="U145" i="37"/>
  <c r="V145" i="37"/>
  <c r="W145" i="37"/>
  <c r="X145" i="37"/>
  <c r="Y145" i="37"/>
  <c r="AA145" i="37"/>
  <c r="AB145" i="37"/>
  <c r="AA146" i="37"/>
  <c r="AB146" i="37"/>
  <c r="AA147" i="37"/>
  <c r="AB147" i="37"/>
  <c r="AA148" i="37"/>
  <c r="AB148" i="37"/>
  <c r="AA149" i="37"/>
  <c r="AB149" i="37"/>
  <c r="A150" i="37"/>
  <c r="F150" i="37"/>
  <c r="G150" i="37"/>
  <c r="H150" i="37"/>
  <c r="I150" i="37"/>
  <c r="J150" i="37"/>
  <c r="K150" i="37"/>
  <c r="L150" i="37"/>
  <c r="M150" i="37"/>
  <c r="N150" i="37"/>
  <c r="O150" i="37"/>
  <c r="P150" i="37"/>
  <c r="Q150" i="37"/>
  <c r="R150" i="37"/>
  <c r="S150" i="37"/>
  <c r="T150" i="37"/>
  <c r="U150" i="37"/>
  <c r="V150" i="37"/>
  <c r="W150" i="37"/>
  <c r="X150" i="37"/>
  <c r="Y150" i="37"/>
  <c r="AA150" i="37"/>
  <c r="AB150" i="37"/>
  <c r="AA151" i="37"/>
  <c r="AB151" i="37"/>
  <c r="F152" i="37"/>
  <c r="G152" i="37"/>
  <c r="H152" i="37"/>
  <c r="I152" i="37"/>
  <c r="J152" i="37"/>
  <c r="K152" i="37"/>
  <c r="L152" i="37"/>
  <c r="M152" i="37"/>
  <c r="N152" i="37"/>
  <c r="O152" i="37"/>
  <c r="P152" i="37"/>
  <c r="Q152" i="37"/>
  <c r="R152" i="37"/>
  <c r="S152" i="37"/>
  <c r="T152" i="37"/>
  <c r="U152" i="37"/>
  <c r="V152" i="37"/>
  <c r="W152" i="37"/>
  <c r="X152" i="37"/>
  <c r="Y152" i="37"/>
  <c r="AA152" i="37"/>
  <c r="C155" i="37"/>
  <c r="C156" i="37"/>
  <c r="D160" i="37"/>
  <c r="D162" i="37"/>
  <c r="D163" i="37"/>
  <c r="C176" i="37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AA10" i="36"/>
  <c r="AB10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AA11" i="36"/>
  <c r="AB11" i="36"/>
  <c r="AA12" i="36"/>
  <c r="AB12" i="36"/>
  <c r="AA13" i="36"/>
  <c r="AB13" i="36"/>
  <c r="AA14" i="36"/>
  <c r="AB14" i="36"/>
  <c r="AA15" i="36"/>
  <c r="AB15" i="36"/>
  <c r="AA16" i="36"/>
  <c r="AB16" i="36"/>
  <c r="AA17" i="36"/>
  <c r="AB17" i="36"/>
  <c r="AA18" i="36"/>
  <c r="AB18" i="36"/>
  <c r="AA19" i="36"/>
  <c r="AB19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AA20" i="36"/>
  <c r="AB20" i="36"/>
  <c r="AA21" i="36"/>
  <c r="AB21" i="36"/>
  <c r="AA22" i="36"/>
  <c r="AB22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AA23" i="36"/>
  <c r="AB23" i="36"/>
  <c r="AA24" i="36"/>
  <c r="AB24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AA25" i="36"/>
  <c r="AB25" i="36"/>
  <c r="AA26" i="36"/>
  <c r="AB26" i="36"/>
  <c r="AA27" i="36"/>
  <c r="AB27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AA28" i="36"/>
  <c r="AB28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AA29" i="36"/>
  <c r="AB29" i="36"/>
  <c r="AA30" i="36"/>
  <c r="AB30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AA31" i="36"/>
  <c r="AB31" i="36"/>
  <c r="AA32" i="36"/>
  <c r="AB32" i="36"/>
  <c r="AA33" i="36"/>
  <c r="AB33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AA34" i="36"/>
  <c r="AB34" i="36"/>
  <c r="AA35" i="36"/>
  <c r="AB35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AA36" i="36"/>
  <c r="AB36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AA37" i="36"/>
  <c r="AB37" i="36"/>
  <c r="AA38" i="36"/>
  <c r="AB38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AA39" i="36"/>
  <c r="AB39" i="36"/>
  <c r="AA40" i="36"/>
  <c r="AB40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AA41" i="36"/>
  <c r="AB41" i="36"/>
  <c r="AA42" i="36"/>
  <c r="AB42" i="36"/>
  <c r="AA43" i="36"/>
  <c r="AB43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AA44" i="36"/>
  <c r="AB44" i="36"/>
  <c r="AA45" i="36"/>
  <c r="AB45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AA46" i="36"/>
  <c r="AB46" i="36"/>
  <c r="AA47" i="36"/>
  <c r="AB47" i="36"/>
  <c r="AA48" i="36"/>
  <c r="AB48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AA49" i="36"/>
  <c r="AB49" i="36"/>
  <c r="AA50" i="36"/>
  <c r="AB50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AA51" i="36"/>
  <c r="AB51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AA52" i="36"/>
  <c r="AB52" i="36"/>
  <c r="AA53" i="36"/>
  <c r="AB53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AA54" i="36"/>
  <c r="AB54" i="36"/>
  <c r="AA55" i="36"/>
  <c r="AB55" i="36"/>
  <c r="AA56" i="36"/>
  <c r="AB56" i="36"/>
  <c r="E57" i="36"/>
  <c r="AA57" i="36"/>
  <c r="AB57" i="36"/>
  <c r="AA58" i="36"/>
  <c r="AB58" i="36"/>
  <c r="AA59" i="36"/>
  <c r="AB59" i="36"/>
  <c r="AA60" i="36"/>
  <c r="AB60" i="36"/>
  <c r="AA61" i="36"/>
  <c r="AB61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AA62" i="36"/>
  <c r="AB62" i="36"/>
  <c r="AA63" i="36"/>
  <c r="AB63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AA64" i="36"/>
  <c r="AB64" i="36"/>
  <c r="AA65" i="36"/>
  <c r="AB65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AA66" i="36"/>
  <c r="AB66" i="36"/>
  <c r="AA67" i="36"/>
  <c r="AB67" i="36"/>
  <c r="AA68" i="36"/>
  <c r="AB68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AA69" i="36"/>
  <c r="AB69" i="36"/>
  <c r="AA70" i="36"/>
  <c r="AB70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AA71" i="36"/>
  <c r="AB71" i="36"/>
  <c r="AA72" i="36"/>
  <c r="AB72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AA73" i="36"/>
  <c r="AB73" i="36"/>
  <c r="AA74" i="36"/>
  <c r="AB74" i="36"/>
  <c r="AA75" i="36"/>
  <c r="AB75" i="36"/>
  <c r="C76" i="36"/>
  <c r="E76" i="36"/>
  <c r="F76" i="36"/>
  <c r="G76" i="36"/>
  <c r="H76" i="36"/>
  <c r="I76" i="36"/>
  <c r="J76" i="36"/>
  <c r="K76" i="36"/>
  <c r="L76" i="36"/>
  <c r="M76" i="36"/>
  <c r="N76" i="36"/>
  <c r="O76" i="36"/>
  <c r="P76" i="36"/>
  <c r="Q76" i="36"/>
  <c r="R76" i="36"/>
  <c r="S76" i="36"/>
  <c r="T76" i="36"/>
  <c r="U76" i="36"/>
  <c r="V76" i="36"/>
  <c r="W76" i="36"/>
  <c r="X76" i="36"/>
  <c r="Y76" i="36"/>
  <c r="AA76" i="36"/>
  <c r="AB76" i="36"/>
  <c r="C77" i="36"/>
  <c r="E77" i="36"/>
  <c r="F77" i="36"/>
  <c r="G77" i="36"/>
  <c r="H77" i="36"/>
  <c r="I77" i="36"/>
  <c r="J77" i="36"/>
  <c r="K77" i="36"/>
  <c r="L77" i="36"/>
  <c r="M77" i="36"/>
  <c r="N77" i="36"/>
  <c r="O77" i="36"/>
  <c r="P77" i="36"/>
  <c r="Q77" i="36"/>
  <c r="R77" i="36"/>
  <c r="S77" i="36"/>
  <c r="T77" i="36"/>
  <c r="U77" i="36"/>
  <c r="V77" i="36"/>
  <c r="W77" i="36"/>
  <c r="X77" i="36"/>
  <c r="Y77" i="36"/>
  <c r="AA77" i="36"/>
  <c r="AB77" i="36"/>
  <c r="AA78" i="36"/>
  <c r="AB78" i="36"/>
  <c r="AA79" i="36"/>
  <c r="AB79" i="36"/>
  <c r="AA80" i="36"/>
  <c r="AB80" i="36"/>
  <c r="AA81" i="36"/>
  <c r="AB81" i="36"/>
  <c r="AA82" i="36"/>
  <c r="AB82" i="36"/>
  <c r="AA83" i="36"/>
  <c r="AB83" i="36"/>
  <c r="AA84" i="36"/>
  <c r="AB84" i="36"/>
  <c r="AA85" i="36"/>
  <c r="AB85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AA86" i="36"/>
  <c r="AB86" i="36"/>
  <c r="AA87" i="36"/>
  <c r="AB87" i="36"/>
  <c r="F88" i="36"/>
  <c r="G88" i="36"/>
  <c r="H88" i="36"/>
  <c r="I88" i="36"/>
  <c r="J88" i="36"/>
  <c r="K88" i="36"/>
  <c r="L88" i="36"/>
  <c r="M88" i="36"/>
  <c r="N88" i="36"/>
  <c r="O88" i="36"/>
  <c r="P88" i="36"/>
  <c r="Q88" i="36"/>
  <c r="R88" i="36"/>
  <c r="S88" i="36"/>
  <c r="T88" i="36"/>
  <c r="U88" i="36"/>
  <c r="V88" i="36"/>
  <c r="W88" i="36"/>
  <c r="X88" i="36"/>
  <c r="Y88" i="36"/>
  <c r="AA88" i="36"/>
  <c r="AB88" i="36"/>
  <c r="F89" i="36"/>
  <c r="G89" i="36"/>
  <c r="H89" i="36"/>
  <c r="I89" i="36"/>
  <c r="J89" i="36"/>
  <c r="K89" i="36"/>
  <c r="L89" i="36"/>
  <c r="M89" i="36"/>
  <c r="N89" i="36"/>
  <c r="O89" i="36"/>
  <c r="P89" i="36"/>
  <c r="Q89" i="36"/>
  <c r="R89" i="36"/>
  <c r="S89" i="36"/>
  <c r="T89" i="36"/>
  <c r="U89" i="36"/>
  <c r="V89" i="36"/>
  <c r="W89" i="36"/>
  <c r="X89" i="36"/>
  <c r="Y89" i="36"/>
  <c r="AA89" i="36"/>
  <c r="AB89" i="36"/>
  <c r="F90" i="36"/>
  <c r="G90" i="36"/>
  <c r="H90" i="36"/>
  <c r="I90" i="36"/>
  <c r="J90" i="36"/>
  <c r="K90" i="36"/>
  <c r="L90" i="36"/>
  <c r="M90" i="36"/>
  <c r="N90" i="36"/>
  <c r="O90" i="36"/>
  <c r="P90" i="36"/>
  <c r="Q90" i="36"/>
  <c r="R90" i="36"/>
  <c r="S90" i="36"/>
  <c r="T90" i="36"/>
  <c r="U90" i="36"/>
  <c r="V90" i="36"/>
  <c r="W90" i="36"/>
  <c r="X90" i="36"/>
  <c r="Y90" i="36"/>
  <c r="AA90" i="36"/>
  <c r="AB90" i="36"/>
  <c r="Y91" i="36"/>
  <c r="AA91" i="36"/>
  <c r="AB91" i="36"/>
  <c r="F92" i="36"/>
  <c r="G92" i="36"/>
  <c r="H92" i="36"/>
  <c r="I92" i="36"/>
  <c r="J92" i="36"/>
  <c r="K92" i="36"/>
  <c r="L92" i="36"/>
  <c r="M92" i="36"/>
  <c r="N92" i="36"/>
  <c r="O92" i="36"/>
  <c r="P92" i="36"/>
  <c r="Q92" i="36"/>
  <c r="R92" i="36"/>
  <c r="S92" i="36"/>
  <c r="T92" i="36"/>
  <c r="U92" i="36"/>
  <c r="V92" i="36"/>
  <c r="W92" i="36"/>
  <c r="X92" i="36"/>
  <c r="Y92" i="36"/>
  <c r="AA92" i="36"/>
  <c r="AB92" i="36"/>
  <c r="AA93" i="36"/>
  <c r="AB93" i="36"/>
  <c r="AA94" i="36"/>
  <c r="AB94" i="36"/>
  <c r="E95" i="36"/>
  <c r="Y95" i="36"/>
  <c r="AA95" i="36"/>
  <c r="AB95" i="36"/>
  <c r="AA96" i="36"/>
  <c r="AB96" i="36"/>
  <c r="Y97" i="36"/>
  <c r="AA97" i="36"/>
  <c r="AB97" i="36"/>
  <c r="AA98" i="36"/>
  <c r="AB98" i="36"/>
  <c r="Y99" i="36"/>
  <c r="AA99" i="36"/>
  <c r="AB99" i="36"/>
  <c r="AA100" i="36"/>
  <c r="AB100" i="36"/>
  <c r="D101" i="36"/>
  <c r="H101" i="36"/>
  <c r="AA101" i="36"/>
  <c r="AB101" i="36"/>
  <c r="D102" i="36"/>
  <c r="AA102" i="36"/>
  <c r="AB102" i="36"/>
  <c r="D103" i="36"/>
  <c r="AA103" i="36"/>
  <c r="AB103" i="36"/>
  <c r="AA104" i="36"/>
  <c r="AB104" i="36"/>
  <c r="D105" i="36"/>
  <c r="AA105" i="36"/>
  <c r="AB105" i="36"/>
  <c r="AA106" i="36"/>
  <c r="AB106" i="36"/>
  <c r="F107" i="36"/>
  <c r="G107" i="36"/>
  <c r="H107" i="36"/>
  <c r="I107" i="36"/>
  <c r="J107" i="36"/>
  <c r="K107" i="36"/>
  <c r="L107" i="36"/>
  <c r="M107" i="36"/>
  <c r="N107" i="36"/>
  <c r="O107" i="36"/>
  <c r="P107" i="36"/>
  <c r="Q107" i="36"/>
  <c r="R107" i="36"/>
  <c r="S107" i="36"/>
  <c r="T107" i="36"/>
  <c r="U107" i="36"/>
  <c r="V107" i="36"/>
  <c r="W107" i="36"/>
  <c r="X107" i="36"/>
  <c r="Y107" i="36"/>
  <c r="AA107" i="36"/>
  <c r="AB107" i="36"/>
  <c r="AA108" i="36"/>
  <c r="AB108" i="36"/>
  <c r="D109" i="36"/>
  <c r="F109" i="36"/>
  <c r="G109" i="36"/>
  <c r="H109" i="36"/>
  <c r="I109" i="36"/>
  <c r="J109" i="36"/>
  <c r="K109" i="36"/>
  <c r="L109" i="36"/>
  <c r="M109" i="36"/>
  <c r="N109" i="36"/>
  <c r="O109" i="36"/>
  <c r="P109" i="36"/>
  <c r="Q109" i="36"/>
  <c r="R109" i="36"/>
  <c r="S109" i="36"/>
  <c r="T109" i="36"/>
  <c r="U109" i="36"/>
  <c r="V109" i="36"/>
  <c r="W109" i="36"/>
  <c r="X109" i="36"/>
  <c r="Y109" i="36"/>
  <c r="AA109" i="36"/>
  <c r="AB109" i="36"/>
  <c r="D110" i="36"/>
  <c r="F110" i="36"/>
  <c r="G110" i="36"/>
  <c r="H110" i="36"/>
  <c r="I110" i="36"/>
  <c r="J110" i="36"/>
  <c r="K110" i="36"/>
  <c r="L110" i="36"/>
  <c r="M110" i="36"/>
  <c r="N110" i="36"/>
  <c r="O110" i="36"/>
  <c r="P110" i="36"/>
  <c r="Q110" i="36"/>
  <c r="R110" i="36"/>
  <c r="S110" i="36"/>
  <c r="T110" i="36"/>
  <c r="U110" i="36"/>
  <c r="V110" i="36"/>
  <c r="W110" i="36"/>
  <c r="X110" i="36"/>
  <c r="Y110" i="36"/>
  <c r="AA110" i="36"/>
  <c r="AB110" i="36"/>
  <c r="AA111" i="36"/>
  <c r="AB111" i="36"/>
  <c r="AA112" i="36"/>
  <c r="AB112" i="36"/>
  <c r="D113" i="36"/>
  <c r="AA113" i="36"/>
  <c r="AB113" i="36"/>
  <c r="AA114" i="36"/>
  <c r="AB114" i="36"/>
  <c r="F115" i="36"/>
  <c r="G115" i="36"/>
  <c r="H115" i="36"/>
  <c r="I115" i="36"/>
  <c r="J115" i="36"/>
  <c r="K115" i="36"/>
  <c r="L115" i="36"/>
  <c r="M115" i="36"/>
  <c r="N115" i="36"/>
  <c r="O115" i="36"/>
  <c r="P115" i="36"/>
  <c r="Q115" i="36"/>
  <c r="R115" i="36"/>
  <c r="S115" i="36"/>
  <c r="T115" i="36"/>
  <c r="U115" i="36"/>
  <c r="V115" i="36"/>
  <c r="W115" i="36"/>
  <c r="X115" i="36"/>
  <c r="Y115" i="36"/>
  <c r="AA115" i="36"/>
  <c r="AB115" i="36"/>
  <c r="D116" i="36"/>
  <c r="F116" i="36"/>
  <c r="G116" i="36"/>
  <c r="H116" i="36"/>
  <c r="I116" i="36"/>
  <c r="J116" i="36"/>
  <c r="K116" i="36"/>
  <c r="L116" i="36"/>
  <c r="M116" i="36"/>
  <c r="N116" i="36"/>
  <c r="O116" i="36"/>
  <c r="P116" i="36"/>
  <c r="Q116" i="36"/>
  <c r="R116" i="36"/>
  <c r="S116" i="36"/>
  <c r="T116" i="36"/>
  <c r="U116" i="36"/>
  <c r="V116" i="36"/>
  <c r="W116" i="36"/>
  <c r="X116" i="36"/>
  <c r="Y116" i="36"/>
  <c r="AA116" i="36"/>
  <c r="AB116" i="36"/>
  <c r="AA117" i="36"/>
  <c r="AB117" i="36"/>
  <c r="AA118" i="36"/>
  <c r="AB118" i="36"/>
  <c r="F119" i="36"/>
  <c r="G119" i="36"/>
  <c r="H119" i="36"/>
  <c r="I119" i="36"/>
  <c r="J119" i="36"/>
  <c r="K119" i="36"/>
  <c r="L119" i="36"/>
  <c r="M119" i="36"/>
  <c r="N119" i="36"/>
  <c r="O119" i="36"/>
  <c r="P119" i="36"/>
  <c r="Q119" i="36"/>
  <c r="R119" i="36"/>
  <c r="S119" i="36"/>
  <c r="T119" i="36"/>
  <c r="U119" i="36"/>
  <c r="V119" i="36"/>
  <c r="W119" i="36"/>
  <c r="X119" i="36"/>
  <c r="Y119" i="36"/>
  <c r="AA119" i="36"/>
  <c r="AB119" i="36"/>
  <c r="AA120" i="36"/>
  <c r="AB120" i="36"/>
  <c r="A121" i="36"/>
  <c r="F121" i="36"/>
  <c r="G121" i="36"/>
  <c r="H121" i="36"/>
  <c r="I121" i="36"/>
  <c r="J121" i="36"/>
  <c r="K121" i="36"/>
  <c r="L121" i="36"/>
  <c r="M121" i="36"/>
  <c r="N121" i="36"/>
  <c r="O121" i="36"/>
  <c r="P121" i="36"/>
  <c r="Q121" i="36"/>
  <c r="R121" i="36"/>
  <c r="S121" i="36"/>
  <c r="T121" i="36"/>
  <c r="U121" i="36"/>
  <c r="V121" i="36"/>
  <c r="W121" i="36"/>
  <c r="X121" i="36"/>
  <c r="Y121" i="36"/>
  <c r="AA121" i="36"/>
  <c r="AB121" i="36"/>
  <c r="F122" i="36"/>
  <c r="G122" i="36"/>
  <c r="H122" i="36"/>
  <c r="I122" i="36"/>
  <c r="J122" i="36"/>
  <c r="K122" i="36"/>
  <c r="L122" i="36"/>
  <c r="M122" i="36"/>
  <c r="N122" i="36"/>
  <c r="O122" i="36"/>
  <c r="P122" i="36"/>
  <c r="Q122" i="36"/>
  <c r="R122" i="36"/>
  <c r="S122" i="36"/>
  <c r="T122" i="36"/>
  <c r="U122" i="36"/>
  <c r="V122" i="36"/>
  <c r="W122" i="36"/>
  <c r="X122" i="36"/>
  <c r="Y122" i="36"/>
  <c r="AA122" i="36"/>
  <c r="AB122" i="36"/>
  <c r="F123" i="36"/>
  <c r="G123" i="36"/>
  <c r="H123" i="36"/>
  <c r="I123" i="36"/>
  <c r="J123" i="36"/>
  <c r="K123" i="36"/>
  <c r="L123" i="36"/>
  <c r="M123" i="36"/>
  <c r="N123" i="36"/>
  <c r="O123" i="36"/>
  <c r="P123" i="36"/>
  <c r="Q123" i="36"/>
  <c r="R123" i="36"/>
  <c r="S123" i="36"/>
  <c r="T123" i="36"/>
  <c r="U123" i="36"/>
  <c r="V123" i="36"/>
  <c r="W123" i="36"/>
  <c r="X123" i="36"/>
  <c r="Y123" i="36"/>
  <c r="AA123" i="36"/>
  <c r="AB123" i="36"/>
  <c r="F124" i="36"/>
  <c r="G124" i="36"/>
  <c r="H124" i="36"/>
  <c r="I124" i="36"/>
  <c r="J124" i="36"/>
  <c r="K124" i="36"/>
  <c r="L124" i="36"/>
  <c r="M124" i="36"/>
  <c r="N124" i="36"/>
  <c r="O124" i="36"/>
  <c r="P124" i="36"/>
  <c r="Q124" i="36"/>
  <c r="R124" i="36"/>
  <c r="S124" i="36"/>
  <c r="T124" i="36"/>
  <c r="U124" i="36"/>
  <c r="V124" i="36"/>
  <c r="W124" i="36"/>
  <c r="X124" i="36"/>
  <c r="Y124" i="36"/>
  <c r="AA124" i="36"/>
  <c r="AB124" i="36"/>
  <c r="AA125" i="36"/>
  <c r="AB125" i="36"/>
  <c r="C126" i="36"/>
  <c r="F126" i="36"/>
  <c r="G126" i="36"/>
  <c r="H126" i="36"/>
  <c r="I126" i="36"/>
  <c r="J126" i="36"/>
  <c r="K126" i="36"/>
  <c r="L126" i="36"/>
  <c r="M126" i="36"/>
  <c r="N126" i="36"/>
  <c r="O126" i="36"/>
  <c r="P126" i="36"/>
  <c r="Q126" i="36"/>
  <c r="R126" i="36"/>
  <c r="S126" i="36"/>
  <c r="T126" i="36"/>
  <c r="U126" i="36"/>
  <c r="V126" i="36"/>
  <c r="W126" i="36"/>
  <c r="X126" i="36"/>
  <c r="Y126" i="36"/>
  <c r="AA126" i="36"/>
  <c r="AB126" i="36"/>
  <c r="C127" i="36"/>
  <c r="F127" i="36"/>
  <c r="G127" i="36"/>
  <c r="H127" i="36"/>
  <c r="I127" i="36"/>
  <c r="J127" i="36"/>
  <c r="K127" i="36"/>
  <c r="L127" i="36"/>
  <c r="M127" i="36"/>
  <c r="N127" i="36"/>
  <c r="O127" i="36"/>
  <c r="P127" i="36"/>
  <c r="Q127" i="36"/>
  <c r="R127" i="36"/>
  <c r="S127" i="36"/>
  <c r="T127" i="36"/>
  <c r="U127" i="36"/>
  <c r="V127" i="36"/>
  <c r="W127" i="36"/>
  <c r="X127" i="36"/>
  <c r="Y127" i="36"/>
  <c r="AA127" i="36"/>
  <c r="AB127" i="36"/>
  <c r="AA128" i="36"/>
  <c r="AB128" i="36"/>
  <c r="AA129" i="36"/>
  <c r="AB129" i="36"/>
  <c r="AA130" i="36"/>
  <c r="AB130" i="36"/>
  <c r="AA131" i="36"/>
  <c r="AB131" i="36"/>
  <c r="AA132" i="36"/>
  <c r="AB132" i="36"/>
  <c r="AA133" i="36"/>
  <c r="AB133" i="36"/>
  <c r="AA134" i="36"/>
  <c r="AB134" i="36"/>
  <c r="F135" i="36"/>
  <c r="G135" i="36"/>
  <c r="H135" i="36"/>
  <c r="I135" i="36"/>
  <c r="J135" i="36"/>
  <c r="K135" i="36"/>
  <c r="L135" i="36"/>
  <c r="M135" i="36"/>
  <c r="N135" i="36"/>
  <c r="O135" i="36"/>
  <c r="P135" i="36"/>
  <c r="Q135" i="36"/>
  <c r="R135" i="36"/>
  <c r="S135" i="36"/>
  <c r="T135" i="36"/>
  <c r="U135" i="36"/>
  <c r="V135" i="36"/>
  <c r="W135" i="36"/>
  <c r="X135" i="36"/>
  <c r="Y135" i="36"/>
  <c r="AA135" i="36"/>
  <c r="AB135" i="36"/>
  <c r="AA136" i="36"/>
  <c r="AB136" i="36"/>
  <c r="AA137" i="36"/>
  <c r="AB137" i="36"/>
  <c r="F138" i="36"/>
  <c r="G138" i="36"/>
  <c r="H138" i="36"/>
  <c r="I138" i="36"/>
  <c r="J138" i="36"/>
  <c r="K138" i="36"/>
  <c r="L138" i="36"/>
  <c r="M138" i="36"/>
  <c r="N138" i="36"/>
  <c r="O138" i="36"/>
  <c r="P138" i="36"/>
  <c r="Q138" i="36"/>
  <c r="R138" i="36"/>
  <c r="S138" i="36"/>
  <c r="T138" i="36"/>
  <c r="U138" i="36"/>
  <c r="V138" i="36"/>
  <c r="W138" i="36"/>
  <c r="X138" i="36"/>
  <c r="Y138" i="36"/>
  <c r="AA138" i="36"/>
  <c r="AB138" i="36"/>
  <c r="F139" i="36"/>
  <c r="G139" i="36"/>
  <c r="H139" i="36"/>
  <c r="I139" i="36"/>
  <c r="J139" i="36"/>
  <c r="K139" i="36"/>
  <c r="L139" i="36"/>
  <c r="M139" i="36"/>
  <c r="N139" i="36"/>
  <c r="O139" i="36"/>
  <c r="P139" i="36"/>
  <c r="Q139" i="36"/>
  <c r="R139" i="36"/>
  <c r="S139" i="36"/>
  <c r="T139" i="36"/>
  <c r="U139" i="36"/>
  <c r="V139" i="36"/>
  <c r="W139" i="36"/>
  <c r="X139" i="36"/>
  <c r="Y139" i="36"/>
  <c r="AA139" i="36"/>
  <c r="AB139" i="36"/>
  <c r="C140" i="36"/>
  <c r="F140" i="36"/>
  <c r="G140" i="36"/>
  <c r="H140" i="36"/>
  <c r="I140" i="36"/>
  <c r="J140" i="36"/>
  <c r="K140" i="36"/>
  <c r="L140" i="36"/>
  <c r="M140" i="36"/>
  <c r="N140" i="36"/>
  <c r="O140" i="36"/>
  <c r="P140" i="36"/>
  <c r="Q140" i="36"/>
  <c r="R140" i="36"/>
  <c r="S140" i="36"/>
  <c r="T140" i="36"/>
  <c r="U140" i="36"/>
  <c r="V140" i="36"/>
  <c r="W140" i="36"/>
  <c r="X140" i="36"/>
  <c r="Y140" i="36"/>
  <c r="AA140" i="36"/>
  <c r="AB140" i="36"/>
  <c r="C141" i="36"/>
  <c r="F141" i="36"/>
  <c r="G141" i="36"/>
  <c r="H141" i="36"/>
  <c r="I141" i="36"/>
  <c r="J141" i="36"/>
  <c r="K141" i="36"/>
  <c r="L141" i="36"/>
  <c r="M141" i="36"/>
  <c r="N141" i="36"/>
  <c r="O141" i="36"/>
  <c r="P141" i="36"/>
  <c r="Q141" i="36"/>
  <c r="R141" i="36"/>
  <c r="S141" i="36"/>
  <c r="T141" i="36"/>
  <c r="U141" i="36"/>
  <c r="V141" i="36"/>
  <c r="W141" i="36"/>
  <c r="X141" i="36"/>
  <c r="Y141" i="36"/>
  <c r="AA141" i="36"/>
  <c r="AB141" i="36"/>
  <c r="F142" i="36"/>
  <c r="G142" i="36"/>
  <c r="H142" i="36"/>
  <c r="I142" i="36"/>
  <c r="J142" i="36"/>
  <c r="K142" i="36"/>
  <c r="L142" i="36"/>
  <c r="M142" i="36"/>
  <c r="N142" i="36"/>
  <c r="O142" i="36"/>
  <c r="P142" i="36"/>
  <c r="Q142" i="36"/>
  <c r="R142" i="36"/>
  <c r="S142" i="36"/>
  <c r="T142" i="36"/>
  <c r="U142" i="36"/>
  <c r="V142" i="36"/>
  <c r="W142" i="36"/>
  <c r="X142" i="36"/>
  <c r="Y142" i="36"/>
  <c r="AA142" i="36"/>
  <c r="AB142" i="36"/>
  <c r="C143" i="36"/>
  <c r="AA143" i="36"/>
  <c r="AB143" i="36"/>
  <c r="A144" i="36"/>
  <c r="F144" i="36"/>
  <c r="G144" i="36"/>
  <c r="H144" i="36"/>
  <c r="I144" i="36"/>
  <c r="J144" i="36"/>
  <c r="K144" i="36"/>
  <c r="L144" i="36"/>
  <c r="M144" i="36"/>
  <c r="N144" i="36"/>
  <c r="O144" i="36"/>
  <c r="P144" i="36"/>
  <c r="Q144" i="36"/>
  <c r="R144" i="36"/>
  <c r="S144" i="36"/>
  <c r="T144" i="36"/>
  <c r="U144" i="36"/>
  <c r="V144" i="36"/>
  <c r="W144" i="36"/>
  <c r="X144" i="36"/>
  <c r="Y144" i="36"/>
  <c r="AA144" i="36"/>
  <c r="AB144" i="36"/>
  <c r="F145" i="36"/>
  <c r="G145" i="36"/>
  <c r="H145" i="36"/>
  <c r="I145" i="36"/>
  <c r="J145" i="36"/>
  <c r="K145" i="36"/>
  <c r="L145" i="36"/>
  <c r="M145" i="36"/>
  <c r="N145" i="36"/>
  <c r="O145" i="36"/>
  <c r="P145" i="36"/>
  <c r="Q145" i="36"/>
  <c r="R145" i="36"/>
  <c r="S145" i="36"/>
  <c r="T145" i="36"/>
  <c r="U145" i="36"/>
  <c r="V145" i="36"/>
  <c r="W145" i="36"/>
  <c r="X145" i="36"/>
  <c r="Y145" i="36"/>
  <c r="AA145" i="36"/>
  <c r="AB145" i="36"/>
  <c r="AA146" i="36"/>
  <c r="AB146" i="36"/>
  <c r="AA147" i="36"/>
  <c r="AB147" i="36"/>
  <c r="AA148" i="36"/>
  <c r="AB148" i="36"/>
  <c r="AA149" i="36"/>
  <c r="AB149" i="36"/>
  <c r="A150" i="36"/>
  <c r="F150" i="36"/>
  <c r="G150" i="36"/>
  <c r="H150" i="36"/>
  <c r="I150" i="36"/>
  <c r="J150" i="36"/>
  <c r="K150" i="36"/>
  <c r="L150" i="36"/>
  <c r="M150" i="36"/>
  <c r="N150" i="36"/>
  <c r="O150" i="36"/>
  <c r="P150" i="36"/>
  <c r="Q150" i="36"/>
  <c r="R150" i="36"/>
  <c r="S150" i="36"/>
  <c r="T150" i="36"/>
  <c r="U150" i="36"/>
  <c r="V150" i="36"/>
  <c r="W150" i="36"/>
  <c r="X150" i="36"/>
  <c r="Y150" i="36"/>
  <c r="AA150" i="36"/>
  <c r="AB150" i="36"/>
  <c r="AA151" i="36"/>
  <c r="AB151" i="36"/>
  <c r="F152" i="36"/>
  <c r="G152" i="36"/>
  <c r="H152" i="36"/>
  <c r="I152" i="36"/>
  <c r="J152" i="36"/>
  <c r="K152" i="36"/>
  <c r="L152" i="36"/>
  <c r="M152" i="36"/>
  <c r="N152" i="36"/>
  <c r="O152" i="36"/>
  <c r="P152" i="36"/>
  <c r="Q152" i="36"/>
  <c r="R152" i="36"/>
  <c r="S152" i="36"/>
  <c r="T152" i="36"/>
  <c r="U152" i="36"/>
  <c r="V152" i="36"/>
  <c r="W152" i="36"/>
  <c r="X152" i="36"/>
  <c r="Y152" i="36"/>
  <c r="AA152" i="36"/>
  <c r="C155" i="36"/>
  <c r="C156" i="36"/>
  <c r="D160" i="36"/>
  <c r="D161" i="36"/>
  <c r="D162" i="36"/>
  <c r="D163" i="36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AA10" i="32"/>
  <c r="AB10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AA11" i="32"/>
  <c r="AB11" i="32"/>
  <c r="AA12" i="32"/>
  <c r="AB12" i="32"/>
  <c r="AA13" i="32"/>
  <c r="AB13" i="32"/>
  <c r="AA14" i="32"/>
  <c r="AB14" i="32"/>
  <c r="AA15" i="32"/>
  <c r="AB15" i="32"/>
  <c r="AA16" i="32"/>
  <c r="AB16" i="32"/>
  <c r="AA17" i="32"/>
  <c r="AB17" i="32"/>
  <c r="AA18" i="32"/>
  <c r="AB18" i="32"/>
  <c r="AA19" i="32"/>
  <c r="AB19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AA20" i="32"/>
  <c r="AB20" i="32"/>
  <c r="AA21" i="32"/>
  <c r="AB21" i="32"/>
  <c r="AA22" i="32"/>
  <c r="AB22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AA23" i="32"/>
  <c r="AB23" i="32"/>
  <c r="AA24" i="32"/>
  <c r="AB24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AA25" i="32"/>
  <c r="AB25" i="32"/>
  <c r="AA26" i="32"/>
  <c r="AB26" i="32"/>
  <c r="AA27" i="32"/>
  <c r="AB27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AA28" i="32"/>
  <c r="AB28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AA29" i="32"/>
  <c r="AB29" i="32"/>
  <c r="AA30" i="32"/>
  <c r="AB30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AA31" i="32"/>
  <c r="AB31" i="32"/>
  <c r="AA32" i="32"/>
  <c r="AB32" i="32"/>
  <c r="AA33" i="32"/>
  <c r="AB33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AA34" i="32"/>
  <c r="AB34" i="32"/>
  <c r="AA35" i="32"/>
  <c r="AB35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AA36" i="32"/>
  <c r="AB36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AA37" i="32"/>
  <c r="AB37" i="32"/>
  <c r="AA38" i="32"/>
  <c r="AB38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U39" i="32"/>
  <c r="V39" i="32"/>
  <c r="W39" i="32"/>
  <c r="X39" i="32"/>
  <c r="Y39" i="32"/>
  <c r="AA39" i="32"/>
  <c r="AB39" i="32"/>
  <c r="AA40" i="32"/>
  <c r="AB40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U41" i="32"/>
  <c r="V41" i="32"/>
  <c r="W41" i="32"/>
  <c r="X41" i="32"/>
  <c r="Y41" i="32"/>
  <c r="AA41" i="32"/>
  <c r="AB41" i="32"/>
  <c r="AA42" i="32"/>
  <c r="AB42" i="32"/>
  <c r="AA43" i="32"/>
  <c r="AB43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W44" i="32"/>
  <c r="X44" i="32"/>
  <c r="Y44" i="32"/>
  <c r="AA44" i="32"/>
  <c r="AB44" i="32"/>
  <c r="AA45" i="32"/>
  <c r="AB45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AA46" i="32"/>
  <c r="AB46" i="32"/>
  <c r="AA47" i="32"/>
  <c r="AB47" i="32"/>
  <c r="AA48" i="32"/>
  <c r="AB48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W49" i="32"/>
  <c r="X49" i="32"/>
  <c r="Y49" i="32"/>
  <c r="AA49" i="32"/>
  <c r="AB49" i="32"/>
  <c r="AA50" i="32"/>
  <c r="AB50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S51" i="32"/>
  <c r="T51" i="32"/>
  <c r="U51" i="32"/>
  <c r="V51" i="32"/>
  <c r="W51" i="32"/>
  <c r="X51" i="32"/>
  <c r="Y51" i="32"/>
  <c r="AA51" i="32"/>
  <c r="AB51" i="32"/>
  <c r="E52" i="32"/>
  <c r="F52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S52" i="32"/>
  <c r="T52" i="32"/>
  <c r="U52" i="32"/>
  <c r="V52" i="32"/>
  <c r="W52" i="32"/>
  <c r="X52" i="32"/>
  <c r="Y52" i="32"/>
  <c r="AA52" i="32"/>
  <c r="AB52" i="32"/>
  <c r="AA53" i="32"/>
  <c r="AB53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S54" i="32"/>
  <c r="T54" i="32"/>
  <c r="U54" i="32"/>
  <c r="V54" i="32"/>
  <c r="W54" i="32"/>
  <c r="X54" i="32"/>
  <c r="Y54" i="32"/>
  <c r="AA54" i="32"/>
  <c r="AB54" i="32"/>
  <c r="AA55" i="32"/>
  <c r="AB55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AA56" i="32"/>
  <c r="AB56" i="32"/>
  <c r="E57" i="32"/>
  <c r="AA57" i="32"/>
  <c r="AB57" i="32"/>
  <c r="AA58" i="32"/>
  <c r="AB58" i="32"/>
  <c r="AA59" i="32"/>
  <c r="AB59" i="32"/>
  <c r="AA60" i="32"/>
  <c r="AB60" i="32"/>
  <c r="AA61" i="32"/>
  <c r="AB61" i="32"/>
  <c r="E62" i="32"/>
  <c r="F62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S62" i="32"/>
  <c r="T62" i="32"/>
  <c r="U62" i="32"/>
  <c r="V62" i="32"/>
  <c r="W62" i="32"/>
  <c r="X62" i="32"/>
  <c r="Y62" i="32"/>
  <c r="AA62" i="32"/>
  <c r="AB62" i="32"/>
  <c r="AA63" i="32"/>
  <c r="AB63" i="32"/>
  <c r="E64" i="32"/>
  <c r="F64" i="32"/>
  <c r="G64" i="32"/>
  <c r="H64" i="32"/>
  <c r="I64" i="32"/>
  <c r="J64" i="32"/>
  <c r="K64" i="32"/>
  <c r="L64" i="32"/>
  <c r="M64" i="32"/>
  <c r="N64" i="32"/>
  <c r="O64" i="32"/>
  <c r="P64" i="32"/>
  <c r="Q64" i="32"/>
  <c r="R64" i="32"/>
  <c r="S64" i="32"/>
  <c r="T64" i="32"/>
  <c r="U64" i="32"/>
  <c r="V64" i="32"/>
  <c r="W64" i="32"/>
  <c r="X64" i="32"/>
  <c r="Y64" i="32"/>
  <c r="AA64" i="32"/>
  <c r="AB64" i="32"/>
  <c r="AA65" i="32"/>
  <c r="AB65" i="32"/>
  <c r="E66" i="32"/>
  <c r="F66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S66" i="32"/>
  <c r="T66" i="32"/>
  <c r="U66" i="32"/>
  <c r="V66" i="32"/>
  <c r="W66" i="32"/>
  <c r="X66" i="32"/>
  <c r="Y66" i="32"/>
  <c r="AA66" i="32"/>
  <c r="AB66" i="32"/>
  <c r="AA67" i="32"/>
  <c r="AB67" i="32"/>
  <c r="E68" i="32"/>
  <c r="F68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S68" i="32"/>
  <c r="T68" i="32"/>
  <c r="U68" i="32"/>
  <c r="V68" i="32"/>
  <c r="W68" i="32"/>
  <c r="X68" i="32"/>
  <c r="Y68" i="32"/>
  <c r="AA68" i="32"/>
  <c r="AB68" i="32"/>
  <c r="E69" i="32"/>
  <c r="F69" i="32"/>
  <c r="G69" i="32"/>
  <c r="H69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V69" i="32"/>
  <c r="W69" i="32"/>
  <c r="X69" i="32"/>
  <c r="Y69" i="32"/>
  <c r="AA69" i="32"/>
  <c r="AB69" i="32"/>
  <c r="AA70" i="32"/>
  <c r="AB70" i="32"/>
  <c r="E71" i="32"/>
  <c r="F71" i="32"/>
  <c r="G71" i="32"/>
  <c r="H71" i="32"/>
  <c r="I71" i="32"/>
  <c r="J71" i="32"/>
  <c r="K71" i="32"/>
  <c r="L71" i="32"/>
  <c r="M71" i="32"/>
  <c r="N71" i="32"/>
  <c r="O71" i="32"/>
  <c r="P71" i="32"/>
  <c r="Q71" i="32"/>
  <c r="R71" i="32"/>
  <c r="S71" i="32"/>
  <c r="T71" i="32"/>
  <c r="U71" i="32"/>
  <c r="V71" i="32"/>
  <c r="W71" i="32"/>
  <c r="X71" i="32"/>
  <c r="Y71" i="32"/>
  <c r="AA71" i="32"/>
  <c r="AB71" i="32"/>
  <c r="AA72" i="32"/>
  <c r="AB72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R73" i="32"/>
  <c r="S73" i="32"/>
  <c r="T73" i="32"/>
  <c r="U73" i="32"/>
  <c r="V73" i="32"/>
  <c r="W73" i="32"/>
  <c r="X73" i="32"/>
  <c r="Y73" i="32"/>
  <c r="AA73" i="32"/>
  <c r="AB73" i="32"/>
  <c r="AA74" i="32"/>
  <c r="AB74" i="32"/>
  <c r="AA75" i="32"/>
  <c r="AB75" i="32"/>
  <c r="C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R76" i="32"/>
  <c r="S76" i="32"/>
  <c r="T76" i="32"/>
  <c r="U76" i="32"/>
  <c r="V76" i="32"/>
  <c r="W76" i="32"/>
  <c r="X76" i="32"/>
  <c r="Y76" i="32"/>
  <c r="AA76" i="32"/>
  <c r="AB76" i="32"/>
  <c r="C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R77" i="32"/>
  <c r="S77" i="32"/>
  <c r="T77" i="32"/>
  <c r="U77" i="32"/>
  <c r="V77" i="32"/>
  <c r="W77" i="32"/>
  <c r="X77" i="32"/>
  <c r="Y77" i="32"/>
  <c r="AA77" i="32"/>
  <c r="AB77" i="32"/>
  <c r="AA78" i="32"/>
  <c r="AB78" i="32"/>
  <c r="AA79" i="32"/>
  <c r="AB79" i="32"/>
  <c r="AA80" i="32"/>
  <c r="AB80" i="32"/>
  <c r="AA81" i="32"/>
  <c r="AB81" i="32"/>
  <c r="AA82" i="32"/>
  <c r="AB82" i="32"/>
  <c r="AA83" i="32"/>
  <c r="AB83" i="32"/>
  <c r="AA84" i="32"/>
  <c r="AB84" i="32"/>
  <c r="AA85" i="32"/>
  <c r="AB85" i="32"/>
  <c r="E86" i="32"/>
  <c r="F86" i="32"/>
  <c r="G86" i="32"/>
  <c r="H86" i="32"/>
  <c r="I86" i="32"/>
  <c r="J86" i="32"/>
  <c r="K86" i="32"/>
  <c r="L86" i="32"/>
  <c r="M86" i="32"/>
  <c r="N86" i="32"/>
  <c r="O86" i="32"/>
  <c r="P86" i="32"/>
  <c r="Q86" i="32"/>
  <c r="R86" i="32"/>
  <c r="S86" i="32"/>
  <c r="T86" i="32"/>
  <c r="U86" i="32"/>
  <c r="V86" i="32"/>
  <c r="W86" i="32"/>
  <c r="X86" i="32"/>
  <c r="Y86" i="32"/>
  <c r="AA86" i="32"/>
  <c r="AB86" i="32"/>
  <c r="AA87" i="32"/>
  <c r="AB87" i="32"/>
  <c r="F88" i="32"/>
  <c r="G88" i="32"/>
  <c r="H88" i="32"/>
  <c r="I88" i="32"/>
  <c r="J88" i="32"/>
  <c r="K88" i="32"/>
  <c r="L88" i="32"/>
  <c r="M88" i="32"/>
  <c r="N88" i="32"/>
  <c r="O88" i="32"/>
  <c r="P88" i="32"/>
  <c r="Q88" i="32"/>
  <c r="R88" i="32"/>
  <c r="S88" i="32"/>
  <c r="T88" i="32"/>
  <c r="U88" i="32"/>
  <c r="V88" i="32"/>
  <c r="W88" i="32"/>
  <c r="X88" i="32"/>
  <c r="Y88" i="32"/>
  <c r="AA88" i="32"/>
  <c r="AB88" i="32"/>
  <c r="F89" i="32"/>
  <c r="G89" i="32"/>
  <c r="H89" i="32"/>
  <c r="I89" i="32"/>
  <c r="J89" i="32"/>
  <c r="K89" i="32"/>
  <c r="L89" i="32"/>
  <c r="M89" i="32"/>
  <c r="N89" i="32"/>
  <c r="O89" i="32"/>
  <c r="P89" i="32"/>
  <c r="Q89" i="32"/>
  <c r="R89" i="32"/>
  <c r="S89" i="32"/>
  <c r="T89" i="32"/>
  <c r="U89" i="32"/>
  <c r="V89" i="32"/>
  <c r="W89" i="32"/>
  <c r="X89" i="32"/>
  <c r="Y89" i="32"/>
  <c r="AA89" i="32"/>
  <c r="AB89" i="32"/>
  <c r="F90" i="32"/>
  <c r="G90" i="32"/>
  <c r="H90" i="32"/>
  <c r="I90" i="32"/>
  <c r="J90" i="32"/>
  <c r="K90" i="32"/>
  <c r="L90" i="32"/>
  <c r="M90" i="32"/>
  <c r="N90" i="32"/>
  <c r="O90" i="32"/>
  <c r="P90" i="32"/>
  <c r="Q90" i="32"/>
  <c r="R90" i="32"/>
  <c r="S90" i="32"/>
  <c r="T90" i="32"/>
  <c r="U90" i="32"/>
  <c r="V90" i="32"/>
  <c r="W90" i="32"/>
  <c r="X90" i="32"/>
  <c r="Y90" i="32"/>
  <c r="AA90" i="32"/>
  <c r="AB90" i="32"/>
  <c r="X91" i="32"/>
  <c r="AA91" i="32"/>
  <c r="AB91" i="32"/>
  <c r="F92" i="32"/>
  <c r="G92" i="32"/>
  <c r="H92" i="32"/>
  <c r="I92" i="32"/>
  <c r="J92" i="32"/>
  <c r="K92" i="32"/>
  <c r="L92" i="32"/>
  <c r="M92" i="32"/>
  <c r="N92" i="32"/>
  <c r="O92" i="32"/>
  <c r="P92" i="32"/>
  <c r="Q92" i="32"/>
  <c r="R92" i="32"/>
  <c r="S92" i="32"/>
  <c r="T92" i="32"/>
  <c r="U92" i="32"/>
  <c r="V92" i="32"/>
  <c r="W92" i="32"/>
  <c r="X92" i="32"/>
  <c r="Y92" i="32"/>
  <c r="AA92" i="32"/>
  <c r="AB92" i="32"/>
  <c r="AA93" i="32"/>
  <c r="AB93" i="32"/>
  <c r="AA94" i="32"/>
  <c r="AB94" i="32"/>
  <c r="E95" i="32"/>
  <c r="Y95" i="32"/>
  <c r="AA95" i="32"/>
  <c r="AB95" i="32"/>
  <c r="AA96" i="32"/>
  <c r="AB96" i="32"/>
  <c r="Y97" i="32"/>
  <c r="AA97" i="32"/>
  <c r="AB97" i="32"/>
  <c r="AA98" i="32"/>
  <c r="AB98" i="32"/>
  <c r="Y99" i="32"/>
  <c r="AA99" i="32"/>
  <c r="AB99" i="32"/>
  <c r="AA100" i="32"/>
  <c r="AB100" i="32"/>
  <c r="D101" i="32"/>
  <c r="H101" i="32"/>
  <c r="AA101" i="32"/>
  <c r="AB101" i="32"/>
  <c r="D102" i="32"/>
  <c r="AA102" i="32"/>
  <c r="AB102" i="32"/>
  <c r="D103" i="32"/>
  <c r="AA103" i="32"/>
  <c r="AB103" i="32"/>
  <c r="AA104" i="32"/>
  <c r="AB104" i="32"/>
  <c r="D105" i="32"/>
  <c r="AA105" i="32"/>
  <c r="AB105" i="32"/>
  <c r="AA106" i="32"/>
  <c r="AB106" i="32"/>
  <c r="F107" i="32"/>
  <c r="G107" i="32"/>
  <c r="H107" i="32"/>
  <c r="I107" i="32"/>
  <c r="J107" i="32"/>
  <c r="K107" i="32"/>
  <c r="L107" i="32"/>
  <c r="M107" i="32"/>
  <c r="N107" i="32"/>
  <c r="O107" i="32"/>
  <c r="P107" i="32"/>
  <c r="Q107" i="32"/>
  <c r="R107" i="32"/>
  <c r="S107" i="32"/>
  <c r="T107" i="32"/>
  <c r="U107" i="32"/>
  <c r="V107" i="32"/>
  <c r="W107" i="32"/>
  <c r="X107" i="32"/>
  <c r="Y107" i="32"/>
  <c r="AA107" i="32"/>
  <c r="AB107" i="32"/>
  <c r="AA108" i="32"/>
  <c r="AB108" i="32"/>
  <c r="D109" i="32"/>
  <c r="F109" i="32"/>
  <c r="G109" i="32"/>
  <c r="H109" i="32"/>
  <c r="I109" i="32"/>
  <c r="J109" i="32"/>
  <c r="K109" i="32"/>
  <c r="L109" i="32"/>
  <c r="M109" i="32"/>
  <c r="N109" i="32"/>
  <c r="O109" i="32"/>
  <c r="P109" i="32"/>
  <c r="Q109" i="32"/>
  <c r="R109" i="32"/>
  <c r="S109" i="32"/>
  <c r="T109" i="32"/>
  <c r="U109" i="32"/>
  <c r="V109" i="32"/>
  <c r="W109" i="32"/>
  <c r="X109" i="32"/>
  <c r="AA109" i="32"/>
  <c r="AB109" i="32"/>
  <c r="D110" i="32"/>
  <c r="F110" i="32"/>
  <c r="G110" i="32"/>
  <c r="H110" i="32"/>
  <c r="I110" i="32"/>
  <c r="J110" i="32"/>
  <c r="K110" i="32"/>
  <c r="L110" i="32"/>
  <c r="M110" i="32"/>
  <c r="N110" i="32"/>
  <c r="O110" i="32"/>
  <c r="P110" i="32"/>
  <c r="Q110" i="32"/>
  <c r="R110" i="32"/>
  <c r="S110" i="32"/>
  <c r="T110" i="32"/>
  <c r="U110" i="32"/>
  <c r="V110" i="32"/>
  <c r="W110" i="32"/>
  <c r="X110" i="32"/>
  <c r="AA110" i="32"/>
  <c r="AB110" i="32"/>
  <c r="AA111" i="32"/>
  <c r="AB111" i="32"/>
  <c r="AA112" i="32"/>
  <c r="AB112" i="32"/>
  <c r="D113" i="32"/>
  <c r="AA113" i="32"/>
  <c r="AB113" i="32"/>
  <c r="AA114" i="32"/>
  <c r="AB114" i="32"/>
  <c r="F115" i="32"/>
  <c r="G115" i="32"/>
  <c r="H115" i="32"/>
  <c r="I115" i="32"/>
  <c r="J115" i="32"/>
  <c r="K115" i="32"/>
  <c r="L115" i="32"/>
  <c r="M115" i="32"/>
  <c r="N115" i="32"/>
  <c r="O115" i="32"/>
  <c r="P115" i="32"/>
  <c r="Q115" i="32"/>
  <c r="R115" i="32"/>
  <c r="S115" i="32"/>
  <c r="T115" i="32"/>
  <c r="U115" i="32"/>
  <c r="V115" i="32"/>
  <c r="W115" i="32"/>
  <c r="X115" i="32"/>
  <c r="AA115" i="32"/>
  <c r="AB115" i="32"/>
  <c r="D116" i="32"/>
  <c r="F116" i="32"/>
  <c r="G116" i="32"/>
  <c r="H116" i="32"/>
  <c r="I116" i="32"/>
  <c r="J116" i="32"/>
  <c r="K116" i="32"/>
  <c r="L116" i="32"/>
  <c r="M116" i="32"/>
  <c r="N116" i="32"/>
  <c r="O116" i="32"/>
  <c r="P116" i="32"/>
  <c r="Q116" i="32"/>
  <c r="R116" i="32"/>
  <c r="S116" i="32"/>
  <c r="T116" i="32"/>
  <c r="U116" i="32"/>
  <c r="V116" i="32"/>
  <c r="W116" i="32"/>
  <c r="X116" i="32"/>
  <c r="AA116" i="32"/>
  <c r="AB116" i="32"/>
  <c r="AA117" i="32"/>
  <c r="AB117" i="32"/>
  <c r="AA118" i="32"/>
  <c r="AB118" i="32"/>
  <c r="F119" i="32"/>
  <c r="G119" i="32"/>
  <c r="H119" i="32"/>
  <c r="I119" i="32"/>
  <c r="J119" i="32"/>
  <c r="K119" i="32"/>
  <c r="L119" i="32"/>
  <c r="M119" i="32"/>
  <c r="N119" i="32"/>
  <c r="O119" i="32"/>
  <c r="P119" i="32"/>
  <c r="Q119" i="32"/>
  <c r="R119" i="32"/>
  <c r="S119" i="32"/>
  <c r="T119" i="32"/>
  <c r="U119" i="32"/>
  <c r="V119" i="32"/>
  <c r="W119" i="32"/>
  <c r="X119" i="32"/>
  <c r="Y119" i="32"/>
  <c r="AA119" i="32"/>
  <c r="AB119" i="32"/>
  <c r="AA120" i="32"/>
  <c r="AB120" i="32"/>
  <c r="A121" i="32"/>
  <c r="F121" i="32"/>
  <c r="G121" i="32"/>
  <c r="H121" i="32"/>
  <c r="I121" i="32"/>
  <c r="J121" i="32"/>
  <c r="K121" i="32"/>
  <c r="L121" i="32"/>
  <c r="M121" i="32"/>
  <c r="N121" i="32"/>
  <c r="O121" i="32"/>
  <c r="P121" i="32"/>
  <c r="Q121" i="32"/>
  <c r="R121" i="32"/>
  <c r="S121" i="32"/>
  <c r="T121" i="32"/>
  <c r="U121" i="32"/>
  <c r="V121" i="32"/>
  <c r="W121" i="32"/>
  <c r="X121" i="32"/>
  <c r="Y121" i="32"/>
  <c r="AA121" i="32"/>
  <c r="AB121" i="32"/>
  <c r="F122" i="32"/>
  <c r="G122" i="32"/>
  <c r="H122" i="32"/>
  <c r="I122" i="32"/>
  <c r="J122" i="32"/>
  <c r="K122" i="32"/>
  <c r="L122" i="32"/>
  <c r="M122" i="32"/>
  <c r="N122" i="32"/>
  <c r="O122" i="32"/>
  <c r="P122" i="32"/>
  <c r="Q122" i="32"/>
  <c r="R122" i="32"/>
  <c r="S122" i="32"/>
  <c r="T122" i="32"/>
  <c r="U122" i="32"/>
  <c r="V122" i="32"/>
  <c r="W122" i="32"/>
  <c r="X122" i="32"/>
  <c r="Y122" i="32"/>
  <c r="AA122" i="32"/>
  <c r="AB122" i="32"/>
  <c r="F123" i="32"/>
  <c r="G123" i="32"/>
  <c r="H123" i="32"/>
  <c r="I123" i="32"/>
  <c r="J123" i="32"/>
  <c r="K123" i="32"/>
  <c r="L123" i="32"/>
  <c r="M123" i="32"/>
  <c r="N123" i="32"/>
  <c r="O123" i="32"/>
  <c r="P123" i="32"/>
  <c r="Q123" i="32"/>
  <c r="R123" i="32"/>
  <c r="S123" i="32"/>
  <c r="T123" i="32"/>
  <c r="U123" i="32"/>
  <c r="V123" i="32"/>
  <c r="W123" i="32"/>
  <c r="X123" i="32"/>
  <c r="Y123" i="32"/>
  <c r="AA123" i="32"/>
  <c r="AB123" i="32"/>
  <c r="F124" i="32"/>
  <c r="G124" i="32"/>
  <c r="H124" i="32"/>
  <c r="I124" i="32"/>
  <c r="J124" i="32"/>
  <c r="K124" i="32"/>
  <c r="L124" i="32"/>
  <c r="M124" i="32"/>
  <c r="N124" i="32"/>
  <c r="O124" i="32"/>
  <c r="P124" i="32"/>
  <c r="Q124" i="32"/>
  <c r="R124" i="32"/>
  <c r="S124" i="32"/>
  <c r="T124" i="32"/>
  <c r="U124" i="32"/>
  <c r="V124" i="32"/>
  <c r="W124" i="32"/>
  <c r="X124" i="32"/>
  <c r="Y124" i="32"/>
  <c r="AA124" i="32"/>
  <c r="AB124" i="32"/>
  <c r="AA125" i="32"/>
  <c r="AB125" i="32"/>
  <c r="C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R126" i="32"/>
  <c r="S126" i="32"/>
  <c r="T126" i="32"/>
  <c r="U126" i="32"/>
  <c r="V126" i="32"/>
  <c r="W126" i="32"/>
  <c r="X126" i="32"/>
  <c r="Y126" i="32"/>
  <c r="AA126" i="32"/>
  <c r="AB126" i="32"/>
  <c r="C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S127" i="32"/>
  <c r="T127" i="32"/>
  <c r="U127" i="32"/>
  <c r="V127" i="32"/>
  <c r="W127" i="32"/>
  <c r="X127" i="32"/>
  <c r="Y127" i="32"/>
  <c r="AA127" i="32"/>
  <c r="AB127" i="32"/>
  <c r="AA128" i="32"/>
  <c r="AB128" i="32"/>
  <c r="AA129" i="32"/>
  <c r="AB129" i="32"/>
  <c r="AA130" i="32"/>
  <c r="AB130" i="32"/>
  <c r="AA131" i="32"/>
  <c r="AB131" i="32"/>
  <c r="AA132" i="32"/>
  <c r="AB132" i="32"/>
  <c r="AA133" i="32"/>
  <c r="AB133" i="32"/>
  <c r="AA134" i="32"/>
  <c r="AB134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S135" i="32"/>
  <c r="T135" i="32"/>
  <c r="U135" i="32"/>
  <c r="V135" i="32"/>
  <c r="W135" i="32"/>
  <c r="X135" i="32"/>
  <c r="Y135" i="32"/>
  <c r="AA135" i="32"/>
  <c r="AB135" i="32"/>
  <c r="AA136" i="32"/>
  <c r="AB136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S137" i="32"/>
  <c r="T137" i="32"/>
  <c r="U137" i="32"/>
  <c r="V137" i="32"/>
  <c r="W137" i="32"/>
  <c r="X137" i="32"/>
  <c r="Y137" i="32"/>
  <c r="AA137" i="32"/>
  <c r="AB137" i="32"/>
  <c r="F138" i="32"/>
  <c r="G138" i="32"/>
  <c r="H138" i="32"/>
  <c r="I138" i="32"/>
  <c r="J138" i="32"/>
  <c r="K138" i="32"/>
  <c r="L138" i="32"/>
  <c r="M138" i="32"/>
  <c r="N138" i="32"/>
  <c r="O138" i="32"/>
  <c r="P138" i="32"/>
  <c r="Q138" i="32"/>
  <c r="R138" i="32"/>
  <c r="S138" i="32"/>
  <c r="T138" i="32"/>
  <c r="U138" i="32"/>
  <c r="V138" i="32"/>
  <c r="W138" i="32"/>
  <c r="X138" i="32"/>
  <c r="Y138" i="32"/>
  <c r="AA138" i="32"/>
  <c r="AB138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S139" i="32"/>
  <c r="T139" i="32"/>
  <c r="U139" i="32"/>
  <c r="V139" i="32"/>
  <c r="W139" i="32"/>
  <c r="X139" i="32"/>
  <c r="Y139" i="32"/>
  <c r="AA139" i="32"/>
  <c r="AB139" i="32"/>
  <c r="C140" i="32"/>
  <c r="F140" i="32"/>
  <c r="G140" i="32"/>
  <c r="H140" i="32"/>
  <c r="I140" i="32"/>
  <c r="J140" i="32"/>
  <c r="K140" i="32"/>
  <c r="L140" i="32"/>
  <c r="M140" i="32"/>
  <c r="N140" i="32"/>
  <c r="O140" i="32"/>
  <c r="P140" i="32"/>
  <c r="Q140" i="32"/>
  <c r="R140" i="32"/>
  <c r="S140" i="32"/>
  <c r="T140" i="32"/>
  <c r="U140" i="32"/>
  <c r="V140" i="32"/>
  <c r="W140" i="32"/>
  <c r="X140" i="32"/>
  <c r="Y140" i="32"/>
  <c r="AA140" i="32"/>
  <c r="AB140" i="32"/>
  <c r="C141" i="32"/>
  <c r="F141" i="32"/>
  <c r="G141" i="32"/>
  <c r="H141" i="32"/>
  <c r="I141" i="32"/>
  <c r="J141" i="32"/>
  <c r="K141" i="32"/>
  <c r="L141" i="32"/>
  <c r="M141" i="32"/>
  <c r="N141" i="32"/>
  <c r="O141" i="32"/>
  <c r="P141" i="32"/>
  <c r="Q141" i="32"/>
  <c r="R141" i="32"/>
  <c r="S141" i="32"/>
  <c r="T141" i="32"/>
  <c r="U141" i="32"/>
  <c r="V141" i="32"/>
  <c r="W141" i="32"/>
  <c r="X141" i="32"/>
  <c r="Y141" i="32"/>
  <c r="AA141" i="32"/>
  <c r="AB141" i="32"/>
  <c r="F142" i="32"/>
  <c r="G142" i="32"/>
  <c r="H142" i="32"/>
  <c r="I142" i="32"/>
  <c r="J142" i="32"/>
  <c r="K142" i="32"/>
  <c r="L142" i="32"/>
  <c r="M142" i="32"/>
  <c r="N142" i="32"/>
  <c r="O142" i="32"/>
  <c r="P142" i="32"/>
  <c r="Q142" i="32"/>
  <c r="R142" i="32"/>
  <c r="S142" i="32"/>
  <c r="T142" i="32"/>
  <c r="U142" i="32"/>
  <c r="V142" i="32"/>
  <c r="W142" i="32"/>
  <c r="X142" i="32"/>
  <c r="Y142" i="32"/>
  <c r="AA142" i="32"/>
  <c r="AB142" i="32"/>
  <c r="AA143" i="32"/>
  <c r="AB143" i="32"/>
  <c r="A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S144" i="32"/>
  <c r="T144" i="32"/>
  <c r="U144" i="32"/>
  <c r="V144" i="32"/>
  <c r="W144" i="32"/>
  <c r="X144" i="32"/>
  <c r="Y144" i="32"/>
  <c r="AA144" i="32"/>
  <c r="AB144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S145" i="32"/>
  <c r="T145" i="32"/>
  <c r="U145" i="32"/>
  <c r="V145" i="32"/>
  <c r="W145" i="32"/>
  <c r="X145" i="32"/>
  <c r="Y145" i="32"/>
  <c r="AA145" i="32"/>
  <c r="AB145" i="32"/>
  <c r="AA146" i="32"/>
  <c r="AB146" i="32"/>
  <c r="AA147" i="32"/>
  <c r="AB147" i="32"/>
  <c r="AA148" i="32"/>
  <c r="AB148" i="32"/>
  <c r="AA149" i="32"/>
  <c r="AB149" i="32"/>
  <c r="A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S150" i="32"/>
  <c r="T150" i="32"/>
  <c r="U150" i="32"/>
  <c r="V150" i="32"/>
  <c r="W150" i="32"/>
  <c r="X150" i="32"/>
  <c r="AA150" i="32"/>
  <c r="AB150" i="32"/>
  <c r="AA151" i="32"/>
  <c r="AB151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AA152" i="32"/>
  <c r="C155" i="32"/>
  <c r="C156" i="32"/>
  <c r="D160" i="32"/>
  <c r="D161" i="32"/>
  <c r="D162" i="32"/>
  <c r="D163" i="32"/>
  <c r="C178" i="32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AA10" i="33"/>
  <c r="AB10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AA11" i="33"/>
  <c r="AB11" i="33"/>
  <c r="AA12" i="33"/>
  <c r="AB12" i="33"/>
  <c r="AA13" i="33"/>
  <c r="AB13" i="33"/>
  <c r="AA14" i="33"/>
  <c r="AB14" i="33"/>
  <c r="AA15" i="33"/>
  <c r="AB15" i="33"/>
  <c r="AA16" i="33"/>
  <c r="AB16" i="33"/>
  <c r="AA17" i="33"/>
  <c r="AB17" i="33"/>
  <c r="AA18" i="33"/>
  <c r="AB18" i="33"/>
  <c r="AA19" i="33"/>
  <c r="AB19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AA20" i="33"/>
  <c r="AB20" i="33"/>
  <c r="AA21" i="33"/>
  <c r="AB21" i="33"/>
  <c r="AA22" i="33"/>
  <c r="AB22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AA23" i="33"/>
  <c r="AB23" i="33"/>
  <c r="AA24" i="33"/>
  <c r="AB24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AA25" i="33"/>
  <c r="AB25" i="33"/>
  <c r="AA26" i="33"/>
  <c r="AB26" i="33"/>
  <c r="AA27" i="33"/>
  <c r="AB27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AA28" i="33"/>
  <c r="AB28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AA29" i="33"/>
  <c r="AB29" i="33"/>
  <c r="AA30" i="33"/>
  <c r="AB30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AA31" i="33"/>
  <c r="AB31" i="33"/>
  <c r="AA32" i="33"/>
  <c r="AB32" i="33"/>
  <c r="AA33" i="33"/>
  <c r="AB33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AA34" i="33"/>
  <c r="AB34" i="33"/>
  <c r="AA35" i="33"/>
  <c r="AB35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AA36" i="33"/>
  <c r="AB36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AA37" i="33"/>
  <c r="AB37" i="33"/>
  <c r="AA38" i="33"/>
  <c r="AB38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AA39" i="33"/>
  <c r="AB39" i="33"/>
  <c r="AA40" i="33"/>
  <c r="AB40" i="33"/>
  <c r="F41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AA41" i="33"/>
  <c r="AB41" i="33"/>
  <c r="AA42" i="33"/>
  <c r="AB42" i="33"/>
  <c r="AA43" i="33"/>
  <c r="AB43" i="33"/>
  <c r="E44" i="33"/>
  <c r="F44" i="33"/>
  <c r="G44" i="33"/>
  <c r="H44" i="33"/>
  <c r="I44" i="33"/>
  <c r="J44" i="33"/>
  <c r="K44" i="33"/>
  <c r="L44" i="33"/>
  <c r="M44" i="33"/>
  <c r="N44" i="33"/>
  <c r="O44" i="33"/>
  <c r="P44" i="33"/>
  <c r="Q44" i="33"/>
  <c r="R44" i="33"/>
  <c r="S44" i="33"/>
  <c r="T44" i="33"/>
  <c r="U44" i="33"/>
  <c r="V44" i="33"/>
  <c r="W44" i="33"/>
  <c r="X44" i="33"/>
  <c r="Y44" i="33"/>
  <c r="AA44" i="33"/>
  <c r="AB44" i="33"/>
  <c r="AA45" i="33"/>
  <c r="AB45" i="33"/>
  <c r="AA46" i="33"/>
  <c r="AB46" i="33"/>
  <c r="AA47" i="33"/>
  <c r="AB47" i="33"/>
  <c r="AA48" i="33"/>
  <c r="AB48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X49" i="33"/>
  <c r="Y49" i="33"/>
  <c r="AA49" i="33"/>
  <c r="AB49" i="33"/>
  <c r="AA50" i="33"/>
  <c r="AB50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X51" i="33"/>
  <c r="Y51" i="33"/>
  <c r="AA51" i="33"/>
  <c r="AB51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S52" i="33"/>
  <c r="T52" i="33"/>
  <c r="U52" i="33"/>
  <c r="V52" i="33"/>
  <c r="W52" i="33"/>
  <c r="X52" i="33"/>
  <c r="Y52" i="33"/>
  <c r="AA52" i="33"/>
  <c r="AB52" i="33"/>
  <c r="AA53" i="33"/>
  <c r="AB53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AA54" i="33"/>
  <c r="AB54" i="33"/>
  <c r="AA55" i="33"/>
  <c r="AB55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S56" i="33"/>
  <c r="T56" i="33"/>
  <c r="U56" i="33"/>
  <c r="V56" i="33"/>
  <c r="W56" i="33"/>
  <c r="X56" i="33"/>
  <c r="Y56" i="33"/>
  <c r="AA56" i="33"/>
  <c r="AB56" i="33"/>
  <c r="E57" i="33"/>
  <c r="AA57" i="33"/>
  <c r="AB57" i="33"/>
  <c r="M58" i="33"/>
  <c r="AA58" i="33"/>
  <c r="AB58" i="33"/>
  <c r="AA59" i="33"/>
  <c r="AB59" i="33"/>
  <c r="AA60" i="33"/>
  <c r="AB60" i="33"/>
  <c r="AA61" i="33"/>
  <c r="AB61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R62" i="33"/>
  <c r="S62" i="33"/>
  <c r="T62" i="33"/>
  <c r="U62" i="33"/>
  <c r="V62" i="33"/>
  <c r="W62" i="33"/>
  <c r="X62" i="33"/>
  <c r="Y62" i="33"/>
  <c r="AA62" i="33"/>
  <c r="AB62" i="33"/>
  <c r="AA63" i="33"/>
  <c r="AB63" i="33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S64" i="33"/>
  <c r="T64" i="33"/>
  <c r="U64" i="33"/>
  <c r="V64" i="33"/>
  <c r="W64" i="33"/>
  <c r="X64" i="33"/>
  <c r="Y64" i="33"/>
  <c r="AA64" i="33"/>
  <c r="AB64" i="33"/>
  <c r="AA65" i="33"/>
  <c r="AB65" i="33"/>
  <c r="AA66" i="33"/>
  <c r="AB66" i="33"/>
  <c r="AA67" i="33"/>
  <c r="AB67" i="33"/>
  <c r="AA68" i="33"/>
  <c r="AB68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S69" i="33"/>
  <c r="T69" i="33"/>
  <c r="U69" i="33"/>
  <c r="V69" i="33"/>
  <c r="W69" i="33"/>
  <c r="X69" i="33"/>
  <c r="Y69" i="33"/>
  <c r="AA69" i="33"/>
  <c r="AB69" i="33"/>
  <c r="AA70" i="33"/>
  <c r="AB70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S71" i="33"/>
  <c r="T71" i="33"/>
  <c r="U71" i="33"/>
  <c r="V71" i="33"/>
  <c r="W71" i="33"/>
  <c r="X71" i="33"/>
  <c r="Y71" i="33"/>
  <c r="AA71" i="33"/>
  <c r="AB71" i="33"/>
  <c r="AA72" i="33"/>
  <c r="AB72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AA73" i="33"/>
  <c r="AB73" i="33"/>
  <c r="AA74" i="33"/>
  <c r="AB74" i="33"/>
  <c r="AA75" i="33"/>
  <c r="AB75" i="33"/>
  <c r="C76" i="33"/>
  <c r="E76" i="33"/>
  <c r="F76" i="33"/>
  <c r="G76" i="33"/>
  <c r="H76" i="33"/>
  <c r="I76" i="33"/>
  <c r="J76" i="33"/>
  <c r="K76" i="33"/>
  <c r="L76" i="33"/>
  <c r="M76" i="33"/>
  <c r="N76" i="33"/>
  <c r="O76" i="33"/>
  <c r="P76" i="33"/>
  <c r="Q76" i="33"/>
  <c r="R76" i="33"/>
  <c r="S76" i="33"/>
  <c r="T76" i="33"/>
  <c r="U76" i="33"/>
  <c r="V76" i="33"/>
  <c r="W76" i="33"/>
  <c r="X76" i="33"/>
  <c r="Y76" i="33"/>
  <c r="AA76" i="33"/>
  <c r="AB76" i="33"/>
  <c r="C77" i="33"/>
  <c r="E77" i="33"/>
  <c r="F77" i="33"/>
  <c r="G77" i="33"/>
  <c r="H77" i="33"/>
  <c r="I77" i="33"/>
  <c r="J77" i="33"/>
  <c r="K77" i="33"/>
  <c r="L77" i="33"/>
  <c r="M77" i="33"/>
  <c r="N77" i="33"/>
  <c r="O77" i="33"/>
  <c r="P77" i="33"/>
  <c r="Q77" i="33"/>
  <c r="R77" i="33"/>
  <c r="S77" i="33"/>
  <c r="T77" i="33"/>
  <c r="U77" i="33"/>
  <c r="V77" i="33"/>
  <c r="W77" i="33"/>
  <c r="X77" i="33"/>
  <c r="Y77" i="33"/>
  <c r="AA77" i="33"/>
  <c r="AB77" i="33"/>
  <c r="AA78" i="33"/>
  <c r="AB78" i="33"/>
  <c r="AA79" i="33"/>
  <c r="AB79" i="33"/>
  <c r="AA80" i="33"/>
  <c r="AB80" i="33"/>
  <c r="AA81" i="33"/>
  <c r="AB81" i="33"/>
  <c r="AA82" i="33"/>
  <c r="AB82" i="33"/>
  <c r="AA83" i="33"/>
  <c r="AB83" i="33"/>
  <c r="AA84" i="33"/>
  <c r="AB84" i="33"/>
  <c r="AA85" i="33"/>
  <c r="AB85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AA86" i="33"/>
  <c r="AB86" i="33"/>
  <c r="AA87" i="33"/>
  <c r="AB87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S88" i="33"/>
  <c r="T88" i="33"/>
  <c r="U88" i="33"/>
  <c r="V88" i="33"/>
  <c r="W88" i="33"/>
  <c r="X88" i="33"/>
  <c r="Y88" i="33"/>
  <c r="AA88" i="33"/>
  <c r="AB88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S89" i="33"/>
  <c r="T89" i="33"/>
  <c r="U89" i="33"/>
  <c r="V89" i="33"/>
  <c r="W89" i="33"/>
  <c r="X89" i="33"/>
  <c r="Y89" i="33"/>
  <c r="AA89" i="33"/>
  <c r="AB89" i="33"/>
  <c r="F90" i="33"/>
  <c r="G90" i="33"/>
  <c r="H90" i="33"/>
  <c r="I90" i="33"/>
  <c r="J90" i="33"/>
  <c r="K90" i="33"/>
  <c r="L90" i="33"/>
  <c r="M90" i="33"/>
  <c r="N90" i="33"/>
  <c r="O90" i="33"/>
  <c r="P90" i="33"/>
  <c r="Q90" i="33"/>
  <c r="R90" i="33"/>
  <c r="S90" i="33"/>
  <c r="T90" i="33"/>
  <c r="U90" i="33"/>
  <c r="V90" i="33"/>
  <c r="W90" i="33"/>
  <c r="X90" i="33"/>
  <c r="Y90" i="33"/>
  <c r="AA90" i="33"/>
  <c r="AB90" i="33"/>
  <c r="Y91" i="33"/>
  <c r="AA91" i="33"/>
  <c r="AB91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R92" i="33"/>
  <c r="S92" i="33"/>
  <c r="T92" i="33"/>
  <c r="U92" i="33"/>
  <c r="V92" i="33"/>
  <c r="W92" i="33"/>
  <c r="X92" i="33"/>
  <c r="Y92" i="33"/>
  <c r="AA92" i="33"/>
  <c r="AB92" i="33"/>
  <c r="AA93" i="33"/>
  <c r="AB93" i="33"/>
  <c r="AA94" i="33"/>
  <c r="AB94" i="33"/>
  <c r="E95" i="33"/>
  <c r="Y95" i="33"/>
  <c r="AA95" i="33"/>
  <c r="AB95" i="33"/>
  <c r="AA96" i="33"/>
  <c r="AB96" i="33"/>
  <c r="Y97" i="33"/>
  <c r="AA97" i="33"/>
  <c r="AB97" i="33"/>
  <c r="AA98" i="33"/>
  <c r="AB98" i="33"/>
  <c r="Y99" i="33"/>
  <c r="AA99" i="33"/>
  <c r="AB99" i="33"/>
  <c r="AA100" i="33"/>
  <c r="AB100" i="33"/>
  <c r="AA101" i="33"/>
  <c r="AB101" i="33"/>
  <c r="D102" i="33"/>
  <c r="AA102" i="33"/>
  <c r="AB102" i="33"/>
  <c r="D103" i="33"/>
  <c r="AA103" i="33"/>
  <c r="AB103" i="33"/>
  <c r="AA104" i="33"/>
  <c r="AB104" i="33"/>
  <c r="D105" i="33"/>
  <c r="AA105" i="33"/>
  <c r="AB105" i="33"/>
  <c r="AA106" i="33"/>
  <c r="AB106" i="33"/>
  <c r="F107" i="33"/>
  <c r="G107" i="33"/>
  <c r="H107" i="33"/>
  <c r="I107" i="33"/>
  <c r="J107" i="33"/>
  <c r="K107" i="33"/>
  <c r="L107" i="33"/>
  <c r="M107" i="33"/>
  <c r="N107" i="33"/>
  <c r="O107" i="33"/>
  <c r="P107" i="33"/>
  <c r="Q107" i="33"/>
  <c r="R107" i="33"/>
  <c r="S107" i="33"/>
  <c r="T107" i="33"/>
  <c r="U107" i="33"/>
  <c r="V107" i="33"/>
  <c r="W107" i="33"/>
  <c r="X107" i="33"/>
  <c r="Y107" i="33"/>
  <c r="AA107" i="33"/>
  <c r="AB107" i="33"/>
  <c r="AA108" i="33"/>
  <c r="AB108" i="33"/>
  <c r="D109" i="33"/>
  <c r="F109" i="33"/>
  <c r="G109" i="33"/>
  <c r="H109" i="33"/>
  <c r="I109" i="33"/>
  <c r="J109" i="33"/>
  <c r="K109" i="33"/>
  <c r="L109" i="33"/>
  <c r="M109" i="33"/>
  <c r="N109" i="33"/>
  <c r="O109" i="33"/>
  <c r="P109" i="33"/>
  <c r="Q109" i="33"/>
  <c r="R109" i="33"/>
  <c r="S109" i="33"/>
  <c r="T109" i="33"/>
  <c r="U109" i="33"/>
  <c r="V109" i="33"/>
  <c r="W109" i="33"/>
  <c r="X109" i="33"/>
  <c r="Y109" i="33"/>
  <c r="AA109" i="33"/>
  <c r="AB109" i="33"/>
  <c r="D110" i="33"/>
  <c r="F110" i="33"/>
  <c r="G110" i="33"/>
  <c r="H110" i="33"/>
  <c r="I110" i="33"/>
  <c r="J110" i="33"/>
  <c r="K110" i="33"/>
  <c r="L110" i="33"/>
  <c r="M110" i="33"/>
  <c r="N110" i="33"/>
  <c r="O110" i="33"/>
  <c r="P110" i="33"/>
  <c r="Q110" i="33"/>
  <c r="R110" i="33"/>
  <c r="S110" i="33"/>
  <c r="T110" i="33"/>
  <c r="U110" i="33"/>
  <c r="V110" i="33"/>
  <c r="W110" i="33"/>
  <c r="X110" i="33"/>
  <c r="Y110" i="33"/>
  <c r="AA110" i="33"/>
  <c r="AB110" i="33"/>
  <c r="AA111" i="33"/>
  <c r="AB111" i="33"/>
  <c r="AA112" i="33"/>
  <c r="AB112" i="33"/>
  <c r="D113" i="33"/>
  <c r="AA113" i="33"/>
  <c r="AB113" i="33"/>
  <c r="AA114" i="33"/>
  <c r="AB114" i="33"/>
  <c r="F115" i="33"/>
  <c r="G115" i="33"/>
  <c r="H115" i="33"/>
  <c r="I115" i="33"/>
  <c r="J115" i="33"/>
  <c r="K115" i="33"/>
  <c r="L115" i="33"/>
  <c r="M115" i="33"/>
  <c r="N115" i="33"/>
  <c r="O115" i="33"/>
  <c r="P115" i="33"/>
  <c r="Q115" i="33"/>
  <c r="R115" i="33"/>
  <c r="S115" i="33"/>
  <c r="T115" i="33"/>
  <c r="U115" i="33"/>
  <c r="V115" i="33"/>
  <c r="W115" i="33"/>
  <c r="X115" i="33"/>
  <c r="Y115" i="33"/>
  <c r="AA115" i="33"/>
  <c r="AB115" i="33"/>
  <c r="D116" i="33"/>
  <c r="F116" i="33"/>
  <c r="G116" i="33"/>
  <c r="H116" i="33"/>
  <c r="I116" i="33"/>
  <c r="J116" i="33"/>
  <c r="K116" i="33"/>
  <c r="L116" i="33"/>
  <c r="M116" i="33"/>
  <c r="N116" i="33"/>
  <c r="O116" i="33"/>
  <c r="P116" i="33"/>
  <c r="Q116" i="33"/>
  <c r="R116" i="33"/>
  <c r="S116" i="33"/>
  <c r="T116" i="33"/>
  <c r="U116" i="33"/>
  <c r="V116" i="33"/>
  <c r="W116" i="33"/>
  <c r="X116" i="33"/>
  <c r="Y116" i="33"/>
  <c r="AA116" i="33"/>
  <c r="AB116" i="33"/>
  <c r="AA117" i="33"/>
  <c r="AB117" i="33"/>
  <c r="AA118" i="33"/>
  <c r="AB118" i="33"/>
  <c r="F119" i="33"/>
  <c r="G119" i="33"/>
  <c r="H119" i="33"/>
  <c r="I119" i="33"/>
  <c r="J119" i="33"/>
  <c r="K119" i="33"/>
  <c r="L119" i="33"/>
  <c r="M119" i="33"/>
  <c r="N119" i="33"/>
  <c r="O119" i="33"/>
  <c r="P119" i="33"/>
  <c r="Q119" i="33"/>
  <c r="R119" i="33"/>
  <c r="S119" i="33"/>
  <c r="T119" i="33"/>
  <c r="U119" i="33"/>
  <c r="V119" i="33"/>
  <c r="W119" i="33"/>
  <c r="X119" i="33"/>
  <c r="Y119" i="33"/>
  <c r="AA119" i="33"/>
  <c r="AB119" i="33"/>
  <c r="AA120" i="33"/>
  <c r="AB120" i="33"/>
  <c r="A121" i="33"/>
  <c r="F121" i="33"/>
  <c r="G121" i="33"/>
  <c r="H121" i="33"/>
  <c r="I121" i="33"/>
  <c r="J121" i="33"/>
  <c r="K121" i="33"/>
  <c r="L121" i="33"/>
  <c r="M121" i="33"/>
  <c r="N121" i="33"/>
  <c r="O121" i="33"/>
  <c r="P121" i="33"/>
  <c r="Q121" i="33"/>
  <c r="R121" i="33"/>
  <c r="S121" i="33"/>
  <c r="T121" i="33"/>
  <c r="U121" i="33"/>
  <c r="V121" i="33"/>
  <c r="W121" i="33"/>
  <c r="X121" i="33"/>
  <c r="Y121" i="33"/>
  <c r="AA121" i="33"/>
  <c r="AB121" i="33"/>
  <c r="F122" i="33"/>
  <c r="G122" i="33"/>
  <c r="H122" i="33"/>
  <c r="I122" i="33"/>
  <c r="J122" i="33"/>
  <c r="K122" i="33"/>
  <c r="L122" i="33"/>
  <c r="M122" i="33"/>
  <c r="N122" i="33"/>
  <c r="O122" i="33"/>
  <c r="P122" i="33"/>
  <c r="Q122" i="33"/>
  <c r="R122" i="33"/>
  <c r="S122" i="33"/>
  <c r="T122" i="33"/>
  <c r="U122" i="33"/>
  <c r="V122" i="33"/>
  <c r="W122" i="33"/>
  <c r="X122" i="33"/>
  <c r="Y122" i="33"/>
  <c r="AA122" i="33"/>
  <c r="AB122" i="33"/>
  <c r="F123" i="33"/>
  <c r="G123" i="33"/>
  <c r="H123" i="33"/>
  <c r="I123" i="33"/>
  <c r="J123" i="33"/>
  <c r="K123" i="33"/>
  <c r="L123" i="33"/>
  <c r="M123" i="33"/>
  <c r="N123" i="33"/>
  <c r="O123" i="33"/>
  <c r="P123" i="33"/>
  <c r="Q123" i="33"/>
  <c r="R123" i="33"/>
  <c r="S123" i="33"/>
  <c r="T123" i="33"/>
  <c r="U123" i="33"/>
  <c r="V123" i="33"/>
  <c r="W123" i="33"/>
  <c r="X123" i="33"/>
  <c r="Y123" i="33"/>
  <c r="AA123" i="33"/>
  <c r="AB123" i="33"/>
  <c r="F124" i="33"/>
  <c r="G124" i="33"/>
  <c r="H124" i="33"/>
  <c r="I124" i="33"/>
  <c r="J124" i="33"/>
  <c r="K124" i="33"/>
  <c r="L124" i="33"/>
  <c r="M124" i="33"/>
  <c r="N124" i="33"/>
  <c r="O124" i="33"/>
  <c r="P124" i="33"/>
  <c r="Q124" i="33"/>
  <c r="R124" i="33"/>
  <c r="S124" i="33"/>
  <c r="T124" i="33"/>
  <c r="U124" i="33"/>
  <c r="V124" i="33"/>
  <c r="W124" i="33"/>
  <c r="X124" i="33"/>
  <c r="Y124" i="33"/>
  <c r="AA124" i="33"/>
  <c r="AB124" i="33"/>
  <c r="AA125" i="33"/>
  <c r="AB125" i="33"/>
  <c r="C126" i="33"/>
  <c r="F126" i="33"/>
  <c r="G126" i="33"/>
  <c r="H126" i="33"/>
  <c r="I126" i="33"/>
  <c r="J126" i="33"/>
  <c r="K126" i="33"/>
  <c r="L126" i="33"/>
  <c r="M126" i="33"/>
  <c r="N126" i="33"/>
  <c r="O126" i="33"/>
  <c r="P126" i="33"/>
  <c r="Q126" i="33"/>
  <c r="R126" i="33"/>
  <c r="S126" i="33"/>
  <c r="T126" i="33"/>
  <c r="U126" i="33"/>
  <c r="V126" i="33"/>
  <c r="W126" i="33"/>
  <c r="X126" i="33"/>
  <c r="Y126" i="33"/>
  <c r="AA126" i="33"/>
  <c r="AB126" i="33"/>
  <c r="C127" i="33"/>
  <c r="F127" i="33"/>
  <c r="G127" i="33"/>
  <c r="H127" i="33"/>
  <c r="I127" i="33"/>
  <c r="J127" i="33"/>
  <c r="K127" i="33"/>
  <c r="L127" i="33"/>
  <c r="M127" i="33"/>
  <c r="N127" i="33"/>
  <c r="O127" i="33"/>
  <c r="P127" i="33"/>
  <c r="Q127" i="33"/>
  <c r="R127" i="33"/>
  <c r="S127" i="33"/>
  <c r="T127" i="33"/>
  <c r="U127" i="33"/>
  <c r="V127" i="33"/>
  <c r="W127" i="33"/>
  <c r="X127" i="33"/>
  <c r="Y127" i="33"/>
  <c r="AA127" i="33"/>
  <c r="AB127" i="33"/>
  <c r="AA128" i="33"/>
  <c r="AB128" i="33"/>
  <c r="AA129" i="33"/>
  <c r="AB129" i="33"/>
  <c r="AA130" i="33"/>
  <c r="AB130" i="33"/>
  <c r="AA131" i="33"/>
  <c r="AB131" i="33"/>
  <c r="AA132" i="33"/>
  <c r="AB132" i="33"/>
  <c r="AA133" i="33"/>
  <c r="AB133" i="33"/>
  <c r="AA134" i="33"/>
  <c r="AB134" i="33"/>
  <c r="F135" i="33"/>
  <c r="G135" i="33"/>
  <c r="H135" i="33"/>
  <c r="I135" i="33"/>
  <c r="J135" i="33"/>
  <c r="K135" i="33"/>
  <c r="L135" i="33"/>
  <c r="M135" i="33"/>
  <c r="N135" i="33"/>
  <c r="O135" i="33"/>
  <c r="P135" i="33"/>
  <c r="Q135" i="33"/>
  <c r="R135" i="33"/>
  <c r="S135" i="33"/>
  <c r="T135" i="33"/>
  <c r="U135" i="33"/>
  <c r="V135" i="33"/>
  <c r="W135" i="33"/>
  <c r="X135" i="33"/>
  <c r="Y135" i="33"/>
  <c r="AA135" i="33"/>
  <c r="AB135" i="33"/>
  <c r="AA136" i="33"/>
  <c r="AB136" i="33"/>
  <c r="F137" i="33"/>
  <c r="G137" i="33"/>
  <c r="H137" i="33"/>
  <c r="I137" i="33"/>
  <c r="J137" i="33"/>
  <c r="K137" i="33"/>
  <c r="L137" i="33"/>
  <c r="M137" i="33"/>
  <c r="N137" i="33"/>
  <c r="O137" i="33"/>
  <c r="P137" i="33"/>
  <c r="Q137" i="33"/>
  <c r="R137" i="33"/>
  <c r="S137" i="33"/>
  <c r="T137" i="33"/>
  <c r="U137" i="33"/>
  <c r="V137" i="33"/>
  <c r="W137" i="33"/>
  <c r="X137" i="33"/>
  <c r="Y137" i="33"/>
  <c r="AA137" i="33"/>
  <c r="AB137" i="33"/>
  <c r="F138" i="33"/>
  <c r="G138" i="33"/>
  <c r="H138" i="33"/>
  <c r="I138" i="33"/>
  <c r="J138" i="33"/>
  <c r="K138" i="33"/>
  <c r="L138" i="33"/>
  <c r="M138" i="33"/>
  <c r="N138" i="33"/>
  <c r="O138" i="33"/>
  <c r="P138" i="33"/>
  <c r="Q138" i="33"/>
  <c r="R138" i="33"/>
  <c r="S138" i="33"/>
  <c r="T138" i="33"/>
  <c r="U138" i="33"/>
  <c r="V138" i="33"/>
  <c r="W138" i="33"/>
  <c r="X138" i="33"/>
  <c r="Y138" i="33"/>
  <c r="AA138" i="33"/>
  <c r="AB138" i="33"/>
  <c r="F139" i="33"/>
  <c r="G139" i="33"/>
  <c r="H139" i="33"/>
  <c r="I139" i="33"/>
  <c r="J139" i="33"/>
  <c r="K139" i="33"/>
  <c r="L139" i="33"/>
  <c r="M139" i="33"/>
  <c r="N139" i="33"/>
  <c r="O139" i="33"/>
  <c r="P139" i="33"/>
  <c r="Q139" i="33"/>
  <c r="R139" i="33"/>
  <c r="S139" i="33"/>
  <c r="T139" i="33"/>
  <c r="U139" i="33"/>
  <c r="V139" i="33"/>
  <c r="W139" i="33"/>
  <c r="X139" i="33"/>
  <c r="Y139" i="33"/>
  <c r="AA139" i="33"/>
  <c r="AB139" i="33"/>
  <c r="C140" i="33"/>
  <c r="F140" i="33"/>
  <c r="G140" i="33"/>
  <c r="H140" i="33"/>
  <c r="I140" i="33"/>
  <c r="J140" i="33"/>
  <c r="K140" i="33"/>
  <c r="L140" i="33"/>
  <c r="M140" i="33"/>
  <c r="N140" i="33"/>
  <c r="O140" i="33"/>
  <c r="P140" i="33"/>
  <c r="Q140" i="33"/>
  <c r="R140" i="33"/>
  <c r="S140" i="33"/>
  <c r="T140" i="33"/>
  <c r="U140" i="33"/>
  <c r="V140" i="33"/>
  <c r="W140" i="33"/>
  <c r="X140" i="33"/>
  <c r="Y140" i="33"/>
  <c r="AA140" i="33"/>
  <c r="AB140" i="33"/>
  <c r="C141" i="33"/>
  <c r="F141" i="33"/>
  <c r="G141" i="33"/>
  <c r="H141" i="33"/>
  <c r="I141" i="33"/>
  <c r="J141" i="33"/>
  <c r="K141" i="33"/>
  <c r="L141" i="33"/>
  <c r="M141" i="33"/>
  <c r="N141" i="33"/>
  <c r="O141" i="33"/>
  <c r="P141" i="33"/>
  <c r="Q141" i="33"/>
  <c r="R141" i="33"/>
  <c r="S141" i="33"/>
  <c r="T141" i="33"/>
  <c r="U141" i="33"/>
  <c r="V141" i="33"/>
  <c r="W141" i="33"/>
  <c r="X141" i="33"/>
  <c r="Y141" i="33"/>
  <c r="AA141" i="33"/>
  <c r="AB141" i="33"/>
  <c r="F142" i="33"/>
  <c r="G142" i="33"/>
  <c r="H142" i="33"/>
  <c r="I142" i="33"/>
  <c r="J142" i="33"/>
  <c r="K142" i="33"/>
  <c r="L142" i="33"/>
  <c r="M142" i="33"/>
  <c r="N142" i="33"/>
  <c r="O142" i="33"/>
  <c r="P142" i="33"/>
  <c r="Q142" i="33"/>
  <c r="R142" i="33"/>
  <c r="S142" i="33"/>
  <c r="T142" i="33"/>
  <c r="U142" i="33"/>
  <c r="V142" i="33"/>
  <c r="W142" i="33"/>
  <c r="X142" i="33"/>
  <c r="Y142" i="33"/>
  <c r="AA142" i="33"/>
  <c r="AB142" i="33"/>
  <c r="AA143" i="33"/>
  <c r="AB143" i="33"/>
  <c r="A144" i="33"/>
  <c r="F144" i="33"/>
  <c r="G144" i="33"/>
  <c r="H144" i="33"/>
  <c r="I144" i="33"/>
  <c r="J144" i="33"/>
  <c r="K144" i="33"/>
  <c r="L144" i="33"/>
  <c r="M144" i="33"/>
  <c r="N144" i="33"/>
  <c r="O144" i="33"/>
  <c r="P144" i="33"/>
  <c r="Q144" i="33"/>
  <c r="R144" i="33"/>
  <c r="S144" i="33"/>
  <c r="T144" i="33"/>
  <c r="U144" i="33"/>
  <c r="V144" i="33"/>
  <c r="W144" i="33"/>
  <c r="X144" i="33"/>
  <c r="Y144" i="33"/>
  <c r="AA144" i="33"/>
  <c r="AB144" i="33"/>
  <c r="F145" i="33"/>
  <c r="G145" i="33"/>
  <c r="H145" i="33"/>
  <c r="I145" i="33"/>
  <c r="J145" i="33"/>
  <c r="K145" i="33"/>
  <c r="L145" i="33"/>
  <c r="M145" i="33"/>
  <c r="N145" i="33"/>
  <c r="O145" i="33"/>
  <c r="P145" i="33"/>
  <c r="Q145" i="33"/>
  <c r="R145" i="33"/>
  <c r="S145" i="33"/>
  <c r="T145" i="33"/>
  <c r="U145" i="33"/>
  <c r="V145" i="33"/>
  <c r="W145" i="33"/>
  <c r="X145" i="33"/>
  <c r="Y145" i="33"/>
  <c r="AA145" i="33"/>
  <c r="AB145" i="33"/>
  <c r="AA146" i="33"/>
  <c r="AB146" i="33"/>
  <c r="AA147" i="33"/>
  <c r="AB147" i="33"/>
  <c r="AA148" i="33"/>
  <c r="AB148" i="33"/>
  <c r="AA149" i="33"/>
  <c r="AB149" i="33"/>
  <c r="A150" i="33"/>
  <c r="F150" i="33"/>
  <c r="G150" i="33"/>
  <c r="H150" i="33"/>
  <c r="I150" i="33"/>
  <c r="J150" i="33"/>
  <c r="K150" i="33"/>
  <c r="L150" i="33"/>
  <c r="M150" i="33"/>
  <c r="N150" i="33"/>
  <c r="O150" i="33"/>
  <c r="P150" i="33"/>
  <c r="Q150" i="33"/>
  <c r="R150" i="33"/>
  <c r="S150" i="33"/>
  <c r="T150" i="33"/>
  <c r="U150" i="33"/>
  <c r="V150" i="33"/>
  <c r="W150" i="33"/>
  <c r="X150" i="33"/>
  <c r="Y150" i="33"/>
  <c r="AA150" i="33"/>
  <c r="AB150" i="33"/>
  <c r="AA151" i="33"/>
  <c r="AB151" i="33"/>
  <c r="F152" i="33"/>
  <c r="G152" i="33"/>
  <c r="H152" i="33"/>
  <c r="I152" i="33"/>
  <c r="J152" i="33"/>
  <c r="K152" i="33"/>
  <c r="L152" i="33"/>
  <c r="M152" i="33"/>
  <c r="N152" i="33"/>
  <c r="O152" i="33"/>
  <c r="P152" i="33"/>
  <c r="Q152" i="33"/>
  <c r="R152" i="33"/>
  <c r="S152" i="33"/>
  <c r="T152" i="33"/>
  <c r="U152" i="33"/>
  <c r="V152" i="33"/>
  <c r="W152" i="33"/>
  <c r="X152" i="33"/>
  <c r="Y152" i="33"/>
  <c r="AA152" i="33"/>
  <c r="C155" i="33"/>
  <c r="C156" i="33"/>
  <c r="D160" i="33"/>
  <c r="D162" i="33"/>
  <c r="D163" i="33"/>
  <c r="C177" i="33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AA10" i="41"/>
  <c r="AB10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AA11" i="41"/>
  <c r="AB11" i="41"/>
  <c r="AA12" i="41"/>
  <c r="AB12" i="41"/>
  <c r="AA13" i="41"/>
  <c r="AB13" i="41"/>
  <c r="AA14" i="41"/>
  <c r="AB14" i="41"/>
  <c r="AA15" i="41"/>
  <c r="AB15" i="41"/>
  <c r="AA16" i="41"/>
  <c r="AB16" i="41"/>
  <c r="AA17" i="41"/>
  <c r="AB17" i="41"/>
  <c r="AA18" i="41"/>
  <c r="AB18" i="41"/>
  <c r="AA19" i="41"/>
  <c r="AB19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AA20" i="41"/>
  <c r="AB20" i="41"/>
  <c r="AA21" i="41"/>
  <c r="AB21" i="41"/>
  <c r="AA22" i="41"/>
  <c r="AB22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AA23" i="41"/>
  <c r="AB23" i="41"/>
  <c r="AA24" i="41"/>
  <c r="AB24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AA25" i="41"/>
  <c r="AB25" i="41"/>
  <c r="AA26" i="41"/>
  <c r="AB26" i="41"/>
  <c r="AA27" i="41"/>
  <c r="AB27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AA28" i="41"/>
  <c r="AB28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AA29" i="41"/>
  <c r="AB29" i="41"/>
  <c r="AA30" i="41"/>
  <c r="AB30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AA31" i="41"/>
  <c r="AB31" i="41"/>
  <c r="AA32" i="41"/>
  <c r="AB32" i="41"/>
  <c r="AA33" i="41"/>
  <c r="AB33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AA34" i="41"/>
  <c r="AB34" i="41"/>
  <c r="AA35" i="41"/>
  <c r="AB35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AA36" i="41"/>
  <c r="AB36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AA37" i="41"/>
  <c r="AB37" i="41"/>
  <c r="AA38" i="41"/>
  <c r="AB38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AA39" i="41"/>
  <c r="AB39" i="41"/>
  <c r="AA40" i="41"/>
  <c r="AB40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AA41" i="41"/>
  <c r="AB41" i="41"/>
  <c r="AA42" i="41"/>
  <c r="AB42" i="41"/>
  <c r="AA43" i="41"/>
  <c r="AB43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R44" i="41"/>
  <c r="S44" i="41"/>
  <c r="T44" i="41"/>
  <c r="U44" i="41"/>
  <c r="V44" i="41"/>
  <c r="W44" i="41"/>
  <c r="X44" i="41"/>
  <c r="Y44" i="41"/>
  <c r="AA44" i="41"/>
  <c r="AB44" i="41"/>
  <c r="AA45" i="41"/>
  <c r="AB45" i="41"/>
  <c r="E46" i="41"/>
  <c r="AA46" i="41"/>
  <c r="AB46" i="41"/>
  <c r="AA47" i="41"/>
  <c r="AB47" i="41"/>
  <c r="AA48" i="41"/>
  <c r="AB48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AA49" i="41"/>
  <c r="AB49" i="41"/>
  <c r="AA50" i="41"/>
  <c r="AB50" i="41"/>
  <c r="E51" i="41"/>
  <c r="F51" i="41"/>
  <c r="G51" i="41"/>
  <c r="H51" i="41"/>
  <c r="I51" i="41"/>
  <c r="J51" i="41"/>
  <c r="K51" i="41"/>
  <c r="L51" i="41"/>
  <c r="M51" i="41"/>
  <c r="N51" i="41"/>
  <c r="O51" i="41"/>
  <c r="P51" i="41"/>
  <c r="Q51" i="41"/>
  <c r="R51" i="41"/>
  <c r="S51" i="41"/>
  <c r="T51" i="41"/>
  <c r="U51" i="41"/>
  <c r="V51" i="41"/>
  <c r="W51" i="41"/>
  <c r="X51" i="41"/>
  <c r="Y51" i="41"/>
  <c r="AA51" i="41"/>
  <c r="AB51" i="41"/>
  <c r="E52" i="41"/>
  <c r="F52" i="41"/>
  <c r="G52" i="41"/>
  <c r="H52" i="41"/>
  <c r="I52" i="41"/>
  <c r="J52" i="41"/>
  <c r="K52" i="41"/>
  <c r="L52" i="41"/>
  <c r="M52" i="41"/>
  <c r="N52" i="41"/>
  <c r="O52" i="41"/>
  <c r="P52" i="41"/>
  <c r="Q52" i="41"/>
  <c r="R52" i="41"/>
  <c r="S52" i="41"/>
  <c r="T52" i="41"/>
  <c r="U52" i="41"/>
  <c r="V52" i="41"/>
  <c r="W52" i="41"/>
  <c r="X52" i="41"/>
  <c r="Y52" i="41"/>
  <c r="AA52" i="41"/>
  <c r="AB52" i="41"/>
  <c r="AA53" i="41"/>
  <c r="AB53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U54" i="41"/>
  <c r="V54" i="41"/>
  <c r="W54" i="41"/>
  <c r="X54" i="41"/>
  <c r="Y54" i="41"/>
  <c r="AA54" i="41"/>
  <c r="AB54" i="41"/>
  <c r="AA55" i="41"/>
  <c r="AB55" i="41"/>
  <c r="AA56" i="41"/>
  <c r="AB56" i="41"/>
  <c r="E57" i="41"/>
  <c r="AA57" i="41"/>
  <c r="AB57" i="41"/>
  <c r="AA58" i="41"/>
  <c r="AB58" i="41"/>
  <c r="AA59" i="41"/>
  <c r="AB59" i="41"/>
  <c r="AA60" i="41"/>
  <c r="AB60" i="41"/>
  <c r="AA61" i="41"/>
  <c r="AB61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R62" i="41"/>
  <c r="S62" i="41"/>
  <c r="T62" i="41"/>
  <c r="U62" i="41"/>
  <c r="V62" i="41"/>
  <c r="W62" i="41"/>
  <c r="X62" i="41"/>
  <c r="Y62" i="41"/>
  <c r="AA62" i="41"/>
  <c r="AB62" i="41"/>
  <c r="AA63" i="41"/>
  <c r="AB63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R64" i="41"/>
  <c r="S64" i="41"/>
  <c r="T64" i="41"/>
  <c r="U64" i="41"/>
  <c r="V64" i="41"/>
  <c r="W64" i="41"/>
  <c r="X64" i="41"/>
  <c r="Y64" i="41"/>
  <c r="AA64" i="41"/>
  <c r="AB64" i="41"/>
  <c r="AA65" i="41"/>
  <c r="AB65" i="41"/>
  <c r="E66" i="41"/>
  <c r="AA66" i="41"/>
  <c r="AB66" i="41"/>
  <c r="AA67" i="41"/>
  <c r="AB67" i="41"/>
  <c r="AA68" i="41"/>
  <c r="AB68" i="41"/>
  <c r="E69" i="41"/>
  <c r="F69" i="41"/>
  <c r="G69" i="41"/>
  <c r="H69" i="41"/>
  <c r="I69" i="41"/>
  <c r="J69" i="41"/>
  <c r="K69" i="41"/>
  <c r="L69" i="41"/>
  <c r="M69" i="41"/>
  <c r="N69" i="41"/>
  <c r="O69" i="41"/>
  <c r="P69" i="41"/>
  <c r="Q69" i="41"/>
  <c r="R69" i="41"/>
  <c r="S69" i="41"/>
  <c r="T69" i="41"/>
  <c r="U69" i="41"/>
  <c r="V69" i="41"/>
  <c r="W69" i="41"/>
  <c r="X69" i="41"/>
  <c r="Y69" i="41"/>
  <c r="AA69" i="41"/>
  <c r="AB69" i="41"/>
  <c r="AA70" i="41"/>
  <c r="AB70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AA71" i="41"/>
  <c r="AB71" i="41"/>
  <c r="AA72" i="41"/>
  <c r="AB72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AA73" i="41"/>
  <c r="AB73" i="41"/>
  <c r="AA74" i="41"/>
  <c r="AB74" i="41"/>
  <c r="AA75" i="41"/>
  <c r="AB75" i="41"/>
  <c r="C76" i="41"/>
  <c r="E76" i="41"/>
  <c r="F76" i="41"/>
  <c r="G76" i="41"/>
  <c r="H76" i="41"/>
  <c r="I76" i="41"/>
  <c r="J76" i="41"/>
  <c r="K76" i="41"/>
  <c r="L76" i="41"/>
  <c r="M76" i="41"/>
  <c r="N76" i="41"/>
  <c r="O76" i="41"/>
  <c r="P76" i="41"/>
  <c r="Q76" i="41"/>
  <c r="R76" i="41"/>
  <c r="S76" i="41"/>
  <c r="T76" i="41"/>
  <c r="U76" i="41"/>
  <c r="V76" i="41"/>
  <c r="W76" i="41"/>
  <c r="X76" i="41"/>
  <c r="Y76" i="41"/>
  <c r="AA76" i="41"/>
  <c r="AB76" i="41"/>
  <c r="C77" i="41"/>
  <c r="E77" i="41"/>
  <c r="F77" i="41"/>
  <c r="G77" i="41"/>
  <c r="H77" i="41"/>
  <c r="I77" i="41"/>
  <c r="J77" i="41"/>
  <c r="K77" i="41"/>
  <c r="L77" i="41"/>
  <c r="M77" i="41"/>
  <c r="N77" i="41"/>
  <c r="O77" i="41"/>
  <c r="P77" i="41"/>
  <c r="Q77" i="41"/>
  <c r="R77" i="41"/>
  <c r="S77" i="41"/>
  <c r="T77" i="41"/>
  <c r="U77" i="41"/>
  <c r="V77" i="41"/>
  <c r="W77" i="41"/>
  <c r="X77" i="41"/>
  <c r="Y77" i="41"/>
  <c r="AA77" i="41"/>
  <c r="AB77" i="41"/>
  <c r="AA78" i="41"/>
  <c r="AB78" i="41"/>
  <c r="AA79" i="41"/>
  <c r="AB79" i="41"/>
  <c r="AA80" i="41"/>
  <c r="AB80" i="41"/>
  <c r="AA81" i="41"/>
  <c r="AB81" i="41"/>
  <c r="AA82" i="41"/>
  <c r="AB82" i="41"/>
  <c r="AA83" i="41"/>
  <c r="AB83" i="41"/>
  <c r="AA84" i="41"/>
  <c r="AB84" i="41"/>
  <c r="AA85" i="41"/>
  <c r="AB85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AA86" i="41"/>
  <c r="AB86" i="41"/>
  <c r="AA87" i="41"/>
  <c r="AB87" i="41"/>
  <c r="F88" i="41"/>
  <c r="G88" i="41"/>
  <c r="H88" i="41"/>
  <c r="I88" i="41"/>
  <c r="J88" i="41"/>
  <c r="K88" i="41"/>
  <c r="L88" i="41"/>
  <c r="M88" i="41"/>
  <c r="N88" i="41"/>
  <c r="O88" i="41"/>
  <c r="P88" i="41"/>
  <c r="Q88" i="41"/>
  <c r="R88" i="41"/>
  <c r="S88" i="41"/>
  <c r="T88" i="41"/>
  <c r="U88" i="41"/>
  <c r="V88" i="41"/>
  <c r="W88" i="41"/>
  <c r="X88" i="41"/>
  <c r="Y88" i="41"/>
  <c r="AA88" i="41"/>
  <c r="AB88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S89" i="41"/>
  <c r="T89" i="41"/>
  <c r="U89" i="41"/>
  <c r="V89" i="41"/>
  <c r="W89" i="41"/>
  <c r="X89" i="41"/>
  <c r="Y89" i="41"/>
  <c r="AA89" i="41"/>
  <c r="AB89" i="41"/>
  <c r="F90" i="41"/>
  <c r="G90" i="41"/>
  <c r="H90" i="41"/>
  <c r="I90" i="41"/>
  <c r="J90" i="41"/>
  <c r="K90" i="41"/>
  <c r="L90" i="41"/>
  <c r="M90" i="41"/>
  <c r="N90" i="41"/>
  <c r="O90" i="41"/>
  <c r="P90" i="41"/>
  <c r="Q90" i="41"/>
  <c r="R90" i="41"/>
  <c r="S90" i="41"/>
  <c r="T90" i="41"/>
  <c r="U90" i="41"/>
  <c r="V90" i="41"/>
  <c r="W90" i="41"/>
  <c r="X90" i="41"/>
  <c r="Y90" i="41"/>
  <c r="AA90" i="41"/>
  <c r="AB90" i="41"/>
  <c r="S91" i="41"/>
  <c r="AA91" i="41"/>
  <c r="AB91" i="41"/>
  <c r="F92" i="41"/>
  <c r="G92" i="41"/>
  <c r="H92" i="41"/>
  <c r="I92" i="41"/>
  <c r="J92" i="41"/>
  <c r="K92" i="41"/>
  <c r="L92" i="41"/>
  <c r="M92" i="41"/>
  <c r="N92" i="41"/>
  <c r="O92" i="41"/>
  <c r="P92" i="41"/>
  <c r="Q92" i="41"/>
  <c r="R92" i="41"/>
  <c r="S92" i="41"/>
  <c r="T92" i="41"/>
  <c r="U92" i="41"/>
  <c r="V92" i="41"/>
  <c r="W92" i="41"/>
  <c r="X92" i="41"/>
  <c r="Y92" i="41"/>
  <c r="AA92" i="41"/>
  <c r="AB92" i="41"/>
  <c r="AA93" i="41"/>
  <c r="AB93" i="41"/>
  <c r="AA94" i="41"/>
  <c r="AB94" i="41"/>
  <c r="E95" i="41"/>
  <c r="Y95" i="41"/>
  <c r="AA95" i="41"/>
  <c r="AB95" i="41"/>
  <c r="AA96" i="41"/>
  <c r="AB96" i="41"/>
  <c r="Y97" i="41"/>
  <c r="AA97" i="41"/>
  <c r="AB97" i="41"/>
  <c r="AA98" i="41"/>
  <c r="AB98" i="41"/>
  <c r="Y99" i="41"/>
  <c r="AA99" i="41"/>
  <c r="AB99" i="41"/>
  <c r="AA100" i="41"/>
  <c r="AB100" i="41"/>
  <c r="AA101" i="41"/>
  <c r="AB101" i="41"/>
  <c r="D102" i="41"/>
  <c r="AA102" i="41"/>
  <c r="AB102" i="41"/>
  <c r="D103" i="41"/>
  <c r="AA103" i="41"/>
  <c r="AB103" i="41"/>
  <c r="AA104" i="41"/>
  <c r="AB104" i="41"/>
  <c r="D105" i="41"/>
  <c r="AA105" i="41"/>
  <c r="AB105" i="41"/>
  <c r="AA106" i="41"/>
  <c r="AB106" i="41"/>
  <c r="F107" i="41"/>
  <c r="G107" i="41"/>
  <c r="H107" i="41"/>
  <c r="I107" i="41"/>
  <c r="J107" i="41"/>
  <c r="K107" i="41"/>
  <c r="L107" i="41"/>
  <c r="M107" i="41"/>
  <c r="N107" i="41"/>
  <c r="O107" i="41"/>
  <c r="P107" i="41"/>
  <c r="Q107" i="41"/>
  <c r="R107" i="41"/>
  <c r="S107" i="41"/>
  <c r="T107" i="41"/>
  <c r="U107" i="41"/>
  <c r="V107" i="41"/>
  <c r="W107" i="41"/>
  <c r="X107" i="41"/>
  <c r="Y107" i="41"/>
  <c r="AA107" i="41"/>
  <c r="AB107" i="41"/>
  <c r="AA108" i="41"/>
  <c r="AB108" i="41"/>
  <c r="D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AA109" i="41"/>
  <c r="AB109" i="41"/>
  <c r="D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AA110" i="41"/>
  <c r="AB110" i="41"/>
  <c r="AA111" i="41"/>
  <c r="AB111" i="41"/>
  <c r="AA112" i="41"/>
  <c r="AB112" i="41"/>
  <c r="D113" i="41"/>
  <c r="AA113" i="41"/>
  <c r="AB113" i="41"/>
  <c r="AA114" i="41"/>
  <c r="AB114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S115" i="41"/>
  <c r="AA115" i="41"/>
  <c r="AB115" i="41"/>
  <c r="D116" i="41"/>
  <c r="F116" i="41"/>
  <c r="G116" i="41"/>
  <c r="H116" i="41"/>
  <c r="I116" i="41"/>
  <c r="J116" i="41"/>
  <c r="K116" i="41"/>
  <c r="L116" i="41"/>
  <c r="M116" i="41"/>
  <c r="N116" i="41"/>
  <c r="O116" i="41"/>
  <c r="P116" i="41"/>
  <c r="Q116" i="41"/>
  <c r="R116" i="41"/>
  <c r="S116" i="41"/>
  <c r="AA116" i="41"/>
  <c r="AB116" i="41"/>
  <c r="AA117" i="41"/>
  <c r="AB117" i="41"/>
  <c r="AA118" i="41"/>
  <c r="AB118" i="41"/>
  <c r="F119" i="41"/>
  <c r="G119" i="41"/>
  <c r="H119" i="41"/>
  <c r="I119" i="41"/>
  <c r="J119" i="41"/>
  <c r="K119" i="41"/>
  <c r="L119" i="41"/>
  <c r="M119" i="41"/>
  <c r="N119" i="41"/>
  <c r="O119" i="41"/>
  <c r="P119" i="41"/>
  <c r="Q119" i="41"/>
  <c r="R119" i="41"/>
  <c r="S119" i="41"/>
  <c r="T119" i="41"/>
  <c r="U119" i="41"/>
  <c r="V119" i="41"/>
  <c r="W119" i="41"/>
  <c r="X119" i="41"/>
  <c r="Y119" i="41"/>
  <c r="AA119" i="41"/>
  <c r="AB119" i="41"/>
  <c r="AA120" i="41"/>
  <c r="AB120" i="41"/>
  <c r="A121" i="41"/>
  <c r="F121" i="41"/>
  <c r="G121" i="41"/>
  <c r="H121" i="41"/>
  <c r="I121" i="41"/>
  <c r="J121" i="41"/>
  <c r="K121" i="41"/>
  <c r="L121" i="41"/>
  <c r="M121" i="41"/>
  <c r="N121" i="41"/>
  <c r="O121" i="41"/>
  <c r="P121" i="41"/>
  <c r="Q121" i="41"/>
  <c r="R121" i="41"/>
  <c r="S121" i="41"/>
  <c r="T121" i="41"/>
  <c r="U121" i="41"/>
  <c r="V121" i="41"/>
  <c r="W121" i="41"/>
  <c r="X121" i="41"/>
  <c r="Y121" i="41"/>
  <c r="AA121" i="41"/>
  <c r="AB121" i="41"/>
  <c r="F122" i="41"/>
  <c r="G122" i="41"/>
  <c r="H122" i="41"/>
  <c r="I122" i="41"/>
  <c r="J122" i="41"/>
  <c r="K122" i="41"/>
  <c r="L122" i="41"/>
  <c r="M122" i="41"/>
  <c r="N122" i="41"/>
  <c r="O122" i="41"/>
  <c r="P122" i="41"/>
  <c r="Q122" i="41"/>
  <c r="R122" i="41"/>
  <c r="S122" i="41"/>
  <c r="T122" i="41"/>
  <c r="U122" i="41"/>
  <c r="V122" i="41"/>
  <c r="W122" i="41"/>
  <c r="X122" i="41"/>
  <c r="Y122" i="41"/>
  <c r="AA122" i="41"/>
  <c r="AB122" i="41"/>
  <c r="F123" i="41"/>
  <c r="G123" i="41"/>
  <c r="H123" i="41"/>
  <c r="I123" i="41"/>
  <c r="J123" i="41"/>
  <c r="K123" i="41"/>
  <c r="L123" i="41"/>
  <c r="M123" i="41"/>
  <c r="N123" i="41"/>
  <c r="O123" i="41"/>
  <c r="P123" i="41"/>
  <c r="Q123" i="41"/>
  <c r="R123" i="41"/>
  <c r="S123" i="41"/>
  <c r="T123" i="41"/>
  <c r="U123" i="41"/>
  <c r="V123" i="41"/>
  <c r="W123" i="41"/>
  <c r="X123" i="41"/>
  <c r="Y123" i="41"/>
  <c r="AA123" i="41"/>
  <c r="AB123" i="41"/>
  <c r="F124" i="41"/>
  <c r="G124" i="41"/>
  <c r="H124" i="41"/>
  <c r="I124" i="41"/>
  <c r="J124" i="41"/>
  <c r="K124" i="41"/>
  <c r="L124" i="41"/>
  <c r="M124" i="41"/>
  <c r="N124" i="41"/>
  <c r="O124" i="41"/>
  <c r="P124" i="41"/>
  <c r="Q124" i="41"/>
  <c r="R124" i="41"/>
  <c r="S124" i="41"/>
  <c r="T124" i="41"/>
  <c r="U124" i="41"/>
  <c r="V124" i="41"/>
  <c r="W124" i="41"/>
  <c r="X124" i="41"/>
  <c r="Y124" i="41"/>
  <c r="AA124" i="41"/>
  <c r="AB124" i="41"/>
  <c r="AA125" i="41"/>
  <c r="AB125" i="41"/>
  <c r="C126" i="41"/>
  <c r="F126" i="41"/>
  <c r="G126" i="41"/>
  <c r="H126" i="41"/>
  <c r="I126" i="41"/>
  <c r="J126" i="41"/>
  <c r="K126" i="41"/>
  <c r="L126" i="41"/>
  <c r="M126" i="41"/>
  <c r="N126" i="41"/>
  <c r="O126" i="41"/>
  <c r="P126" i="41"/>
  <c r="Q126" i="41"/>
  <c r="R126" i="41"/>
  <c r="S126" i="41"/>
  <c r="T126" i="41"/>
  <c r="U126" i="41"/>
  <c r="V126" i="41"/>
  <c r="W126" i="41"/>
  <c r="X126" i="41"/>
  <c r="Y126" i="41"/>
  <c r="AA126" i="41"/>
  <c r="AB126" i="41"/>
  <c r="C127" i="41"/>
  <c r="F127" i="41"/>
  <c r="G127" i="41"/>
  <c r="H127" i="41"/>
  <c r="I127" i="41"/>
  <c r="J127" i="41"/>
  <c r="K127" i="41"/>
  <c r="L127" i="41"/>
  <c r="M127" i="41"/>
  <c r="N127" i="41"/>
  <c r="O127" i="41"/>
  <c r="P127" i="41"/>
  <c r="Q127" i="41"/>
  <c r="R127" i="41"/>
  <c r="S127" i="41"/>
  <c r="T127" i="41"/>
  <c r="U127" i="41"/>
  <c r="V127" i="41"/>
  <c r="W127" i="41"/>
  <c r="X127" i="41"/>
  <c r="Y127" i="41"/>
  <c r="AA127" i="41"/>
  <c r="AB127" i="41"/>
  <c r="AA128" i="41"/>
  <c r="AB128" i="41"/>
  <c r="AA129" i="41"/>
  <c r="AB129" i="41"/>
  <c r="AA130" i="41"/>
  <c r="AB130" i="41"/>
  <c r="AA131" i="41"/>
  <c r="AB131" i="41"/>
  <c r="AA132" i="41"/>
  <c r="AB132" i="41"/>
  <c r="AA133" i="41"/>
  <c r="AB133" i="41"/>
  <c r="AA134" i="41"/>
  <c r="AB134" i="41"/>
  <c r="F135" i="41"/>
  <c r="G135" i="41"/>
  <c r="H135" i="41"/>
  <c r="I135" i="41"/>
  <c r="J135" i="41"/>
  <c r="K135" i="41"/>
  <c r="L135" i="41"/>
  <c r="M135" i="41"/>
  <c r="N135" i="41"/>
  <c r="O135" i="41"/>
  <c r="P135" i="41"/>
  <c r="Q135" i="41"/>
  <c r="R135" i="41"/>
  <c r="S135" i="41"/>
  <c r="T135" i="41"/>
  <c r="U135" i="41"/>
  <c r="V135" i="41"/>
  <c r="W135" i="41"/>
  <c r="X135" i="41"/>
  <c r="Y135" i="41"/>
  <c r="AA135" i="41"/>
  <c r="AB135" i="41"/>
  <c r="AA136" i="41"/>
  <c r="AB136" i="41"/>
  <c r="F137" i="41"/>
  <c r="G137" i="41"/>
  <c r="H137" i="41"/>
  <c r="I137" i="41"/>
  <c r="J137" i="41"/>
  <c r="K137" i="41"/>
  <c r="L137" i="41"/>
  <c r="M137" i="41"/>
  <c r="N137" i="41"/>
  <c r="O137" i="41"/>
  <c r="P137" i="41"/>
  <c r="Q137" i="41"/>
  <c r="R137" i="41"/>
  <c r="S137" i="41"/>
  <c r="T137" i="41"/>
  <c r="U137" i="41"/>
  <c r="V137" i="41"/>
  <c r="W137" i="41"/>
  <c r="X137" i="41"/>
  <c r="Y137" i="41"/>
  <c r="AA137" i="41"/>
  <c r="AB137" i="41"/>
  <c r="F138" i="41"/>
  <c r="G138" i="41"/>
  <c r="H138" i="41"/>
  <c r="I138" i="41"/>
  <c r="J138" i="41"/>
  <c r="K138" i="41"/>
  <c r="L138" i="41"/>
  <c r="M138" i="41"/>
  <c r="N138" i="41"/>
  <c r="O138" i="41"/>
  <c r="P138" i="41"/>
  <c r="Q138" i="41"/>
  <c r="R138" i="41"/>
  <c r="S138" i="41"/>
  <c r="T138" i="41"/>
  <c r="U138" i="41"/>
  <c r="V138" i="41"/>
  <c r="W138" i="41"/>
  <c r="X138" i="41"/>
  <c r="Y138" i="41"/>
  <c r="AA138" i="41"/>
  <c r="AB138" i="41"/>
  <c r="F139" i="41"/>
  <c r="G139" i="41"/>
  <c r="H139" i="41"/>
  <c r="I139" i="41"/>
  <c r="J139" i="41"/>
  <c r="K139" i="41"/>
  <c r="L139" i="41"/>
  <c r="M139" i="41"/>
  <c r="N139" i="41"/>
  <c r="O139" i="41"/>
  <c r="P139" i="41"/>
  <c r="Q139" i="41"/>
  <c r="R139" i="41"/>
  <c r="S139" i="41"/>
  <c r="T139" i="41"/>
  <c r="U139" i="41"/>
  <c r="V139" i="41"/>
  <c r="W139" i="41"/>
  <c r="X139" i="41"/>
  <c r="Y139" i="41"/>
  <c r="AA139" i="41"/>
  <c r="AB139" i="41"/>
  <c r="C140" i="41"/>
  <c r="F140" i="41"/>
  <c r="G140" i="41"/>
  <c r="H140" i="41"/>
  <c r="I140" i="41"/>
  <c r="J140" i="41"/>
  <c r="K140" i="41"/>
  <c r="L140" i="41"/>
  <c r="M140" i="41"/>
  <c r="N140" i="41"/>
  <c r="O140" i="41"/>
  <c r="P140" i="41"/>
  <c r="Q140" i="41"/>
  <c r="R140" i="41"/>
  <c r="S140" i="41"/>
  <c r="T140" i="41"/>
  <c r="U140" i="41"/>
  <c r="V140" i="41"/>
  <c r="W140" i="41"/>
  <c r="X140" i="41"/>
  <c r="Y140" i="41"/>
  <c r="AA140" i="41"/>
  <c r="AB140" i="41"/>
  <c r="C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AA141" i="41"/>
  <c r="AB141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AA142" i="41"/>
  <c r="AB142" i="41"/>
  <c r="AA143" i="41"/>
  <c r="AB143" i="41"/>
  <c r="A144" i="41"/>
  <c r="F144" i="41"/>
  <c r="G144" i="41"/>
  <c r="H144" i="41"/>
  <c r="I144" i="41"/>
  <c r="J144" i="41"/>
  <c r="K144" i="41"/>
  <c r="L144" i="41"/>
  <c r="M144" i="41"/>
  <c r="N144" i="41"/>
  <c r="O144" i="41"/>
  <c r="P144" i="41"/>
  <c r="Q144" i="41"/>
  <c r="R144" i="41"/>
  <c r="S144" i="41"/>
  <c r="T144" i="41"/>
  <c r="U144" i="41"/>
  <c r="V144" i="41"/>
  <c r="W144" i="41"/>
  <c r="X144" i="41"/>
  <c r="Y144" i="41"/>
  <c r="AA144" i="41"/>
  <c r="AB144" i="41"/>
  <c r="F145" i="41"/>
  <c r="G145" i="41"/>
  <c r="H145" i="41"/>
  <c r="I145" i="41"/>
  <c r="J145" i="41"/>
  <c r="K145" i="41"/>
  <c r="L145" i="41"/>
  <c r="M145" i="41"/>
  <c r="N145" i="41"/>
  <c r="O145" i="41"/>
  <c r="P145" i="41"/>
  <c r="Q145" i="41"/>
  <c r="R145" i="41"/>
  <c r="S145" i="41"/>
  <c r="T145" i="41"/>
  <c r="U145" i="41"/>
  <c r="V145" i="41"/>
  <c r="W145" i="41"/>
  <c r="X145" i="41"/>
  <c r="Y145" i="41"/>
  <c r="AA145" i="41"/>
  <c r="AB145" i="41"/>
  <c r="AA146" i="41"/>
  <c r="AB146" i="41"/>
  <c r="AA147" i="41"/>
  <c r="AB147" i="41"/>
  <c r="AA148" i="41"/>
  <c r="AB148" i="41"/>
  <c r="AA149" i="41"/>
  <c r="AB149" i="41"/>
  <c r="A150" i="41"/>
  <c r="F150" i="41"/>
  <c r="G150" i="41"/>
  <c r="H150" i="41"/>
  <c r="I150" i="41"/>
  <c r="J150" i="41"/>
  <c r="K150" i="41"/>
  <c r="L150" i="41"/>
  <c r="M150" i="41"/>
  <c r="N150" i="41"/>
  <c r="O150" i="41"/>
  <c r="P150" i="41"/>
  <c r="Q150" i="41"/>
  <c r="R150" i="41"/>
  <c r="S150" i="41"/>
  <c r="T150" i="41"/>
  <c r="U150" i="41"/>
  <c r="V150" i="41"/>
  <c r="W150" i="41"/>
  <c r="X150" i="41"/>
  <c r="Y150" i="41"/>
  <c r="AA150" i="41"/>
  <c r="AB150" i="41"/>
  <c r="AA151" i="41"/>
  <c r="AB151" i="41"/>
  <c r="F152" i="41"/>
  <c r="G152" i="41"/>
  <c r="H152" i="41"/>
  <c r="I152" i="41"/>
  <c r="J152" i="41"/>
  <c r="K152" i="41"/>
  <c r="L152" i="41"/>
  <c r="M152" i="41"/>
  <c r="N152" i="41"/>
  <c r="O152" i="41"/>
  <c r="P152" i="41"/>
  <c r="Q152" i="41"/>
  <c r="R152" i="41"/>
  <c r="S152" i="41"/>
  <c r="T152" i="41"/>
  <c r="U152" i="41"/>
  <c r="V152" i="41"/>
  <c r="W152" i="41"/>
  <c r="X152" i="41"/>
  <c r="Y152" i="41"/>
  <c r="AA152" i="41"/>
  <c r="C155" i="41"/>
  <c r="D160" i="41"/>
  <c r="D162" i="41"/>
  <c r="D163" i="41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AA10" i="44"/>
  <c r="AB10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AA11" i="44"/>
  <c r="AB11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AA12" i="44"/>
  <c r="AB12" i="44"/>
  <c r="AA13" i="44"/>
  <c r="AB13" i="44"/>
  <c r="AA14" i="44"/>
  <c r="AB14" i="44"/>
  <c r="AA15" i="44"/>
  <c r="AB15" i="44"/>
  <c r="AA16" i="44"/>
  <c r="AB16" i="44"/>
  <c r="AA17" i="44"/>
  <c r="AB17" i="44"/>
  <c r="AA18" i="44"/>
  <c r="AB18" i="44"/>
  <c r="AA19" i="44"/>
  <c r="AB19" i="44"/>
  <c r="E20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AA20" i="44"/>
  <c r="AB20" i="44"/>
  <c r="AA21" i="44"/>
  <c r="AB21" i="44"/>
  <c r="AA22" i="44"/>
  <c r="AB22" i="44"/>
  <c r="E23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U23" i="44"/>
  <c r="V23" i="44"/>
  <c r="W23" i="44"/>
  <c r="X23" i="44"/>
  <c r="Y23" i="44"/>
  <c r="AA23" i="44"/>
  <c r="AB23" i="44"/>
  <c r="AA24" i="44"/>
  <c r="AB24" i="44"/>
  <c r="E25" i="44"/>
  <c r="F25" i="44"/>
  <c r="G25" i="44"/>
  <c r="H25" i="44"/>
  <c r="I25" i="44"/>
  <c r="J25" i="44"/>
  <c r="K25" i="44"/>
  <c r="L25" i="44"/>
  <c r="M25" i="44"/>
  <c r="N25" i="44"/>
  <c r="O25" i="44"/>
  <c r="P25" i="44"/>
  <c r="Q25" i="44"/>
  <c r="R25" i="44"/>
  <c r="S25" i="44"/>
  <c r="T25" i="44"/>
  <c r="U25" i="44"/>
  <c r="V25" i="44"/>
  <c r="W25" i="44"/>
  <c r="X25" i="44"/>
  <c r="Y25" i="44"/>
  <c r="AA25" i="44"/>
  <c r="AB25" i="44"/>
  <c r="AA26" i="44"/>
  <c r="AB26" i="44"/>
  <c r="AA27" i="44"/>
  <c r="AB27" i="44"/>
  <c r="AA28" i="44"/>
  <c r="AB28" i="44"/>
  <c r="AA29" i="44"/>
  <c r="AB29" i="44"/>
  <c r="AA30" i="44"/>
  <c r="AB30" i="44"/>
  <c r="AA31" i="44"/>
  <c r="AB31" i="44"/>
  <c r="AA32" i="44"/>
  <c r="AB32" i="44"/>
  <c r="AA33" i="44"/>
  <c r="AB33" i="44"/>
  <c r="AA34" i="44"/>
  <c r="AB34" i="44"/>
  <c r="AA35" i="44"/>
  <c r="AB35" i="44"/>
  <c r="E36" i="44"/>
  <c r="F36" i="44"/>
  <c r="G36" i="44"/>
  <c r="H36" i="44"/>
  <c r="I36" i="44"/>
  <c r="J36" i="44"/>
  <c r="K36" i="44"/>
  <c r="L36" i="44"/>
  <c r="M36" i="44"/>
  <c r="N36" i="44"/>
  <c r="O36" i="44"/>
  <c r="P36" i="44"/>
  <c r="Q36" i="44"/>
  <c r="R36" i="44"/>
  <c r="S36" i="44"/>
  <c r="T36" i="44"/>
  <c r="U36" i="44"/>
  <c r="V36" i="44"/>
  <c r="W36" i="44"/>
  <c r="X36" i="44"/>
  <c r="Y36" i="44"/>
  <c r="AA36" i="44"/>
  <c r="AB36" i="44"/>
  <c r="E37" i="44"/>
  <c r="F37" i="44"/>
  <c r="G37" i="44"/>
  <c r="H37" i="44"/>
  <c r="I37" i="44"/>
  <c r="J37" i="44"/>
  <c r="K37" i="44"/>
  <c r="L37" i="44"/>
  <c r="M37" i="44"/>
  <c r="N37" i="44"/>
  <c r="O37" i="44"/>
  <c r="P37" i="44"/>
  <c r="Q37" i="44"/>
  <c r="R37" i="44"/>
  <c r="S37" i="44"/>
  <c r="T37" i="44"/>
  <c r="U37" i="44"/>
  <c r="V37" i="44"/>
  <c r="W37" i="44"/>
  <c r="X37" i="44"/>
  <c r="Y37" i="44"/>
  <c r="AA37" i="44"/>
  <c r="AB37" i="44"/>
  <c r="AA38" i="44"/>
  <c r="AB38" i="44"/>
  <c r="E39" i="44"/>
  <c r="F39" i="44"/>
  <c r="G39" i="44"/>
  <c r="H39" i="44"/>
  <c r="I39" i="44"/>
  <c r="J39" i="44"/>
  <c r="K39" i="44"/>
  <c r="L39" i="44"/>
  <c r="M39" i="44"/>
  <c r="N39" i="44"/>
  <c r="O39" i="44"/>
  <c r="P39" i="44"/>
  <c r="Q39" i="44"/>
  <c r="R39" i="44"/>
  <c r="S39" i="44"/>
  <c r="T39" i="44"/>
  <c r="U39" i="44"/>
  <c r="V39" i="44"/>
  <c r="W39" i="44"/>
  <c r="X39" i="44"/>
  <c r="Y39" i="44"/>
  <c r="AA39" i="44"/>
  <c r="AB39" i="44"/>
  <c r="AA40" i="44"/>
  <c r="AB40" i="44"/>
  <c r="F41" i="44"/>
  <c r="G41" i="44"/>
  <c r="H41" i="44"/>
  <c r="I41" i="44"/>
  <c r="J41" i="44"/>
  <c r="K41" i="44"/>
  <c r="L41" i="44"/>
  <c r="M41" i="44"/>
  <c r="N41" i="44"/>
  <c r="O41" i="44"/>
  <c r="P41" i="44"/>
  <c r="Q41" i="44"/>
  <c r="R41" i="44"/>
  <c r="S41" i="44"/>
  <c r="T41" i="44"/>
  <c r="U41" i="44"/>
  <c r="V41" i="44"/>
  <c r="W41" i="44"/>
  <c r="X41" i="44"/>
  <c r="Y41" i="44"/>
  <c r="AA41" i="44"/>
  <c r="AB41" i="44"/>
  <c r="AA42" i="44"/>
  <c r="AB42" i="44"/>
  <c r="AA43" i="44"/>
  <c r="AB43" i="44"/>
  <c r="E44" i="44"/>
  <c r="F44" i="44"/>
  <c r="G44" i="44"/>
  <c r="H44" i="44"/>
  <c r="I44" i="44"/>
  <c r="J44" i="44"/>
  <c r="K44" i="44"/>
  <c r="L44" i="44"/>
  <c r="M44" i="44"/>
  <c r="N44" i="44"/>
  <c r="O44" i="44"/>
  <c r="P44" i="44"/>
  <c r="Q44" i="44"/>
  <c r="R44" i="44"/>
  <c r="S44" i="44"/>
  <c r="T44" i="44"/>
  <c r="U44" i="44"/>
  <c r="V44" i="44"/>
  <c r="W44" i="44"/>
  <c r="X44" i="44"/>
  <c r="Y44" i="44"/>
  <c r="AA44" i="44"/>
  <c r="AB44" i="44"/>
  <c r="AA45" i="44"/>
  <c r="AB45" i="44"/>
  <c r="AA46" i="44"/>
  <c r="AB46" i="44"/>
  <c r="AA47" i="44"/>
  <c r="AB47" i="44"/>
  <c r="AA48" i="44"/>
  <c r="AB48" i="44"/>
  <c r="E49" i="44"/>
  <c r="F49" i="44"/>
  <c r="G49" i="44"/>
  <c r="H49" i="44"/>
  <c r="I49" i="44"/>
  <c r="J49" i="44"/>
  <c r="K49" i="44"/>
  <c r="L49" i="44"/>
  <c r="M49" i="44"/>
  <c r="N49" i="44"/>
  <c r="O49" i="44"/>
  <c r="P49" i="44"/>
  <c r="Q49" i="44"/>
  <c r="R49" i="44"/>
  <c r="S49" i="44"/>
  <c r="T49" i="44"/>
  <c r="U49" i="44"/>
  <c r="V49" i="44"/>
  <c r="W49" i="44"/>
  <c r="X49" i="44"/>
  <c r="Y49" i="44"/>
  <c r="AA49" i="44"/>
  <c r="AB49" i="44"/>
  <c r="AA50" i="44"/>
  <c r="AB50" i="44"/>
  <c r="E51" i="44"/>
  <c r="F51" i="44"/>
  <c r="G51" i="44"/>
  <c r="H51" i="44"/>
  <c r="I51" i="44"/>
  <c r="J51" i="44"/>
  <c r="K51" i="44"/>
  <c r="L51" i="44"/>
  <c r="M51" i="44"/>
  <c r="N51" i="44"/>
  <c r="O51" i="44"/>
  <c r="P51" i="44"/>
  <c r="Q51" i="44"/>
  <c r="R51" i="44"/>
  <c r="S51" i="44"/>
  <c r="T51" i="44"/>
  <c r="U51" i="44"/>
  <c r="V51" i="44"/>
  <c r="W51" i="44"/>
  <c r="X51" i="44"/>
  <c r="Y51" i="44"/>
  <c r="AA51" i="44"/>
  <c r="AB51" i="44"/>
  <c r="E52" i="44"/>
  <c r="F52" i="44"/>
  <c r="G52" i="44"/>
  <c r="H52" i="44"/>
  <c r="I52" i="44"/>
  <c r="J52" i="44"/>
  <c r="K52" i="44"/>
  <c r="L52" i="44"/>
  <c r="M52" i="44"/>
  <c r="N52" i="44"/>
  <c r="O52" i="44"/>
  <c r="P52" i="44"/>
  <c r="Q52" i="44"/>
  <c r="R52" i="44"/>
  <c r="S52" i="44"/>
  <c r="T52" i="44"/>
  <c r="U52" i="44"/>
  <c r="V52" i="44"/>
  <c r="W52" i="44"/>
  <c r="X52" i="44"/>
  <c r="Y52" i="44"/>
  <c r="AA52" i="44"/>
  <c r="AB52" i="44"/>
  <c r="AA53" i="44"/>
  <c r="AB53" i="44"/>
  <c r="E54" i="44"/>
  <c r="F54" i="44"/>
  <c r="G54" i="44"/>
  <c r="H54" i="44"/>
  <c r="I54" i="44"/>
  <c r="J54" i="44"/>
  <c r="K54" i="44"/>
  <c r="L54" i="44"/>
  <c r="M54" i="44"/>
  <c r="N54" i="44"/>
  <c r="O54" i="44"/>
  <c r="P54" i="44"/>
  <c r="Q54" i="44"/>
  <c r="R54" i="44"/>
  <c r="S54" i="44"/>
  <c r="T54" i="44"/>
  <c r="U54" i="44"/>
  <c r="V54" i="44"/>
  <c r="W54" i="44"/>
  <c r="X54" i="44"/>
  <c r="Y54" i="44"/>
  <c r="AA54" i="44"/>
  <c r="AB54" i="44"/>
  <c r="AA55" i="44"/>
  <c r="AB55" i="44"/>
  <c r="AA56" i="44"/>
  <c r="AB56" i="44"/>
  <c r="AA57" i="44"/>
  <c r="AB57" i="44"/>
  <c r="AA58" i="44"/>
  <c r="AB58" i="44"/>
  <c r="AA59" i="44"/>
  <c r="AB59" i="44"/>
  <c r="AA60" i="44"/>
  <c r="AB60" i="44"/>
  <c r="AA61" i="44"/>
  <c r="AB61" i="44"/>
  <c r="E62" i="44"/>
  <c r="F62" i="44"/>
  <c r="G62" i="44"/>
  <c r="H62" i="44"/>
  <c r="I62" i="44"/>
  <c r="J62" i="44"/>
  <c r="K62" i="44"/>
  <c r="L62" i="44"/>
  <c r="M62" i="44"/>
  <c r="N62" i="44"/>
  <c r="O62" i="44"/>
  <c r="P62" i="44"/>
  <c r="Q62" i="44"/>
  <c r="R62" i="44"/>
  <c r="S62" i="44"/>
  <c r="T62" i="44"/>
  <c r="U62" i="44"/>
  <c r="V62" i="44"/>
  <c r="W62" i="44"/>
  <c r="X62" i="44"/>
  <c r="Y62" i="44"/>
  <c r="AA62" i="44"/>
  <c r="AB62" i="44"/>
  <c r="AA63" i="44"/>
  <c r="AB63" i="44"/>
  <c r="E64" i="44"/>
  <c r="F64" i="44"/>
  <c r="G64" i="44"/>
  <c r="H64" i="44"/>
  <c r="I64" i="44"/>
  <c r="J64" i="44"/>
  <c r="K64" i="44"/>
  <c r="L64" i="44"/>
  <c r="M64" i="44"/>
  <c r="N64" i="44"/>
  <c r="O64" i="44"/>
  <c r="P64" i="44"/>
  <c r="Q64" i="44"/>
  <c r="R64" i="44"/>
  <c r="S64" i="44"/>
  <c r="T64" i="44"/>
  <c r="U64" i="44"/>
  <c r="V64" i="44"/>
  <c r="W64" i="44"/>
  <c r="X64" i="44"/>
  <c r="Y64" i="44"/>
  <c r="AA64" i="44"/>
  <c r="AB64" i="44"/>
  <c r="AA65" i="44"/>
  <c r="AB65" i="44"/>
  <c r="AA66" i="44"/>
  <c r="AB66" i="44"/>
  <c r="AA67" i="44"/>
  <c r="AB67" i="44"/>
  <c r="AA68" i="44"/>
  <c r="AB68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R69" i="44"/>
  <c r="S69" i="44"/>
  <c r="T69" i="44"/>
  <c r="U69" i="44"/>
  <c r="V69" i="44"/>
  <c r="W69" i="44"/>
  <c r="X69" i="44"/>
  <c r="Y69" i="44"/>
  <c r="AA69" i="44"/>
  <c r="AB69" i="44"/>
  <c r="AA70" i="44"/>
  <c r="AB70" i="44"/>
  <c r="E71" i="44"/>
  <c r="F71" i="44"/>
  <c r="G71" i="44"/>
  <c r="H71" i="44"/>
  <c r="I71" i="44"/>
  <c r="J71" i="44"/>
  <c r="K71" i="44"/>
  <c r="L71" i="44"/>
  <c r="M71" i="44"/>
  <c r="N71" i="44"/>
  <c r="O71" i="44"/>
  <c r="P71" i="44"/>
  <c r="Q71" i="44"/>
  <c r="R71" i="44"/>
  <c r="S71" i="44"/>
  <c r="T71" i="44"/>
  <c r="U71" i="44"/>
  <c r="V71" i="44"/>
  <c r="W71" i="44"/>
  <c r="X71" i="44"/>
  <c r="Y71" i="44"/>
  <c r="AA71" i="44"/>
  <c r="AB71" i="44"/>
  <c r="AA72" i="44"/>
  <c r="AB72" i="44"/>
  <c r="E73" i="44"/>
  <c r="F73" i="44"/>
  <c r="G73" i="44"/>
  <c r="H73" i="44"/>
  <c r="I73" i="44"/>
  <c r="J73" i="44"/>
  <c r="K73" i="44"/>
  <c r="L73" i="44"/>
  <c r="M73" i="44"/>
  <c r="N73" i="44"/>
  <c r="O73" i="44"/>
  <c r="P73" i="44"/>
  <c r="Q73" i="44"/>
  <c r="R73" i="44"/>
  <c r="S73" i="44"/>
  <c r="T73" i="44"/>
  <c r="U73" i="44"/>
  <c r="V73" i="44"/>
  <c r="W73" i="44"/>
  <c r="X73" i="44"/>
  <c r="Y73" i="44"/>
  <c r="AA73" i="44"/>
  <c r="AB73" i="44"/>
  <c r="AA74" i="44"/>
  <c r="AB74" i="44"/>
  <c r="AA75" i="44"/>
  <c r="AB75" i="44"/>
  <c r="C76" i="44"/>
  <c r="E76" i="44"/>
  <c r="F76" i="44"/>
  <c r="G76" i="44"/>
  <c r="H76" i="44"/>
  <c r="I76" i="44"/>
  <c r="J76" i="44"/>
  <c r="K76" i="44"/>
  <c r="L76" i="44"/>
  <c r="M76" i="44"/>
  <c r="N76" i="44"/>
  <c r="O76" i="44"/>
  <c r="P76" i="44"/>
  <c r="Q76" i="44"/>
  <c r="R76" i="44"/>
  <c r="S76" i="44"/>
  <c r="T76" i="44"/>
  <c r="U76" i="44"/>
  <c r="V76" i="44"/>
  <c r="W76" i="44"/>
  <c r="X76" i="44"/>
  <c r="Y76" i="44"/>
  <c r="AA76" i="44"/>
  <c r="AB76" i="44"/>
  <c r="C77" i="44"/>
  <c r="E77" i="44"/>
  <c r="F77" i="44"/>
  <c r="G77" i="44"/>
  <c r="H77" i="44"/>
  <c r="I77" i="44"/>
  <c r="J77" i="44"/>
  <c r="K77" i="44"/>
  <c r="L77" i="44"/>
  <c r="M77" i="44"/>
  <c r="N77" i="44"/>
  <c r="O77" i="44"/>
  <c r="P77" i="44"/>
  <c r="Q77" i="44"/>
  <c r="R77" i="44"/>
  <c r="S77" i="44"/>
  <c r="T77" i="44"/>
  <c r="U77" i="44"/>
  <c r="V77" i="44"/>
  <c r="W77" i="44"/>
  <c r="X77" i="44"/>
  <c r="Y77" i="44"/>
  <c r="AA77" i="44"/>
  <c r="AB77" i="44"/>
  <c r="AA78" i="44"/>
  <c r="AB78" i="44"/>
  <c r="AA79" i="44"/>
  <c r="AB79" i="44"/>
  <c r="AA80" i="44"/>
  <c r="AB80" i="44"/>
  <c r="AA81" i="44"/>
  <c r="AB81" i="44"/>
  <c r="AA82" i="44"/>
  <c r="AB82" i="44"/>
  <c r="AA83" i="44"/>
  <c r="AB83" i="44"/>
  <c r="AA84" i="44"/>
  <c r="AB84" i="44"/>
  <c r="AA85" i="44"/>
  <c r="AB85" i="44"/>
  <c r="E86" i="44"/>
  <c r="F86" i="44"/>
  <c r="G86" i="44"/>
  <c r="H86" i="44"/>
  <c r="I86" i="44"/>
  <c r="J86" i="44"/>
  <c r="K86" i="44"/>
  <c r="L86" i="44"/>
  <c r="M86" i="44"/>
  <c r="N86" i="44"/>
  <c r="O86" i="44"/>
  <c r="P86" i="44"/>
  <c r="Q86" i="44"/>
  <c r="R86" i="44"/>
  <c r="S86" i="44"/>
  <c r="T86" i="44"/>
  <c r="U86" i="44"/>
  <c r="V86" i="44"/>
  <c r="W86" i="44"/>
  <c r="X86" i="44"/>
  <c r="Y86" i="44"/>
  <c r="AA86" i="44"/>
  <c r="AB86" i="44"/>
  <c r="AA87" i="44"/>
  <c r="AB87" i="44"/>
  <c r="F88" i="44"/>
  <c r="G88" i="44"/>
  <c r="H88" i="44"/>
  <c r="I88" i="44"/>
  <c r="J88" i="44"/>
  <c r="K88" i="44"/>
  <c r="L88" i="44"/>
  <c r="M88" i="44"/>
  <c r="N88" i="44"/>
  <c r="O88" i="44"/>
  <c r="P88" i="44"/>
  <c r="Q88" i="44"/>
  <c r="R88" i="44"/>
  <c r="S88" i="44"/>
  <c r="T88" i="44"/>
  <c r="U88" i="44"/>
  <c r="V88" i="44"/>
  <c r="W88" i="44"/>
  <c r="X88" i="44"/>
  <c r="Y88" i="44"/>
  <c r="AA88" i="44"/>
  <c r="AB88" i="44"/>
  <c r="F89" i="44"/>
  <c r="G89" i="44"/>
  <c r="H89" i="44"/>
  <c r="I89" i="44"/>
  <c r="J89" i="44"/>
  <c r="K89" i="44"/>
  <c r="L89" i="44"/>
  <c r="M89" i="44"/>
  <c r="N89" i="44"/>
  <c r="O89" i="44"/>
  <c r="P89" i="44"/>
  <c r="Q89" i="44"/>
  <c r="R89" i="44"/>
  <c r="S89" i="44"/>
  <c r="T89" i="44"/>
  <c r="U89" i="44"/>
  <c r="V89" i="44"/>
  <c r="W89" i="44"/>
  <c r="X89" i="44"/>
  <c r="Y89" i="44"/>
  <c r="AA89" i="44"/>
  <c r="AB89" i="44"/>
  <c r="F90" i="44"/>
  <c r="G90" i="44"/>
  <c r="H90" i="44"/>
  <c r="I90" i="44"/>
  <c r="J90" i="44"/>
  <c r="K90" i="44"/>
  <c r="L90" i="44"/>
  <c r="M90" i="44"/>
  <c r="N90" i="44"/>
  <c r="O90" i="44"/>
  <c r="P90" i="44"/>
  <c r="Q90" i="44"/>
  <c r="R90" i="44"/>
  <c r="S90" i="44"/>
  <c r="T90" i="44"/>
  <c r="U90" i="44"/>
  <c r="V90" i="44"/>
  <c r="W90" i="44"/>
  <c r="X90" i="44"/>
  <c r="Y90" i="44"/>
  <c r="AA90" i="44"/>
  <c r="AB90" i="44"/>
  <c r="X91" i="44"/>
  <c r="AA91" i="44"/>
  <c r="AB91" i="44"/>
  <c r="F92" i="44"/>
  <c r="G92" i="44"/>
  <c r="H92" i="44"/>
  <c r="I92" i="44"/>
  <c r="J92" i="44"/>
  <c r="K92" i="44"/>
  <c r="L92" i="44"/>
  <c r="M92" i="44"/>
  <c r="N92" i="44"/>
  <c r="O92" i="44"/>
  <c r="P92" i="44"/>
  <c r="Q92" i="44"/>
  <c r="R92" i="44"/>
  <c r="S92" i="44"/>
  <c r="T92" i="44"/>
  <c r="U92" i="44"/>
  <c r="V92" i="44"/>
  <c r="W92" i="44"/>
  <c r="X92" i="44"/>
  <c r="Y92" i="44"/>
  <c r="AA92" i="44"/>
  <c r="AB92" i="44"/>
  <c r="AA93" i="44"/>
  <c r="AB93" i="44"/>
  <c r="AA94" i="44"/>
  <c r="AB94" i="44"/>
  <c r="E95" i="44"/>
  <c r="Y95" i="44"/>
  <c r="AA95" i="44"/>
  <c r="AB95" i="44"/>
  <c r="AA96" i="44"/>
  <c r="AB96" i="44"/>
  <c r="Y97" i="44"/>
  <c r="AA97" i="44"/>
  <c r="AB97" i="44"/>
  <c r="AA98" i="44"/>
  <c r="AB98" i="44"/>
  <c r="Y99" i="44"/>
  <c r="AA99" i="44"/>
  <c r="AB99" i="44"/>
  <c r="AA100" i="44"/>
  <c r="AB100" i="44"/>
  <c r="AA101" i="44"/>
  <c r="AB101" i="44"/>
  <c r="D102" i="44"/>
  <c r="AA102" i="44"/>
  <c r="AB102" i="44"/>
  <c r="D103" i="44"/>
  <c r="AA103" i="44"/>
  <c r="AB103" i="44"/>
  <c r="AA104" i="44"/>
  <c r="AB104" i="44"/>
  <c r="D105" i="44"/>
  <c r="AA105" i="44"/>
  <c r="AB105" i="44"/>
  <c r="AA106" i="44"/>
  <c r="AB106" i="44"/>
  <c r="F107" i="44"/>
  <c r="G107" i="44"/>
  <c r="H107" i="44"/>
  <c r="I107" i="44"/>
  <c r="J107" i="44"/>
  <c r="K107" i="44"/>
  <c r="L107" i="44"/>
  <c r="M107" i="44"/>
  <c r="N107" i="44"/>
  <c r="O107" i="44"/>
  <c r="P107" i="44"/>
  <c r="Q107" i="44"/>
  <c r="R107" i="44"/>
  <c r="S107" i="44"/>
  <c r="T107" i="44"/>
  <c r="U107" i="44"/>
  <c r="V107" i="44"/>
  <c r="W107" i="44"/>
  <c r="X107" i="44"/>
  <c r="Y107" i="44"/>
  <c r="AA107" i="44"/>
  <c r="AB107" i="44"/>
  <c r="AA108" i="44"/>
  <c r="AB108" i="44"/>
  <c r="D109" i="44"/>
  <c r="F109" i="44"/>
  <c r="G109" i="44"/>
  <c r="H109" i="44"/>
  <c r="I109" i="44"/>
  <c r="J109" i="44"/>
  <c r="K109" i="44"/>
  <c r="L109" i="44"/>
  <c r="M109" i="44"/>
  <c r="N109" i="44"/>
  <c r="O109" i="44"/>
  <c r="P109" i="44"/>
  <c r="Q109" i="44"/>
  <c r="R109" i="44"/>
  <c r="S109" i="44"/>
  <c r="T109" i="44"/>
  <c r="U109" i="44"/>
  <c r="V109" i="44"/>
  <c r="W109" i="44"/>
  <c r="X109" i="44"/>
  <c r="AA109" i="44"/>
  <c r="AB109" i="44"/>
  <c r="D110" i="44"/>
  <c r="F110" i="44"/>
  <c r="G110" i="44"/>
  <c r="H110" i="44"/>
  <c r="I110" i="44"/>
  <c r="J110" i="44"/>
  <c r="K110" i="44"/>
  <c r="L110" i="44"/>
  <c r="M110" i="44"/>
  <c r="N110" i="44"/>
  <c r="O110" i="44"/>
  <c r="P110" i="44"/>
  <c r="Q110" i="44"/>
  <c r="R110" i="44"/>
  <c r="S110" i="44"/>
  <c r="T110" i="44"/>
  <c r="U110" i="44"/>
  <c r="V110" i="44"/>
  <c r="W110" i="44"/>
  <c r="X110" i="44"/>
  <c r="AA110" i="44"/>
  <c r="AB110" i="44"/>
  <c r="AA111" i="44"/>
  <c r="AB111" i="44"/>
  <c r="AA112" i="44"/>
  <c r="AB112" i="44"/>
  <c r="D113" i="44"/>
  <c r="AA113" i="44"/>
  <c r="AB113" i="44"/>
  <c r="AA114" i="44"/>
  <c r="AB114" i="44"/>
  <c r="F115" i="44"/>
  <c r="G115" i="44"/>
  <c r="H115" i="44"/>
  <c r="I115" i="44"/>
  <c r="J115" i="44"/>
  <c r="K115" i="44"/>
  <c r="L115" i="44"/>
  <c r="M115" i="44"/>
  <c r="N115" i="44"/>
  <c r="O115" i="44"/>
  <c r="P115" i="44"/>
  <c r="Q115" i="44"/>
  <c r="R115" i="44"/>
  <c r="S115" i="44"/>
  <c r="T115" i="44"/>
  <c r="U115" i="44"/>
  <c r="V115" i="44"/>
  <c r="W115" i="44"/>
  <c r="X115" i="44"/>
  <c r="AA115" i="44"/>
  <c r="AB115" i="44"/>
  <c r="D116" i="44"/>
  <c r="F116" i="44"/>
  <c r="G116" i="44"/>
  <c r="H116" i="44"/>
  <c r="I116" i="44"/>
  <c r="J116" i="44"/>
  <c r="K116" i="44"/>
  <c r="L116" i="44"/>
  <c r="M116" i="44"/>
  <c r="N116" i="44"/>
  <c r="O116" i="44"/>
  <c r="P116" i="44"/>
  <c r="Q116" i="44"/>
  <c r="R116" i="44"/>
  <c r="S116" i="44"/>
  <c r="T116" i="44"/>
  <c r="U116" i="44"/>
  <c r="V116" i="44"/>
  <c r="W116" i="44"/>
  <c r="X116" i="44"/>
  <c r="AA116" i="44"/>
  <c r="AB116" i="44"/>
  <c r="AA117" i="44"/>
  <c r="AB117" i="44"/>
  <c r="AA118" i="44"/>
  <c r="AB118" i="44"/>
  <c r="F119" i="44"/>
  <c r="G119" i="44"/>
  <c r="H119" i="44"/>
  <c r="I119" i="44"/>
  <c r="J119" i="44"/>
  <c r="K119" i="44"/>
  <c r="L119" i="44"/>
  <c r="M119" i="44"/>
  <c r="N119" i="44"/>
  <c r="O119" i="44"/>
  <c r="P119" i="44"/>
  <c r="Q119" i="44"/>
  <c r="R119" i="44"/>
  <c r="S119" i="44"/>
  <c r="T119" i="44"/>
  <c r="U119" i="44"/>
  <c r="V119" i="44"/>
  <c r="W119" i="44"/>
  <c r="X119" i="44"/>
  <c r="Y119" i="44"/>
  <c r="AA119" i="44"/>
  <c r="AB119" i="44"/>
  <c r="AA120" i="44"/>
  <c r="AB120" i="44"/>
  <c r="A121" i="44"/>
  <c r="F121" i="44"/>
  <c r="G121" i="44"/>
  <c r="H121" i="44"/>
  <c r="I121" i="44"/>
  <c r="J121" i="44"/>
  <c r="K121" i="44"/>
  <c r="L121" i="44"/>
  <c r="M121" i="44"/>
  <c r="N121" i="44"/>
  <c r="O121" i="44"/>
  <c r="P121" i="44"/>
  <c r="Q121" i="44"/>
  <c r="R121" i="44"/>
  <c r="S121" i="44"/>
  <c r="T121" i="44"/>
  <c r="U121" i="44"/>
  <c r="V121" i="44"/>
  <c r="W121" i="44"/>
  <c r="X121" i="44"/>
  <c r="Y121" i="44"/>
  <c r="AA121" i="44"/>
  <c r="AB121" i="44"/>
  <c r="F122" i="44"/>
  <c r="G122" i="44"/>
  <c r="H122" i="44"/>
  <c r="I122" i="44"/>
  <c r="J122" i="44"/>
  <c r="K122" i="44"/>
  <c r="L122" i="44"/>
  <c r="M122" i="44"/>
  <c r="N122" i="44"/>
  <c r="O122" i="44"/>
  <c r="P122" i="44"/>
  <c r="Q122" i="44"/>
  <c r="R122" i="44"/>
  <c r="S122" i="44"/>
  <c r="T122" i="44"/>
  <c r="U122" i="44"/>
  <c r="V122" i="44"/>
  <c r="W122" i="44"/>
  <c r="X122" i="44"/>
  <c r="Y122" i="44"/>
  <c r="AA122" i="44"/>
  <c r="AB122" i="44"/>
  <c r="F123" i="44"/>
  <c r="G123" i="44"/>
  <c r="H123" i="44"/>
  <c r="I123" i="44"/>
  <c r="J123" i="44"/>
  <c r="K123" i="44"/>
  <c r="L123" i="44"/>
  <c r="M123" i="44"/>
  <c r="N123" i="44"/>
  <c r="O123" i="44"/>
  <c r="P123" i="44"/>
  <c r="Q123" i="44"/>
  <c r="R123" i="44"/>
  <c r="S123" i="44"/>
  <c r="T123" i="44"/>
  <c r="U123" i="44"/>
  <c r="V123" i="44"/>
  <c r="W123" i="44"/>
  <c r="X123" i="44"/>
  <c r="Y123" i="44"/>
  <c r="AA123" i="44"/>
  <c r="AB123" i="44"/>
  <c r="F124" i="44"/>
  <c r="G124" i="44"/>
  <c r="H124" i="44"/>
  <c r="I124" i="44"/>
  <c r="J124" i="44"/>
  <c r="K124" i="44"/>
  <c r="L124" i="44"/>
  <c r="M124" i="44"/>
  <c r="N124" i="44"/>
  <c r="O124" i="44"/>
  <c r="P124" i="44"/>
  <c r="Q124" i="44"/>
  <c r="R124" i="44"/>
  <c r="S124" i="44"/>
  <c r="T124" i="44"/>
  <c r="U124" i="44"/>
  <c r="V124" i="44"/>
  <c r="W124" i="44"/>
  <c r="X124" i="44"/>
  <c r="Y124" i="44"/>
  <c r="AA124" i="44"/>
  <c r="AB124" i="44"/>
  <c r="AA125" i="44"/>
  <c r="AB125" i="44"/>
  <c r="C126" i="44"/>
  <c r="F126" i="44"/>
  <c r="G126" i="44"/>
  <c r="H126" i="44"/>
  <c r="I126" i="44"/>
  <c r="J126" i="44"/>
  <c r="K126" i="44"/>
  <c r="L126" i="44"/>
  <c r="M126" i="44"/>
  <c r="N126" i="44"/>
  <c r="O126" i="44"/>
  <c r="P126" i="44"/>
  <c r="Q126" i="44"/>
  <c r="R126" i="44"/>
  <c r="S126" i="44"/>
  <c r="T126" i="44"/>
  <c r="U126" i="44"/>
  <c r="V126" i="44"/>
  <c r="W126" i="44"/>
  <c r="X126" i="44"/>
  <c r="Y126" i="44"/>
  <c r="AA126" i="44"/>
  <c r="AB126" i="44"/>
  <c r="C127" i="44"/>
  <c r="F127" i="44"/>
  <c r="G127" i="44"/>
  <c r="H127" i="44"/>
  <c r="I127" i="44"/>
  <c r="J127" i="44"/>
  <c r="K127" i="44"/>
  <c r="L127" i="44"/>
  <c r="M127" i="44"/>
  <c r="N127" i="44"/>
  <c r="O127" i="44"/>
  <c r="P127" i="44"/>
  <c r="Q127" i="44"/>
  <c r="R127" i="44"/>
  <c r="S127" i="44"/>
  <c r="T127" i="44"/>
  <c r="U127" i="44"/>
  <c r="V127" i="44"/>
  <c r="W127" i="44"/>
  <c r="X127" i="44"/>
  <c r="Y127" i="44"/>
  <c r="AA127" i="44"/>
  <c r="AB127" i="44"/>
  <c r="AA128" i="44"/>
  <c r="AB128" i="44"/>
  <c r="AA129" i="44"/>
  <c r="AB129" i="44"/>
  <c r="AA130" i="44"/>
  <c r="AB130" i="44"/>
  <c r="AA131" i="44"/>
  <c r="AB131" i="44"/>
  <c r="AA132" i="44"/>
  <c r="AB132" i="44"/>
  <c r="AA133" i="44"/>
  <c r="AB133" i="44"/>
  <c r="AA134" i="44"/>
  <c r="AB134" i="44"/>
  <c r="F135" i="44"/>
  <c r="G135" i="44"/>
  <c r="H135" i="44"/>
  <c r="I135" i="44"/>
  <c r="J135" i="44"/>
  <c r="K135" i="44"/>
  <c r="L135" i="44"/>
  <c r="M135" i="44"/>
  <c r="N135" i="44"/>
  <c r="O135" i="44"/>
  <c r="P135" i="44"/>
  <c r="Q135" i="44"/>
  <c r="R135" i="44"/>
  <c r="S135" i="44"/>
  <c r="T135" i="44"/>
  <c r="U135" i="44"/>
  <c r="V135" i="44"/>
  <c r="W135" i="44"/>
  <c r="X135" i="44"/>
  <c r="Y135" i="44"/>
  <c r="AA135" i="44"/>
  <c r="AB135" i="44"/>
  <c r="AA136" i="44"/>
  <c r="AB136" i="44"/>
  <c r="F137" i="44"/>
  <c r="G137" i="44"/>
  <c r="H137" i="44"/>
  <c r="I137" i="44"/>
  <c r="J137" i="44"/>
  <c r="K137" i="44"/>
  <c r="L137" i="44"/>
  <c r="M137" i="44"/>
  <c r="N137" i="44"/>
  <c r="O137" i="44"/>
  <c r="P137" i="44"/>
  <c r="Q137" i="44"/>
  <c r="R137" i="44"/>
  <c r="S137" i="44"/>
  <c r="T137" i="44"/>
  <c r="U137" i="44"/>
  <c r="V137" i="44"/>
  <c r="W137" i="44"/>
  <c r="X137" i="44"/>
  <c r="Y137" i="44"/>
  <c r="AA137" i="44"/>
  <c r="AB137" i="44"/>
  <c r="F138" i="44"/>
  <c r="G138" i="44"/>
  <c r="H138" i="44"/>
  <c r="I138" i="44"/>
  <c r="J138" i="44"/>
  <c r="K138" i="44"/>
  <c r="L138" i="44"/>
  <c r="M138" i="44"/>
  <c r="N138" i="44"/>
  <c r="O138" i="44"/>
  <c r="P138" i="44"/>
  <c r="Q138" i="44"/>
  <c r="R138" i="44"/>
  <c r="S138" i="44"/>
  <c r="T138" i="44"/>
  <c r="U138" i="44"/>
  <c r="V138" i="44"/>
  <c r="W138" i="44"/>
  <c r="X138" i="44"/>
  <c r="Y138" i="44"/>
  <c r="AA138" i="44"/>
  <c r="AB138" i="44"/>
  <c r="F139" i="44"/>
  <c r="G139" i="44"/>
  <c r="H139" i="44"/>
  <c r="I139" i="44"/>
  <c r="J139" i="44"/>
  <c r="K139" i="44"/>
  <c r="L139" i="44"/>
  <c r="M139" i="44"/>
  <c r="N139" i="44"/>
  <c r="O139" i="44"/>
  <c r="P139" i="44"/>
  <c r="Q139" i="44"/>
  <c r="R139" i="44"/>
  <c r="S139" i="44"/>
  <c r="T139" i="44"/>
  <c r="U139" i="44"/>
  <c r="V139" i="44"/>
  <c r="W139" i="44"/>
  <c r="X139" i="44"/>
  <c r="Y139" i="44"/>
  <c r="AA139" i="44"/>
  <c r="AB139" i="44"/>
  <c r="C140" i="44"/>
  <c r="F140" i="44"/>
  <c r="G140" i="44"/>
  <c r="H140" i="44"/>
  <c r="I140" i="44"/>
  <c r="J140" i="44"/>
  <c r="K140" i="44"/>
  <c r="L140" i="44"/>
  <c r="M140" i="44"/>
  <c r="N140" i="44"/>
  <c r="O140" i="44"/>
  <c r="P140" i="44"/>
  <c r="Q140" i="44"/>
  <c r="R140" i="44"/>
  <c r="S140" i="44"/>
  <c r="T140" i="44"/>
  <c r="U140" i="44"/>
  <c r="V140" i="44"/>
  <c r="W140" i="44"/>
  <c r="X140" i="44"/>
  <c r="Y140" i="44"/>
  <c r="AA140" i="44"/>
  <c r="AB140" i="44"/>
  <c r="C141" i="44"/>
  <c r="F141" i="44"/>
  <c r="G141" i="44"/>
  <c r="H141" i="44"/>
  <c r="I141" i="44"/>
  <c r="J141" i="44"/>
  <c r="K141" i="44"/>
  <c r="L141" i="44"/>
  <c r="M141" i="44"/>
  <c r="N141" i="44"/>
  <c r="O141" i="44"/>
  <c r="P141" i="44"/>
  <c r="Q141" i="44"/>
  <c r="R141" i="44"/>
  <c r="S141" i="44"/>
  <c r="T141" i="44"/>
  <c r="U141" i="44"/>
  <c r="V141" i="44"/>
  <c r="W141" i="44"/>
  <c r="X141" i="44"/>
  <c r="Y141" i="44"/>
  <c r="AA141" i="44"/>
  <c r="AB141" i="44"/>
  <c r="F142" i="44"/>
  <c r="G142" i="44"/>
  <c r="H142" i="44"/>
  <c r="I142" i="44"/>
  <c r="J142" i="44"/>
  <c r="K142" i="44"/>
  <c r="L142" i="44"/>
  <c r="M142" i="44"/>
  <c r="N142" i="44"/>
  <c r="O142" i="44"/>
  <c r="P142" i="44"/>
  <c r="Q142" i="44"/>
  <c r="R142" i="44"/>
  <c r="S142" i="44"/>
  <c r="T142" i="44"/>
  <c r="U142" i="44"/>
  <c r="V142" i="44"/>
  <c r="W142" i="44"/>
  <c r="X142" i="44"/>
  <c r="Y142" i="44"/>
  <c r="AA142" i="44"/>
  <c r="AB142" i="44"/>
  <c r="AA143" i="44"/>
  <c r="AB143" i="44"/>
  <c r="A144" i="44"/>
  <c r="F144" i="44"/>
  <c r="G144" i="44"/>
  <c r="H144" i="44"/>
  <c r="I144" i="44"/>
  <c r="J144" i="44"/>
  <c r="K144" i="44"/>
  <c r="L144" i="44"/>
  <c r="M144" i="44"/>
  <c r="N144" i="44"/>
  <c r="O144" i="44"/>
  <c r="P144" i="44"/>
  <c r="Q144" i="44"/>
  <c r="R144" i="44"/>
  <c r="S144" i="44"/>
  <c r="T144" i="44"/>
  <c r="U144" i="44"/>
  <c r="V144" i="44"/>
  <c r="W144" i="44"/>
  <c r="X144" i="44"/>
  <c r="Y144" i="44"/>
  <c r="AA144" i="44"/>
  <c r="AB144" i="44"/>
  <c r="F145" i="44"/>
  <c r="G145" i="44"/>
  <c r="H145" i="44"/>
  <c r="I145" i="44"/>
  <c r="J145" i="44"/>
  <c r="K145" i="44"/>
  <c r="L145" i="44"/>
  <c r="M145" i="44"/>
  <c r="N145" i="44"/>
  <c r="O145" i="44"/>
  <c r="P145" i="44"/>
  <c r="Q145" i="44"/>
  <c r="R145" i="44"/>
  <c r="S145" i="44"/>
  <c r="T145" i="44"/>
  <c r="U145" i="44"/>
  <c r="V145" i="44"/>
  <c r="W145" i="44"/>
  <c r="X145" i="44"/>
  <c r="Y145" i="44"/>
  <c r="AA145" i="44"/>
  <c r="AB145" i="44"/>
  <c r="AA146" i="44"/>
  <c r="AB146" i="44"/>
  <c r="AA147" i="44"/>
  <c r="AB147" i="44"/>
  <c r="AA148" i="44"/>
  <c r="AB148" i="44"/>
  <c r="AA149" i="44"/>
  <c r="AB149" i="44"/>
  <c r="A150" i="44"/>
  <c r="F150" i="44"/>
  <c r="G150" i="44"/>
  <c r="H150" i="44"/>
  <c r="I150" i="44"/>
  <c r="J150" i="44"/>
  <c r="K150" i="44"/>
  <c r="L150" i="44"/>
  <c r="M150" i="44"/>
  <c r="N150" i="44"/>
  <c r="O150" i="44"/>
  <c r="P150" i="44"/>
  <c r="Q150" i="44"/>
  <c r="R150" i="44"/>
  <c r="S150" i="44"/>
  <c r="T150" i="44"/>
  <c r="U150" i="44"/>
  <c r="V150" i="44"/>
  <c r="W150" i="44"/>
  <c r="X150" i="44"/>
  <c r="Y150" i="44"/>
  <c r="AA150" i="44"/>
  <c r="AB150" i="44"/>
  <c r="AA151" i="44"/>
  <c r="AB151" i="44"/>
  <c r="F152" i="44"/>
  <c r="G152" i="44"/>
  <c r="H152" i="44"/>
  <c r="I152" i="44"/>
  <c r="J152" i="44"/>
  <c r="K152" i="44"/>
  <c r="L152" i="44"/>
  <c r="M152" i="44"/>
  <c r="N152" i="44"/>
  <c r="O152" i="44"/>
  <c r="P152" i="44"/>
  <c r="Q152" i="44"/>
  <c r="R152" i="44"/>
  <c r="S152" i="44"/>
  <c r="T152" i="44"/>
  <c r="U152" i="44"/>
  <c r="V152" i="44"/>
  <c r="W152" i="44"/>
  <c r="X152" i="44"/>
  <c r="Y152" i="44"/>
  <c r="AA152" i="44"/>
  <c r="C155" i="44"/>
  <c r="C156" i="44"/>
  <c r="D160" i="44"/>
  <c r="D162" i="44"/>
  <c r="D163" i="44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AA10" i="46"/>
  <c r="AB10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AA11" i="46"/>
  <c r="AB11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AA12" i="46"/>
  <c r="AB12" i="46"/>
  <c r="AA13" i="46"/>
  <c r="AB13" i="46"/>
  <c r="AA14" i="46"/>
  <c r="AB14" i="46"/>
  <c r="AA15" i="46"/>
  <c r="AB15" i="46"/>
  <c r="AA16" i="46"/>
  <c r="AB16" i="46"/>
  <c r="AA17" i="46"/>
  <c r="AB17" i="46"/>
  <c r="AA18" i="46"/>
  <c r="AB18" i="46"/>
  <c r="AA19" i="46"/>
  <c r="AB19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AA20" i="46"/>
  <c r="AB20" i="46"/>
  <c r="AA21" i="46"/>
  <c r="AB21" i="46"/>
  <c r="AA22" i="46"/>
  <c r="AB22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AA23" i="46"/>
  <c r="AB23" i="46"/>
  <c r="AA24" i="46"/>
  <c r="AB24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AA25" i="46"/>
  <c r="AB25" i="46"/>
  <c r="AA26" i="46"/>
  <c r="AB26" i="46"/>
  <c r="AA27" i="46"/>
  <c r="AB27" i="46"/>
  <c r="AA28" i="46"/>
  <c r="AB28" i="46"/>
  <c r="AA29" i="46"/>
  <c r="AB29" i="46"/>
  <c r="AA30" i="46"/>
  <c r="AB30" i="46"/>
  <c r="AA31" i="46"/>
  <c r="AB31" i="46"/>
  <c r="AA32" i="46"/>
  <c r="AB32" i="46"/>
  <c r="AA33" i="46"/>
  <c r="AB33" i="46"/>
  <c r="AA34" i="46"/>
  <c r="AB34" i="46"/>
  <c r="AA35" i="46"/>
  <c r="AB35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AA36" i="46"/>
  <c r="AB36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AA37" i="46"/>
  <c r="AB37" i="46"/>
  <c r="AA38" i="46"/>
  <c r="AB38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AA39" i="46"/>
  <c r="AB39" i="46"/>
  <c r="AA40" i="46"/>
  <c r="AB40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AA41" i="46"/>
  <c r="AB41" i="46"/>
  <c r="AA42" i="46"/>
  <c r="AB42" i="46"/>
  <c r="AA43" i="46"/>
  <c r="AB43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AA44" i="46"/>
  <c r="AB44" i="46"/>
  <c r="AA45" i="46"/>
  <c r="AB45" i="46"/>
  <c r="AA46" i="46"/>
  <c r="AB46" i="46"/>
  <c r="AA47" i="46"/>
  <c r="AB47" i="46"/>
  <c r="AA48" i="46"/>
  <c r="AB48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AA49" i="46"/>
  <c r="AB49" i="46"/>
  <c r="AA50" i="46"/>
  <c r="AB50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AA51" i="46"/>
  <c r="AB51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AA52" i="46"/>
  <c r="AB52" i="46"/>
  <c r="AA53" i="46"/>
  <c r="AB53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AA54" i="46"/>
  <c r="AB54" i="46"/>
  <c r="AA55" i="46"/>
  <c r="AB55" i="46"/>
  <c r="AA56" i="46"/>
  <c r="AB56" i="46"/>
  <c r="AA57" i="46"/>
  <c r="AB57" i="46"/>
  <c r="AA58" i="46"/>
  <c r="AB58" i="46"/>
  <c r="AA59" i="46"/>
  <c r="AB59" i="46"/>
  <c r="AA60" i="46"/>
  <c r="AB60" i="46"/>
  <c r="AA61" i="46"/>
  <c r="AB61" i="46"/>
  <c r="E62" i="46"/>
  <c r="F62" i="46"/>
  <c r="G62" i="46"/>
  <c r="H62" i="46"/>
  <c r="I62" i="46"/>
  <c r="J62" i="46"/>
  <c r="K62" i="46"/>
  <c r="L62" i="46"/>
  <c r="M62" i="46"/>
  <c r="N62" i="46"/>
  <c r="O62" i="46"/>
  <c r="P62" i="46"/>
  <c r="Q62" i="46"/>
  <c r="R62" i="46"/>
  <c r="S62" i="46"/>
  <c r="T62" i="46"/>
  <c r="U62" i="46"/>
  <c r="V62" i="46"/>
  <c r="W62" i="46"/>
  <c r="X62" i="46"/>
  <c r="Y62" i="46"/>
  <c r="AA62" i="46"/>
  <c r="AB62" i="46"/>
  <c r="AA63" i="46"/>
  <c r="AB63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AA64" i="46"/>
  <c r="AB64" i="46"/>
  <c r="AA65" i="46"/>
  <c r="AB65" i="46"/>
  <c r="AA66" i="46"/>
  <c r="AB66" i="46"/>
  <c r="AA67" i="46"/>
  <c r="AB67" i="46"/>
  <c r="AA68" i="46"/>
  <c r="AB68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Q69" i="46"/>
  <c r="R69" i="46"/>
  <c r="S69" i="46"/>
  <c r="T69" i="46"/>
  <c r="U69" i="46"/>
  <c r="V69" i="46"/>
  <c r="W69" i="46"/>
  <c r="X69" i="46"/>
  <c r="Y69" i="46"/>
  <c r="AA69" i="46"/>
  <c r="AB69" i="46"/>
  <c r="AA70" i="46"/>
  <c r="AB70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AA71" i="46"/>
  <c r="AB71" i="46"/>
  <c r="AA72" i="46"/>
  <c r="AB72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AA73" i="46"/>
  <c r="AB73" i="46"/>
  <c r="AA74" i="46"/>
  <c r="AB74" i="46"/>
  <c r="AA75" i="46"/>
  <c r="AB75" i="46"/>
  <c r="C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AA76" i="46"/>
  <c r="AB76" i="46"/>
  <c r="C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AA77" i="46"/>
  <c r="AB77" i="46"/>
  <c r="AA78" i="46"/>
  <c r="AB78" i="46"/>
  <c r="AA79" i="46"/>
  <c r="AB79" i="46"/>
  <c r="AA80" i="46"/>
  <c r="AB80" i="46"/>
  <c r="AA81" i="46"/>
  <c r="AB81" i="46"/>
  <c r="AA82" i="46"/>
  <c r="AB82" i="46"/>
  <c r="AA83" i="46"/>
  <c r="AB83" i="46"/>
  <c r="AA84" i="46"/>
  <c r="AB84" i="46"/>
  <c r="AA85" i="46"/>
  <c r="AB85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AA86" i="46"/>
  <c r="AB86" i="46"/>
  <c r="AA87" i="46"/>
  <c r="AB87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AA88" i="46"/>
  <c r="AB88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AA89" i="46"/>
  <c r="AB89" i="46"/>
  <c r="F90" i="46"/>
  <c r="G90" i="46"/>
  <c r="H90" i="46"/>
  <c r="I90" i="46"/>
  <c r="J90" i="46"/>
  <c r="K90" i="46"/>
  <c r="L90" i="46"/>
  <c r="M90" i="46"/>
  <c r="N90" i="46"/>
  <c r="O90" i="46"/>
  <c r="P90" i="46"/>
  <c r="Q90" i="46"/>
  <c r="R90" i="46"/>
  <c r="S90" i="46"/>
  <c r="T90" i="46"/>
  <c r="U90" i="46"/>
  <c r="V90" i="46"/>
  <c r="W90" i="46"/>
  <c r="X90" i="46"/>
  <c r="Y90" i="46"/>
  <c r="AA90" i="46"/>
  <c r="AB90" i="46"/>
  <c r="W91" i="46"/>
  <c r="AA91" i="46"/>
  <c r="AB91" i="46"/>
  <c r="F92" i="46"/>
  <c r="G92" i="46"/>
  <c r="H92" i="46"/>
  <c r="I92" i="46"/>
  <c r="J92" i="46"/>
  <c r="K92" i="46"/>
  <c r="L92" i="46"/>
  <c r="M92" i="46"/>
  <c r="N92" i="46"/>
  <c r="O92" i="46"/>
  <c r="P92" i="46"/>
  <c r="Q92" i="46"/>
  <c r="R92" i="46"/>
  <c r="S92" i="46"/>
  <c r="T92" i="46"/>
  <c r="U92" i="46"/>
  <c r="V92" i="46"/>
  <c r="W92" i="46"/>
  <c r="X92" i="46"/>
  <c r="Y92" i="46"/>
  <c r="AA92" i="46"/>
  <c r="AB92" i="46"/>
  <c r="AA93" i="46"/>
  <c r="AB93" i="46"/>
  <c r="AA94" i="46"/>
  <c r="AB94" i="46"/>
  <c r="E95" i="46"/>
  <c r="Y95" i="46"/>
  <c r="AA95" i="46"/>
  <c r="AB95" i="46"/>
  <c r="AA96" i="46"/>
  <c r="AB96" i="46"/>
  <c r="Y97" i="46"/>
  <c r="AA97" i="46"/>
  <c r="AB97" i="46"/>
  <c r="AA98" i="46"/>
  <c r="AB98" i="46"/>
  <c r="Y99" i="46"/>
  <c r="AA99" i="46"/>
  <c r="AB99" i="46"/>
  <c r="AA100" i="46"/>
  <c r="AB100" i="46"/>
  <c r="AA101" i="46"/>
  <c r="AB101" i="46"/>
  <c r="D102" i="46"/>
  <c r="AA102" i="46"/>
  <c r="AB102" i="46"/>
  <c r="D103" i="46"/>
  <c r="AA103" i="46"/>
  <c r="AB103" i="46"/>
  <c r="AA104" i="46"/>
  <c r="AB104" i="46"/>
  <c r="D105" i="46"/>
  <c r="AA105" i="46"/>
  <c r="AB105" i="46"/>
  <c r="AA106" i="46"/>
  <c r="AB106" i="46"/>
  <c r="F107" i="46"/>
  <c r="G107" i="46"/>
  <c r="H107" i="46"/>
  <c r="I107" i="46"/>
  <c r="J107" i="46"/>
  <c r="K107" i="46"/>
  <c r="L107" i="46"/>
  <c r="M107" i="46"/>
  <c r="N107" i="46"/>
  <c r="O107" i="46"/>
  <c r="P107" i="46"/>
  <c r="Q107" i="46"/>
  <c r="R107" i="46"/>
  <c r="S107" i="46"/>
  <c r="T107" i="46"/>
  <c r="U107" i="46"/>
  <c r="V107" i="46"/>
  <c r="W107" i="46"/>
  <c r="X107" i="46"/>
  <c r="Y107" i="46"/>
  <c r="AA107" i="46"/>
  <c r="AB107" i="46"/>
  <c r="AA108" i="46"/>
  <c r="AB108" i="46"/>
  <c r="D109" i="46"/>
  <c r="F109" i="46"/>
  <c r="G109" i="46"/>
  <c r="H109" i="46"/>
  <c r="I109" i="46"/>
  <c r="J109" i="46"/>
  <c r="K109" i="46"/>
  <c r="L109" i="46"/>
  <c r="M109" i="46"/>
  <c r="N109" i="46"/>
  <c r="O109" i="46"/>
  <c r="P109" i="46"/>
  <c r="Q109" i="46"/>
  <c r="R109" i="46"/>
  <c r="S109" i="46"/>
  <c r="T109" i="46"/>
  <c r="U109" i="46"/>
  <c r="V109" i="46"/>
  <c r="W109" i="46"/>
  <c r="AA109" i="46"/>
  <c r="AB109" i="46"/>
  <c r="D110" i="46"/>
  <c r="F110" i="46"/>
  <c r="G110" i="46"/>
  <c r="H110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AA110" i="46"/>
  <c r="AB110" i="46"/>
  <c r="AA111" i="46"/>
  <c r="AB111" i="46"/>
  <c r="AA112" i="46"/>
  <c r="AB112" i="46"/>
  <c r="D113" i="46"/>
  <c r="AA113" i="46"/>
  <c r="AB113" i="46"/>
  <c r="AA114" i="46"/>
  <c r="AB114" i="46"/>
  <c r="F115" i="46"/>
  <c r="G115" i="46"/>
  <c r="H115" i="46"/>
  <c r="I115" i="46"/>
  <c r="J115" i="46"/>
  <c r="K115" i="46"/>
  <c r="L115" i="46"/>
  <c r="M115" i="46"/>
  <c r="N115" i="46"/>
  <c r="O115" i="46"/>
  <c r="P115" i="46"/>
  <c r="Q115" i="46"/>
  <c r="R115" i="46"/>
  <c r="S115" i="46"/>
  <c r="T115" i="46"/>
  <c r="U115" i="46"/>
  <c r="V115" i="46"/>
  <c r="W115" i="46"/>
  <c r="AA115" i="46"/>
  <c r="AB115" i="46"/>
  <c r="D116" i="46"/>
  <c r="F116" i="46"/>
  <c r="G116" i="46"/>
  <c r="H116" i="46"/>
  <c r="I116" i="46"/>
  <c r="J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AA116" i="46"/>
  <c r="AB116" i="46"/>
  <c r="AA117" i="46"/>
  <c r="AB117" i="46"/>
  <c r="AA118" i="46"/>
  <c r="AB118" i="46"/>
  <c r="F119" i="46"/>
  <c r="G119" i="46"/>
  <c r="H119" i="46"/>
  <c r="I119" i="46"/>
  <c r="J119" i="46"/>
  <c r="K119" i="46"/>
  <c r="L119" i="46"/>
  <c r="M119" i="46"/>
  <c r="N119" i="46"/>
  <c r="O119" i="46"/>
  <c r="P119" i="46"/>
  <c r="Q119" i="46"/>
  <c r="R119" i="46"/>
  <c r="S119" i="46"/>
  <c r="T119" i="46"/>
  <c r="U119" i="46"/>
  <c r="V119" i="46"/>
  <c r="W119" i="46"/>
  <c r="X119" i="46"/>
  <c r="Y119" i="46"/>
  <c r="AA119" i="46"/>
  <c r="AB119" i="46"/>
  <c r="AA120" i="46"/>
  <c r="AB120" i="46"/>
  <c r="A121" i="46"/>
  <c r="F121" i="46"/>
  <c r="G121" i="46"/>
  <c r="H121" i="46"/>
  <c r="I121" i="46"/>
  <c r="J121" i="46"/>
  <c r="K121" i="46"/>
  <c r="L121" i="46"/>
  <c r="M121" i="46"/>
  <c r="N121" i="46"/>
  <c r="O121" i="46"/>
  <c r="P121" i="46"/>
  <c r="Q121" i="46"/>
  <c r="R121" i="46"/>
  <c r="S121" i="46"/>
  <c r="T121" i="46"/>
  <c r="U121" i="46"/>
  <c r="V121" i="46"/>
  <c r="W121" i="46"/>
  <c r="X121" i="46"/>
  <c r="Y121" i="46"/>
  <c r="AA121" i="46"/>
  <c r="AB121" i="46"/>
  <c r="F122" i="46"/>
  <c r="G122" i="46"/>
  <c r="H122" i="46"/>
  <c r="I122" i="46"/>
  <c r="J122" i="46"/>
  <c r="K122" i="46"/>
  <c r="L122" i="46"/>
  <c r="M122" i="46"/>
  <c r="N122" i="46"/>
  <c r="O122" i="46"/>
  <c r="P122" i="46"/>
  <c r="Q122" i="46"/>
  <c r="R122" i="46"/>
  <c r="S122" i="46"/>
  <c r="T122" i="46"/>
  <c r="U122" i="46"/>
  <c r="V122" i="46"/>
  <c r="W122" i="46"/>
  <c r="X122" i="46"/>
  <c r="Y122" i="46"/>
  <c r="AA122" i="46"/>
  <c r="AB122" i="46"/>
  <c r="F123" i="46"/>
  <c r="G123" i="46"/>
  <c r="H123" i="46"/>
  <c r="I123" i="46"/>
  <c r="J123" i="46"/>
  <c r="K123" i="46"/>
  <c r="L123" i="46"/>
  <c r="M123" i="46"/>
  <c r="N123" i="46"/>
  <c r="O123" i="46"/>
  <c r="P123" i="46"/>
  <c r="Q123" i="46"/>
  <c r="R123" i="46"/>
  <c r="S123" i="46"/>
  <c r="T123" i="46"/>
  <c r="U123" i="46"/>
  <c r="V123" i="46"/>
  <c r="W123" i="46"/>
  <c r="X123" i="46"/>
  <c r="Y123" i="46"/>
  <c r="AA123" i="46"/>
  <c r="AB123" i="46"/>
  <c r="F124" i="46"/>
  <c r="G124" i="46"/>
  <c r="H124" i="46"/>
  <c r="I124" i="46"/>
  <c r="J124" i="46"/>
  <c r="K124" i="46"/>
  <c r="L124" i="46"/>
  <c r="M124" i="46"/>
  <c r="N124" i="46"/>
  <c r="O124" i="46"/>
  <c r="P124" i="46"/>
  <c r="Q124" i="46"/>
  <c r="R124" i="46"/>
  <c r="S124" i="46"/>
  <c r="T124" i="46"/>
  <c r="U124" i="46"/>
  <c r="V124" i="46"/>
  <c r="W124" i="46"/>
  <c r="X124" i="46"/>
  <c r="Y124" i="46"/>
  <c r="AA124" i="46"/>
  <c r="AB124" i="46"/>
  <c r="AA125" i="46"/>
  <c r="AB125" i="46"/>
  <c r="C126" i="46"/>
  <c r="F126" i="46"/>
  <c r="G126" i="46"/>
  <c r="H126" i="46"/>
  <c r="I126" i="46"/>
  <c r="J126" i="46"/>
  <c r="K126" i="46"/>
  <c r="L126" i="46"/>
  <c r="M126" i="46"/>
  <c r="N126" i="46"/>
  <c r="O126" i="46"/>
  <c r="P126" i="46"/>
  <c r="Q126" i="46"/>
  <c r="R126" i="46"/>
  <c r="S126" i="46"/>
  <c r="T126" i="46"/>
  <c r="U126" i="46"/>
  <c r="V126" i="46"/>
  <c r="W126" i="46"/>
  <c r="X126" i="46"/>
  <c r="Y126" i="46"/>
  <c r="AA126" i="46"/>
  <c r="AB126" i="46"/>
  <c r="C127" i="46"/>
  <c r="F127" i="46"/>
  <c r="G127" i="46"/>
  <c r="H127" i="46"/>
  <c r="I127" i="46"/>
  <c r="J127" i="46"/>
  <c r="K127" i="46"/>
  <c r="L127" i="46"/>
  <c r="M127" i="46"/>
  <c r="N127" i="46"/>
  <c r="O127" i="46"/>
  <c r="P127" i="46"/>
  <c r="Q127" i="46"/>
  <c r="R127" i="46"/>
  <c r="S127" i="46"/>
  <c r="T127" i="46"/>
  <c r="U127" i="46"/>
  <c r="V127" i="46"/>
  <c r="W127" i="46"/>
  <c r="X127" i="46"/>
  <c r="Y127" i="46"/>
  <c r="AA127" i="46"/>
  <c r="AB127" i="46"/>
  <c r="AA128" i="46"/>
  <c r="AB128" i="46"/>
  <c r="AA129" i="46"/>
  <c r="AB129" i="46"/>
  <c r="AA130" i="46"/>
  <c r="AB130" i="46"/>
  <c r="AA131" i="46"/>
  <c r="AB131" i="46"/>
  <c r="AA132" i="46"/>
  <c r="AB132" i="46"/>
  <c r="AA133" i="46"/>
  <c r="AB133" i="46"/>
  <c r="AA134" i="46"/>
  <c r="AB134" i="46"/>
  <c r="F135" i="46"/>
  <c r="G135" i="46"/>
  <c r="H135" i="46"/>
  <c r="I135" i="46"/>
  <c r="J135" i="46"/>
  <c r="K135" i="46"/>
  <c r="L135" i="46"/>
  <c r="M135" i="46"/>
  <c r="N135" i="46"/>
  <c r="O135" i="46"/>
  <c r="P135" i="46"/>
  <c r="Q135" i="46"/>
  <c r="R135" i="46"/>
  <c r="S135" i="46"/>
  <c r="T135" i="46"/>
  <c r="U135" i="46"/>
  <c r="V135" i="46"/>
  <c r="W135" i="46"/>
  <c r="X135" i="46"/>
  <c r="Y135" i="46"/>
  <c r="AA135" i="46"/>
  <c r="AB135" i="46"/>
  <c r="AA136" i="46"/>
  <c r="AB136" i="46"/>
  <c r="F137" i="46"/>
  <c r="G137" i="46"/>
  <c r="H137" i="46"/>
  <c r="I137" i="46"/>
  <c r="J137" i="46"/>
  <c r="K137" i="46"/>
  <c r="L137" i="46"/>
  <c r="M137" i="46"/>
  <c r="N137" i="46"/>
  <c r="O137" i="46"/>
  <c r="P137" i="46"/>
  <c r="Q137" i="46"/>
  <c r="R137" i="46"/>
  <c r="S137" i="46"/>
  <c r="T137" i="46"/>
  <c r="U137" i="46"/>
  <c r="V137" i="46"/>
  <c r="W137" i="46"/>
  <c r="X137" i="46"/>
  <c r="Y137" i="46"/>
  <c r="AA137" i="46"/>
  <c r="AB137" i="46"/>
  <c r="F138" i="46"/>
  <c r="G138" i="46"/>
  <c r="H138" i="46"/>
  <c r="I138" i="46"/>
  <c r="J138" i="46"/>
  <c r="K138" i="46"/>
  <c r="L138" i="46"/>
  <c r="M138" i="46"/>
  <c r="N138" i="46"/>
  <c r="O138" i="46"/>
  <c r="P138" i="46"/>
  <c r="Q138" i="46"/>
  <c r="R138" i="46"/>
  <c r="S138" i="46"/>
  <c r="T138" i="46"/>
  <c r="U138" i="46"/>
  <c r="V138" i="46"/>
  <c r="W138" i="46"/>
  <c r="X138" i="46"/>
  <c r="Y138" i="46"/>
  <c r="AA138" i="46"/>
  <c r="AB138" i="46"/>
  <c r="F139" i="46"/>
  <c r="G139" i="46"/>
  <c r="H139" i="46"/>
  <c r="I139" i="46"/>
  <c r="J139" i="46"/>
  <c r="K139" i="46"/>
  <c r="L139" i="46"/>
  <c r="M139" i="46"/>
  <c r="N139" i="46"/>
  <c r="O139" i="46"/>
  <c r="P139" i="46"/>
  <c r="Q139" i="46"/>
  <c r="R139" i="46"/>
  <c r="S139" i="46"/>
  <c r="T139" i="46"/>
  <c r="U139" i="46"/>
  <c r="V139" i="46"/>
  <c r="W139" i="46"/>
  <c r="X139" i="46"/>
  <c r="Y139" i="46"/>
  <c r="AA139" i="46"/>
  <c r="AB139" i="46"/>
  <c r="C140" i="46"/>
  <c r="F140" i="46"/>
  <c r="G140" i="46"/>
  <c r="H140" i="46"/>
  <c r="I140" i="46"/>
  <c r="J140" i="46"/>
  <c r="K140" i="46"/>
  <c r="L140" i="46"/>
  <c r="M140" i="46"/>
  <c r="N140" i="46"/>
  <c r="O140" i="46"/>
  <c r="P140" i="46"/>
  <c r="Q140" i="46"/>
  <c r="R140" i="46"/>
  <c r="S140" i="46"/>
  <c r="T140" i="46"/>
  <c r="U140" i="46"/>
  <c r="V140" i="46"/>
  <c r="W140" i="46"/>
  <c r="X140" i="46"/>
  <c r="Y140" i="46"/>
  <c r="AA140" i="46"/>
  <c r="AB140" i="46"/>
  <c r="C141" i="46"/>
  <c r="F141" i="46"/>
  <c r="G141" i="46"/>
  <c r="H141" i="46"/>
  <c r="I141" i="46"/>
  <c r="J141" i="46"/>
  <c r="K141" i="46"/>
  <c r="L141" i="46"/>
  <c r="M141" i="46"/>
  <c r="N141" i="46"/>
  <c r="O141" i="46"/>
  <c r="P141" i="46"/>
  <c r="Q141" i="46"/>
  <c r="R141" i="46"/>
  <c r="S141" i="46"/>
  <c r="T141" i="46"/>
  <c r="U141" i="46"/>
  <c r="V141" i="46"/>
  <c r="W141" i="46"/>
  <c r="X141" i="46"/>
  <c r="Y141" i="46"/>
  <c r="AA141" i="46"/>
  <c r="AB141" i="46"/>
  <c r="F142" i="46"/>
  <c r="G142" i="46"/>
  <c r="H142" i="46"/>
  <c r="I142" i="46"/>
  <c r="J142" i="46"/>
  <c r="K142" i="46"/>
  <c r="L142" i="46"/>
  <c r="M142" i="46"/>
  <c r="N142" i="46"/>
  <c r="O142" i="46"/>
  <c r="P142" i="46"/>
  <c r="Q142" i="46"/>
  <c r="R142" i="46"/>
  <c r="S142" i="46"/>
  <c r="T142" i="46"/>
  <c r="U142" i="46"/>
  <c r="V142" i="46"/>
  <c r="W142" i="46"/>
  <c r="X142" i="46"/>
  <c r="Y142" i="46"/>
  <c r="AA142" i="46"/>
  <c r="AB142" i="46"/>
  <c r="AA143" i="46"/>
  <c r="AB143" i="46"/>
  <c r="A144" i="46"/>
  <c r="F144" i="46"/>
  <c r="G144" i="46"/>
  <c r="H144" i="46"/>
  <c r="I144" i="46"/>
  <c r="J144" i="46"/>
  <c r="K144" i="46"/>
  <c r="L144" i="46"/>
  <c r="M144" i="46"/>
  <c r="N144" i="46"/>
  <c r="O144" i="46"/>
  <c r="P144" i="46"/>
  <c r="Q144" i="46"/>
  <c r="R144" i="46"/>
  <c r="S144" i="46"/>
  <c r="T144" i="46"/>
  <c r="U144" i="46"/>
  <c r="V144" i="46"/>
  <c r="W144" i="46"/>
  <c r="X144" i="46"/>
  <c r="Y144" i="46"/>
  <c r="AA144" i="46"/>
  <c r="AB144" i="46"/>
  <c r="F145" i="46"/>
  <c r="G145" i="46"/>
  <c r="H145" i="46"/>
  <c r="I145" i="46"/>
  <c r="J145" i="46"/>
  <c r="K145" i="46"/>
  <c r="L145" i="46"/>
  <c r="M145" i="46"/>
  <c r="N145" i="46"/>
  <c r="O145" i="46"/>
  <c r="P145" i="46"/>
  <c r="Q145" i="46"/>
  <c r="R145" i="46"/>
  <c r="S145" i="46"/>
  <c r="T145" i="46"/>
  <c r="U145" i="46"/>
  <c r="V145" i="46"/>
  <c r="W145" i="46"/>
  <c r="X145" i="46"/>
  <c r="Y145" i="46"/>
  <c r="AA145" i="46"/>
  <c r="AB145" i="46"/>
  <c r="AA146" i="46"/>
  <c r="AB146" i="46"/>
  <c r="AA147" i="46"/>
  <c r="AB147" i="46"/>
  <c r="AA148" i="46"/>
  <c r="AB148" i="46"/>
  <c r="AA149" i="46"/>
  <c r="AB149" i="46"/>
  <c r="A150" i="46"/>
  <c r="F150" i="46"/>
  <c r="G150" i="46"/>
  <c r="H150" i="46"/>
  <c r="I150" i="46"/>
  <c r="J150" i="46"/>
  <c r="K150" i="46"/>
  <c r="L150" i="46"/>
  <c r="M150" i="46"/>
  <c r="N150" i="46"/>
  <c r="O150" i="46"/>
  <c r="P150" i="46"/>
  <c r="Q150" i="46"/>
  <c r="R150" i="46"/>
  <c r="S150" i="46"/>
  <c r="T150" i="46"/>
  <c r="U150" i="46"/>
  <c r="V150" i="46"/>
  <c r="W150" i="46"/>
  <c r="X150" i="46"/>
  <c r="Y150" i="46"/>
  <c r="AA150" i="46"/>
  <c r="AB150" i="46"/>
  <c r="AA151" i="46"/>
  <c r="AB151" i="46"/>
  <c r="F152" i="46"/>
  <c r="G152" i="46"/>
  <c r="H152" i="46"/>
  <c r="I152" i="46"/>
  <c r="J152" i="46"/>
  <c r="K152" i="46"/>
  <c r="L152" i="46"/>
  <c r="M152" i="46"/>
  <c r="N152" i="46"/>
  <c r="O152" i="46"/>
  <c r="P152" i="46"/>
  <c r="Q152" i="46"/>
  <c r="R152" i="46"/>
  <c r="S152" i="46"/>
  <c r="T152" i="46"/>
  <c r="U152" i="46"/>
  <c r="V152" i="46"/>
  <c r="W152" i="46"/>
  <c r="X152" i="46"/>
  <c r="Y152" i="46"/>
  <c r="AA152" i="46"/>
  <c r="C155" i="46"/>
  <c r="C156" i="46"/>
  <c r="D160" i="46"/>
  <c r="D162" i="46"/>
  <c r="D163" i="46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AA10" i="45"/>
  <c r="AB10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AA11" i="45"/>
  <c r="AB11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AA12" i="45"/>
  <c r="AB12" i="45"/>
  <c r="AA13" i="45"/>
  <c r="AB13" i="45"/>
  <c r="AA14" i="45"/>
  <c r="AB14" i="45"/>
  <c r="AA15" i="45"/>
  <c r="AB15" i="45"/>
  <c r="AA16" i="45"/>
  <c r="AB16" i="45"/>
  <c r="AA17" i="45"/>
  <c r="AB17" i="45"/>
  <c r="AA18" i="45"/>
  <c r="AB18" i="45"/>
  <c r="AA19" i="45"/>
  <c r="AB19" i="45"/>
  <c r="E20" i="45"/>
  <c r="F20" i="45"/>
  <c r="G20" i="45"/>
  <c r="H20" i="45"/>
  <c r="I20" i="45"/>
  <c r="J20" i="45"/>
  <c r="K20" i="45"/>
  <c r="L20" i="45"/>
  <c r="M20" i="45"/>
  <c r="N20" i="45"/>
  <c r="O20" i="45"/>
  <c r="P20" i="45"/>
  <c r="Q20" i="45"/>
  <c r="R20" i="45"/>
  <c r="S20" i="45"/>
  <c r="T20" i="45"/>
  <c r="U20" i="45"/>
  <c r="V20" i="45"/>
  <c r="W20" i="45"/>
  <c r="X20" i="45"/>
  <c r="Y20" i="45"/>
  <c r="AA20" i="45"/>
  <c r="AB20" i="45"/>
  <c r="AA21" i="45"/>
  <c r="AB21" i="45"/>
  <c r="AA22" i="45"/>
  <c r="AB22" i="45"/>
  <c r="E23" i="45"/>
  <c r="F23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Y23" i="45"/>
  <c r="AA23" i="45"/>
  <c r="AB23" i="45"/>
  <c r="AA24" i="45"/>
  <c r="AB24" i="45"/>
  <c r="E25" i="45"/>
  <c r="F25" i="45"/>
  <c r="G25" i="45"/>
  <c r="H25" i="45"/>
  <c r="I25" i="45"/>
  <c r="J25" i="45"/>
  <c r="K25" i="45"/>
  <c r="L25" i="45"/>
  <c r="M25" i="45"/>
  <c r="N25" i="45"/>
  <c r="O25" i="45"/>
  <c r="P25" i="45"/>
  <c r="Q25" i="45"/>
  <c r="R25" i="45"/>
  <c r="S25" i="45"/>
  <c r="T25" i="45"/>
  <c r="U25" i="45"/>
  <c r="V25" i="45"/>
  <c r="W25" i="45"/>
  <c r="X25" i="45"/>
  <c r="Y25" i="45"/>
  <c r="AA25" i="45"/>
  <c r="AB25" i="45"/>
  <c r="AA26" i="45"/>
  <c r="AB26" i="45"/>
  <c r="AA27" i="45"/>
  <c r="AB27" i="45"/>
  <c r="AA28" i="45"/>
  <c r="AB28" i="45"/>
  <c r="AA29" i="45"/>
  <c r="AB29" i="45"/>
  <c r="AA30" i="45"/>
  <c r="AB30" i="45"/>
  <c r="AA31" i="45"/>
  <c r="AB31" i="45"/>
  <c r="AA32" i="45"/>
  <c r="AB32" i="45"/>
  <c r="AA33" i="45"/>
  <c r="AB33" i="45"/>
  <c r="AA34" i="45"/>
  <c r="AB34" i="45"/>
  <c r="AA35" i="45"/>
  <c r="AB35" i="45"/>
  <c r="E36" i="45"/>
  <c r="F36" i="45"/>
  <c r="G36" i="45"/>
  <c r="H36" i="45"/>
  <c r="I36" i="45"/>
  <c r="J36" i="45"/>
  <c r="K36" i="45"/>
  <c r="L36" i="45"/>
  <c r="M36" i="45"/>
  <c r="N36" i="45"/>
  <c r="O36" i="45"/>
  <c r="P36" i="45"/>
  <c r="Q36" i="45"/>
  <c r="R36" i="45"/>
  <c r="S36" i="45"/>
  <c r="T36" i="45"/>
  <c r="U36" i="45"/>
  <c r="V36" i="45"/>
  <c r="W36" i="45"/>
  <c r="X36" i="45"/>
  <c r="Y36" i="45"/>
  <c r="AA36" i="45"/>
  <c r="AB36" i="45"/>
  <c r="E37" i="45"/>
  <c r="F37" i="45"/>
  <c r="G37" i="45"/>
  <c r="H37" i="45"/>
  <c r="I37" i="45"/>
  <c r="J37" i="45"/>
  <c r="K37" i="45"/>
  <c r="L37" i="45"/>
  <c r="M37" i="45"/>
  <c r="N37" i="45"/>
  <c r="O37" i="45"/>
  <c r="P37" i="45"/>
  <c r="Q37" i="45"/>
  <c r="R37" i="45"/>
  <c r="S37" i="45"/>
  <c r="T37" i="45"/>
  <c r="U37" i="45"/>
  <c r="V37" i="45"/>
  <c r="W37" i="45"/>
  <c r="X37" i="45"/>
  <c r="Y37" i="45"/>
  <c r="AA37" i="45"/>
  <c r="AB37" i="45"/>
  <c r="AA38" i="45"/>
  <c r="AB38" i="45"/>
  <c r="E39" i="45"/>
  <c r="F39" i="45"/>
  <c r="G39" i="45"/>
  <c r="H39" i="45"/>
  <c r="I39" i="45"/>
  <c r="J39" i="45"/>
  <c r="K39" i="45"/>
  <c r="L39" i="45"/>
  <c r="M39" i="45"/>
  <c r="N39" i="45"/>
  <c r="O39" i="45"/>
  <c r="P39" i="45"/>
  <c r="Q39" i="45"/>
  <c r="R39" i="45"/>
  <c r="S39" i="45"/>
  <c r="T39" i="45"/>
  <c r="U39" i="45"/>
  <c r="V39" i="45"/>
  <c r="W39" i="45"/>
  <c r="X39" i="45"/>
  <c r="Y39" i="45"/>
  <c r="AA39" i="45"/>
  <c r="AB39" i="45"/>
  <c r="AA40" i="45"/>
  <c r="AB40" i="45"/>
  <c r="F41" i="45"/>
  <c r="G41" i="45"/>
  <c r="H41" i="45"/>
  <c r="I41" i="45"/>
  <c r="J41" i="45"/>
  <c r="K41" i="45"/>
  <c r="L41" i="45"/>
  <c r="M41" i="45"/>
  <c r="N41" i="45"/>
  <c r="O41" i="45"/>
  <c r="P41" i="45"/>
  <c r="Q41" i="45"/>
  <c r="R41" i="45"/>
  <c r="S41" i="45"/>
  <c r="T41" i="45"/>
  <c r="U41" i="45"/>
  <c r="V41" i="45"/>
  <c r="W41" i="45"/>
  <c r="X41" i="45"/>
  <c r="Y41" i="45"/>
  <c r="AA41" i="45"/>
  <c r="AB41" i="45"/>
  <c r="AA42" i="45"/>
  <c r="AB42" i="45"/>
  <c r="AA43" i="45"/>
  <c r="AB43" i="45"/>
  <c r="E44" i="45"/>
  <c r="F44" i="45"/>
  <c r="G44" i="45"/>
  <c r="H44" i="45"/>
  <c r="I44" i="45"/>
  <c r="J44" i="45"/>
  <c r="K44" i="45"/>
  <c r="L44" i="45"/>
  <c r="M44" i="45"/>
  <c r="N44" i="45"/>
  <c r="O44" i="45"/>
  <c r="P44" i="45"/>
  <c r="Q44" i="45"/>
  <c r="R44" i="45"/>
  <c r="S44" i="45"/>
  <c r="T44" i="45"/>
  <c r="U44" i="45"/>
  <c r="V44" i="45"/>
  <c r="W44" i="45"/>
  <c r="X44" i="45"/>
  <c r="Y44" i="45"/>
  <c r="AA44" i="45"/>
  <c r="AB44" i="45"/>
  <c r="AA45" i="45"/>
  <c r="AB45" i="45"/>
  <c r="AA46" i="45"/>
  <c r="AB46" i="45"/>
  <c r="AA47" i="45"/>
  <c r="AB47" i="45"/>
  <c r="AA48" i="45"/>
  <c r="AB48" i="45"/>
  <c r="E49" i="45"/>
  <c r="F49" i="45"/>
  <c r="G49" i="45"/>
  <c r="H49" i="45"/>
  <c r="I49" i="45"/>
  <c r="J49" i="45"/>
  <c r="K49" i="45"/>
  <c r="L49" i="45"/>
  <c r="M49" i="45"/>
  <c r="N49" i="45"/>
  <c r="O49" i="45"/>
  <c r="P49" i="45"/>
  <c r="Q49" i="45"/>
  <c r="R49" i="45"/>
  <c r="S49" i="45"/>
  <c r="T49" i="45"/>
  <c r="U49" i="45"/>
  <c r="V49" i="45"/>
  <c r="W49" i="45"/>
  <c r="X49" i="45"/>
  <c r="Y49" i="45"/>
  <c r="AA49" i="45"/>
  <c r="AB49" i="45"/>
  <c r="AA50" i="45"/>
  <c r="AB50" i="45"/>
  <c r="E51" i="45"/>
  <c r="F51" i="45"/>
  <c r="G51" i="45"/>
  <c r="H51" i="45"/>
  <c r="I51" i="45"/>
  <c r="J51" i="45"/>
  <c r="K51" i="45"/>
  <c r="L51" i="45"/>
  <c r="M51" i="45"/>
  <c r="N51" i="45"/>
  <c r="O51" i="45"/>
  <c r="P51" i="45"/>
  <c r="Q51" i="45"/>
  <c r="R51" i="45"/>
  <c r="S51" i="45"/>
  <c r="T51" i="45"/>
  <c r="U51" i="45"/>
  <c r="V51" i="45"/>
  <c r="W51" i="45"/>
  <c r="X51" i="45"/>
  <c r="Y51" i="45"/>
  <c r="AA51" i="45"/>
  <c r="AB51" i="45"/>
  <c r="E52" i="45"/>
  <c r="F52" i="45"/>
  <c r="G52" i="45"/>
  <c r="H52" i="45"/>
  <c r="I52" i="45"/>
  <c r="J52" i="45"/>
  <c r="K52" i="45"/>
  <c r="L52" i="45"/>
  <c r="M52" i="45"/>
  <c r="N52" i="45"/>
  <c r="O52" i="45"/>
  <c r="P52" i="45"/>
  <c r="Q52" i="45"/>
  <c r="R52" i="45"/>
  <c r="S52" i="45"/>
  <c r="T52" i="45"/>
  <c r="U52" i="45"/>
  <c r="V52" i="45"/>
  <c r="W52" i="45"/>
  <c r="X52" i="45"/>
  <c r="Y52" i="45"/>
  <c r="AA52" i="45"/>
  <c r="AB52" i="45"/>
  <c r="AA53" i="45"/>
  <c r="AB53" i="45"/>
  <c r="E54" i="45"/>
  <c r="F54" i="45"/>
  <c r="G54" i="45"/>
  <c r="H54" i="45"/>
  <c r="I54" i="45"/>
  <c r="J54" i="45"/>
  <c r="K54" i="45"/>
  <c r="L54" i="45"/>
  <c r="M54" i="45"/>
  <c r="N54" i="45"/>
  <c r="O54" i="45"/>
  <c r="P54" i="45"/>
  <c r="Q54" i="45"/>
  <c r="R54" i="45"/>
  <c r="S54" i="45"/>
  <c r="T54" i="45"/>
  <c r="U54" i="45"/>
  <c r="V54" i="45"/>
  <c r="W54" i="45"/>
  <c r="X54" i="45"/>
  <c r="Y54" i="45"/>
  <c r="AA54" i="45"/>
  <c r="AB54" i="45"/>
  <c r="AA55" i="45"/>
  <c r="AB55" i="45"/>
  <c r="AA56" i="45"/>
  <c r="AB56" i="45"/>
  <c r="AA57" i="45"/>
  <c r="AB57" i="45"/>
  <c r="AA58" i="45"/>
  <c r="AB58" i="45"/>
  <c r="AA59" i="45"/>
  <c r="AB59" i="45"/>
  <c r="AA60" i="45"/>
  <c r="AB60" i="45"/>
  <c r="AA61" i="45"/>
  <c r="AB61" i="45"/>
  <c r="E62" i="45"/>
  <c r="F62" i="45"/>
  <c r="G62" i="45"/>
  <c r="H6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A62" i="45"/>
  <c r="AB62" i="45"/>
  <c r="AA63" i="45"/>
  <c r="AB63" i="45"/>
  <c r="E64" i="45"/>
  <c r="F64" i="45"/>
  <c r="G64" i="45"/>
  <c r="H64" i="45"/>
  <c r="I64" i="45"/>
  <c r="J64" i="45"/>
  <c r="K64" i="45"/>
  <c r="L64" i="45"/>
  <c r="M64" i="45"/>
  <c r="N64" i="45"/>
  <c r="O64" i="45"/>
  <c r="P64" i="45"/>
  <c r="Q64" i="45"/>
  <c r="R64" i="45"/>
  <c r="S64" i="45"/>
  <c r="T64" i="45"/>
  <c r="U64" i="45"/>
  <c r="V64" i="45"/>
  <c r="W64" i="45"/>
  <c r="X64" i="45"/>
  <c r="Y64" i="45"/>
  <c r="AA64" i="45"/>
  <c r="AB64" i="45"/>
  <c r="AA65" i="45"/>
  <c r="AB65" i="45"/>
  <c r="AA66" i="45"/>
  <c r="AB66" i="45"/>
  <c r="AA67" i="45"/>
  <c r="AB67" i="45"/>
  <c r="AA68" i="45"/>
  <c r="AB68" i="45"/>
  <c r="E69" i="45"/>
  <c r="F69" i="45"/>
  <c r="G69" i="45"/>
  <c r="H69" i="45"/>
  <c r="I69" i="45"/>
  <c r="J69" i="45"/>
  <c r="K69" i="45"/>
  <c r="L69" i="45"/>
  <c r="M69" i="45"/>
  <c r="N69" i="45"/>
  <c r="O69" i="45"/>
  <c r="P69" i="45"/>
  <c r="Q69" i="45"/>
  <c r="R69" i="45"/>
  <c r="S69" i="45"/>
  <c r="T69" i="45"/>
  <c r="U69" i="45"/>
  <c r="V69" i="45"/>
  <c r="W69" i="45"/>
  <c r="X69" i="45"/>
  <c r="Y69" i="45"/>
  <c r="AA69" i="45"/>
  <c r="AB69" i="45"/>
  <c r="AA70" i="45"/>
  <c r="AB70" i="45"/>
  <c r="E71" i="45"/>
  <c r="F71" i="45"/>
  <c r="G71" i="45"/>
  <c r="H71" i="45"/>
  <c r="I71" i="45"/>
  <c r="J71" i="45"/>
  <c r="K71" i="45"/>
  <c r="L71" i="45"/>
  <c r="M71" i="45"/>
  <c r="N71" i="45"/>
  <c r="O71" i="45"/>
  <c r="P71" i="45"/>
  <c r="Q71" i="45"/>
  <c r="R71" i="45"/>
  <c r="S71" i="45"/>
  <c r="T71" i="45"/>
  <c r="U71" i="45"/>
  <c r="V71" i="45"/>
  <c r="W71" i="45"/>
  <c r="X71" i="45"/>
  <c r="Y71" i="45"/>
  <c r="AA71" i="45"/>
  <c r="AB71" i="45"/>
  <c r="AA72" i="45"/>
  <c r="AB72" i="45"/>
  <c r="E73" i="45"/>
  <c r="F73" i="45"/>
  <c r="G73" i="45"/>
  <c r="H73" i="45"/>
  <c r="I73" i="45"/>
  <c r="J73" i="45"/>
  <c r="K73" i="45"/>
  <c r="L73" i="45"/>
  <c r="M73" i="45"/>
  <c r="N73" i="45"/>
  <c r="O73" i="45"/>
  <c r="P73" i="45"/>
  <c r="Q73" i="45"/>
  <c r="R73" i="45"/>
  <c r="S73" i="45"/>
  <c r="T73" i="45"/>
  <c r="U73" i="45"/>
  <c r="V73" i="45"/>
  <c r="W73" i="45"/>
  <c r="X73" i="45"/>
  <c r="Y73" i="45"/>
  <c r="AA73" i="45"/>
  <c r="AB73" i="45"/>
  <c r="AA74" i="45"/>
  <c r="AB74" i="45"/>
  <c r="AA75" i="45"/>
  <c r="AB75" i="45"/>
  <c r="C76" i="45"/>
  <c r="E76" i="45"/>
  <c r="F76" i="45"/>
  <c r="G76" i="45"/>
  <c r="H76" i="45"/>
  <c r="I76" i="45"/>
  <c r="J76" i="45"/>
  <c r="K76" i="45"/>
  <c r="L76" i="45"/>
  <c r="M76" i="45"/>
  <c r="N76" i="45"/>
  <c r="O76" i="45"/>
  <c r="P76" i="45"/>
  <c r="Q76" i="45"/>
  <c r="R76" i="45"/>
  <c r="S76" i="45"/>
  <c r="T76" i="45"/>
  <c r="U76" i="45"/>
  <c r="V76" i="45"/>
  <c r="W76" i="45"/>
  <c r="X76" i="45"/>
  <c r="Y76" i="45"/>
  <c r="AA76" i="45"/>
  <c r="AB76" i="45"/>
  <c r="C77" i="45"/>
  <c r="E77" i="45"/>
  <c r="F77" i="45"/>
  <c r="G77" i="45"/>
  <c r="H77" i="45"/>
  <c r="I77" i="45"/>
  <c r="J77" i="45"/>
  <c r="K77" i="45"/>
  <c r="L77" i="45"/>
  <c r="M77" i="45"/>
  <c r="N77" i="45"/>
  <c r="O77" i="45"/>
  <c r="P77" i="45"/>
  <c r="Q77" i="45"/>
  <c r="R77" i="45"/>
  <c r="S77" i="45"/>
  <c r="T77" i="45"/>
  <c r="U77" i="45"/>
  <c r="V77" i="45"/>
  <c r="W77" i="45"/>
  <c r="X77" i="45"/>
  <c r="Y77" i="45"/>
  <c r="AA77" i="45"/>
  <c r="AB77" i="45"/>
  <c r="AA78" i="45"/>
  <c r="AB78" i="45"/>
  <c r="AA79" i="45"/>
  <c r="AB79" i="45"/>
  <c r="AA80" i="45"/>
  <c r="AB80" i="45"/>
  <c r="AA81" i="45"/>
  <c r="AB81" i="45"/>
  <c r="AA82" i="45"/>
  <c r="AB82" i="45"/>
  <c r="AA83" i="45"/>
  <c r="AB83" i="45"/>
  <c r="AA84" i="45"/>
  <c r="AB84" i="45"/>
  <c r="AA85" i="45"/>
  <c r="AB85" i="45"/>
  <c r="E86" i="45"/>
  <c r="F86" i="45"/>
  <c r="G86" i="45"/>
  <c r="H86" i="45"/>
  <c r="I86" i="45"/>
  <c r="J86" i="45"/>
  <c r="K86" i="45"/>
  <c r="L86" i="45"/>
  <c r="M86" i="45"/>
  <c r="N86" i="45"/>
  <c r="O86" i="45"/>
  <c r="P86" i="45"/>
  <c r="Q86" i="45"/>
  <c r="R86" i="45"/>
  <c r="S86" i="45"/>
  <c r="T86" i="45"/>
  <c r="U86" i="45"/>
  <c r="V86" i="45"/>
  <c r="W86" i="45"/>
  <c r="X86" i="45"/>
  <c r="Y86" i="45"/>
  <c r="AA86" i="45"/>
  <c r="AB86" i="45"/>
  <c r="AA87" i="45"/>
  <c r="AB87" i="45"/>
  <c r="F88" i="45"/>
  <c r="G88" i="45"/>
  <c r="H88" i="45"/>
  <c r="I88" i="45"/>
  <c r="J88" i="45"/>
  <c r="K88" i="45"/>
  <c r="L88" i="45"/>
  <c r="M88" i="45"/>
  <c r="N88" i="45"/>
  <c r="O88" i="45"/>
  <c r="P88" i="45"/>
  <c r="Q88" i="45"/>
  <c r="R88" i="45"/>
  <c r="S88" i="45"/>
  <c r="T88" i="45"/>
  <c r="U88" i="45"/>
  <c r="V88" i="45"/>
  <c r="W88" i="45"/>
  <c r="X88" i="45"/>
  <c r="Y88" i="45"/>
  <c r="AA88" i="45"/>
  <c r="AB88" i="45"/>
  <c r="F89" i="45"/>
  <c r="G89" i="45"/>
  <c r="H89" i="45"/>
  <c r="I89" i="45"/>
  <c r="J89" i="45"/>
  <c r="K89" i="45"/>
  <c r="L89" i="45"/>
  <c r="M89" i="45"/>
  <c r="N89" i="45"/>
  <c r="O89" i="45"/>
  <c r="P89" i="45"/>
  <c r="Q89" i="45"/>
  <c r="R89" i="45"/>
  <c r="S89" i="45"/>
  <c r="T89" i="45"/>
  <c r="U89" i="45"/>
  <c r="V89" i="45"/>
  <c r="W89" i="45"/>
  <c r="X89" i="45"/>
  <c r="Y89" i="45"/>
  <c r="AA89" i="45"/>
  <c r="AB89" i="45"/>
  <c r="F90" i="45"/>
  <c r="G90" i="45"/>
  <c r="H90" i="45"/>
  <c r="I90" i="45"/>
  <c r="J90" i="45"/>
  <c r="K90" i="45"/>
  <c r="L90" i="45"/>
  <c r="M90" i="45"/>
  <c r="N90" i="45"/>
  <c r="O90" i="45"/>
  <c r="P90" i="45"/>
  <c r="Q90" i="45"/>
  <c r="R90" i="45"/>
  <c r="S90" i="45"/>
  <c r="T90" i="45"/>
  <c r="U90" i="45"/>
  <c r="V90" i="45"/>
  <c r="W90" i="45"/>
  <c r="X90" i="45"/>
  <c r="Y90" i="45"/>
  <c r="AA90" i="45"/>
  <c r="AB90" i="45"/>
  <c r="W91" i="45"/>
  <c r="AA91" i="45"/>
  <c r="AB91" i="45"/>
  <c r="F92" i="45"/>
  <c r="G92" i="45"/>
  <c r="H92" i="45"/>
  <c r="I92" i="45"/>
  <c r="J92" i="45"/>
  <c r="K92" i="45"/>
  <c r="L92" i="45"/>
  <c r="M92" i="45"/>
  <c r="N92" i="45"/>
  <c r="O92" i="45"/>
  <c r="P92" i="45"/>
  <c r="Q92" i="45"/>
  <c r="R92" i="45"/>
  <c r="S92" i="45"/>
  <c r="T92" i="45"/>
  <c r="U92" i="45"/>
  <c r="V92" i="45"/>
  <c r="W92" i="45"/>
  <c r="X92" i="45"/>
  <c r="Y92" i="45"/>
  <c r="AA92" i="45"/>
  <c r="AB92" i="45"/>
  <c r="AA93" i="45"/>
  <c r="AB93" i="45"/>
  <c r="AA94" i="45"/>
  <c r="AB94" i="45"/>
  <c r="E95" i="45"/>
  <c r="Y95" i="45"/>
  <c r="AA95" i="45"/>
  <c r="AB95" i="45"/>
  <c r="AA96" i="45"/>
  <c r="AB96" i="45"/>
  <c r="Y97" i="45"/>
  <c r="AA97" i="45"/>
  <c r="AB97" i="45"/>
  <c r="AA98" i="45"/>
  <c r="AB98" i="45"/>
  <c r="Y99" i="45"/>
  <c r="AA99" i="45"/>
  <c r="AB99" i="45"/>
  <c r="AA100" i="45"/>
  <c r="AB100" i="45"/>
  <c r="AA101" i="45"/>
  <c r="AB101" i="45"/>
  <c r="D102" i="45"/>
  <c r="AA102" i="45"/>
  <c r="AB102" i="45"/>
  <c r="D103" i="45"/>
  <c r="AA103" i="45"/>
  <c r="AB103" i="45"/>
  <c r="AA104" i="45"/>
  <c r="AB104" i="45"/>
  <c r="D105" i="45"/>
  <c r="AA105" i="45"/>
  <c r="AB105" i="45"/>
  <c r="AA106" i="45"/>
  <c r="AB106" i="45"/>
  <c r="F107" i="45"/>
  <c r="G107" i="45"/>
  <c r="H107" i="45"/>
  <c r="I107" i="45"/>
  <c r="J107" i="45"/>
  <c r="K107" i="45"/>
  <c r="L107" i="45"/>
  <c r="M107" i="45"/>
  <c r="N107" i="45"/>
  <c r="O107" i="45"/>
  <c r="P107" i="45"/>
  <c r="Q107" i="45"/>
  <c r="R107" i="45"/>
  <c r="S107" i="45"/>
  <c r="T107" i="45"/>
  <c r="U107" i="45"/>
  <c r="V107" i="45"/>
  <c r="W107" i="45"/>
  <c r="X107" i="45"/>
  <c r="Y107" i="45"/>
  <c r="AA107" i="45"/>
  <c r="AB107" i="45"/>
  <c r="AA108" i="45"/>
  <c r="AB108" i="45"/>
  <c r="D109" i="45"/>
  <c r="F109" i="45"/>
  <c r="G109" i="45"/>
  <c r="H109" i="45"/>
  <c r="I109" i="45"/>
  <c r="J109" i="45"/>
  <c r="K109" i="45"/>
  <c r="L109" i="45"/>
  <c r="M109" i="45"/>
  <c r="N109" i="45"/>
  <c r="O109" i="45"/>
  <c r="P109" i="45"/>
  <c r="Q109" i="45"/>
  <c r="R109" i="45"/>
  <c r="S109" i="45"/>
  <c r="T109" i="45"/>
  <c r="U109" i="45"/>
  <c r="V109" i="45"/>
  <c r="W109" i="45"/>
  <c r="AA109" i="45"/>
  <c r="AB109" i="45"/>
  <c r="D110" i="45"/>
  <c r="F110" i="45"/>
  <c r="G110" i="45"/>
  <c r="H110" i="45"/>
  <c r="I110" i="45"/>
  <c r="J110" i="45"/>
  <c r="K110" i="45"/>
  <c r="L110" i="45"/>
  <c r="M110" i="45"/>
  <c r="N110" i="45"/>
  <c r="O110" i="45"/>
  <c r="P110" i="45"/>
  <c r="Q110" i="45"/>
  <c r="R110" i="45"/>
  <c r="S110" i="45"/>
  <c r="T110" i="45"/>
  <c r="U110" i="45"/>
  <c r="V110" i="45"/>
  <c r="W110" i="45"/>
  <c r="AA110" i="45"/>
  <c r="AB110" i="45"/>
  <c r="AA111" i="45"/>
  <c r="AB111" i="45"/>
  <c r="AA112" i="45"/>
  <c r="AB112" i="45"/>
  <c r="D113" i="45"/>
  <c r="AA113" i="45"/>
  <c r="AB113" i="45"/>
  <c r="AA114" i="45"/>
  <c r="AB114" i="45"/>
  <c r="F115" i="45"/>
  <c r="G115" i="45"/>
  <c r="H115" i="45"/>
  <c r="I115" i="45"/>
  <c r="J115" i="45"/>
  <c r="K115" i="45"/>
  <c r="L115" i="45"/>
  <c r="M115" i="45"/>
  <c r="N115" i="45"/>
  <c r="O115" i="45"/>
  <c r="P115" i="45"/>
  <c r="Q115" i="45"/>
  <c r="R115" i="45"/>
  <c r="S115" i="45"/>
  <c r="T115" i="45"/>
  <c r="U115" i="45"/>
  <c r="V115" i="45"/>
  <c r="W115" i="45"/>
  <c r="AA115" i="45"/>
  <c r="AB115" i="45"/>
  <c r="D116" i="45"/>
  <c r="F116" i="45"/>
  <c r="G116" i="45"/>
  <c r="H116" i="45"/>
  <c r="I116" i="45"/>
  <c r="J116" i="45"/>
  <c r="K116" i="45"/>
  <c r="L116" i="45"/>
  <c r="M116" i="45"/>
  <c r="N116" i="45"/>
  <c r="O116" i="45"/>
  <c r="P116" i="45"/>
  <c r="Q116" i="45"/>
  <c r="R116" i="45"/>
  <c r="S116" i="45"/>
  <c r="T116" i="45"/>
  <c r="U116" i="45"/>
  <c r="V116" i="45"/>
  <c r="W116" i="45"/>
  <c r="AA116" i="45"/>
  <c r="AB116" i="45"/>
  <c r="AA117" i="45"/>
  <c r="AB117" i="45"/>
  <c r="AA118" i="45"/>
  <c r="AB118" i="45"/>
  <c r="F119" i="45"/>
  <c r="G119" i="45"/>
  <c r="H119" i="45"/>
  <c r="I119" i="45"/>
  <c r="J119" i="45"/>
  <c r="K119" i="45"/>
  <c r="L119" i="45"/>
  <c r="M119" i="45"/>
  <c r="N119" i="45"/>
  <c r="O119" i="45"/>
  <c r="P119" i="45"/>
  <c r="Q119" i="45"/>
  <c r="R119" i="45"/>
  <c r="S119" i="45"/>
  <c r="T119" i="45"/>
  <c r="U119" i="45"/>
  <c r="V119" i="45"/>
  <c r="W119" i="45"/>
  <c r="X119" i="45"/>
  <c r="Y119" i="45"/>
  <c r="AA119" i="45"/>
  <c r="AB119" i="45"/>
  <c r="AA120" i="45"/>
  <c r="AB120" i="45"/>
  <c r="A121" i="45"/>
  <c r="F121" i="45"/>
  <c r="G121" i="45"/>
  <c r="H121" i="45"/>
  <c r="I121" i="45"/>
  <c r="J121" i="45"/>
  <c r="K121" i="45"/>
  <c r="L121" i="45"/>
  <c r="M121" i="45"/>
  <c r="N121" i="45"/>
  <c r="O121" i="45"/>
  <c r="P121" i="45"/>
  <c r="Q121" i="45"/>
  <c r="R121" i="45"/>
  <c r="S121" i="45"/>
  <c r="T121" i="45"/>
  <c r="U121" i="45"/>
  <c r="V121" i="45"/>
  <c r="W121" i="45"/>
  <c r="X121" i="45"/>
  <c r="Y121" i="45"/>
  <c r="AA121" i="45"/>
  <c r="AB121" i="45"/>
  <c r="F122" i="45"/>
  <c r="G122" i="45"/>
  <c r="H122" i="45"/>
  <c r="I122" i="45"/>
  <c r="J122" i="45"/>
  <c r="K122" i="45"/>
  <c r="L122" i="45"/>
  <c r="M122" i="45"/>
  <c r="N122" i="45"/>
  <c r="O122" i="45"/>
  <c r="P122" i="45"/>
  <c r="Q122" i="45"/>
  <c r="R122" i="45"/>
  <c r="S122" i="45"/>
  <c r="T122" i="45"/>
  <c r="U122" i="45"/>
  <c r="V122" i="45"/>
  <c r="W122" i="45"/>
  <c r="X122" i="45"/>
  <c r="Y122" i="45"/>
  <c r="AA122" i="45"/>
  <c r="AB122" i="45"/>
  <c r="F123" i="45"/>
  <c r="G123" i="45"/>
  <c r="H123" i="45"/>
  <c r="I123" i="45"/>
  <c r="J123" i="45"/>
  <c r="K123" i="45"/>
  <c r="L123" i="45"/>
  <c r="M123" i="45"/>
  <c r="N123" i="45"/>
  <c r="O123" i="45"/>
  <c r="P123" i="45"/>
  <c r="Q123" i="45"/>
  <c r="R123" i="45"/>
  <c r="S123" i="45"/>
  <c r="T123" i="45"/>
  <c r="U123" i="45"/>
  <c r="V123" i="45"/>
  <c r="W123" i="45"/>
  <c r="X123" i="45"/>
  <c r="Y123" i="45"/>
  <c r="AA123" i="45"/>
  <c r="AB123" i="45"/>
  <c r="F124" i="45"/>
  <c r="G124" i="45"/>
  <c r="H124" i="45"/>
  <c r="I124" i="45"/>
  <c r="J124" i="45"/>
  <c r="K124" i="45"/>
  <c r="L124" i="45"/>
  <c r="M124" i="45"/>
  <c r="N124" i="45"/>
  <c r="O124" i="45"/>
  <c r="P124" i="45"/>
  <c r="Q124" i="45"/>
  <c r="R124" i="45"/>
  <c r="S124" i="45"/>
  <c r="T124" i="45"/>
  <c r="U124" i="45"/>
  <c r="V124" i="45"/>
  <c r="W124" i="45"/>
  <c r="X124" i="45"/>
  <c r="Y124" i="45"/>
  <c r="AA124" i="45"/>
  <c r="AB124" i="45"/>
  <c r="AA125" i="45"/>
  <c r="AB125" i="45"/>
  <c r="C126" i="45"/>
  <c r="F126" i="45"/>
  <c r="G126" i="45"/>
  <c r="H126" i="45"/>
  <c r="I126" i="45"/>
  <c r="J126" i="45"/>
  <c r="K126" i="45"/>
  <c r="L126" i="45"/>
  <c r="M126" i="45"/>
  <c r="N126" i="45"/>
  <c r="O126" i="45"/>
  <c r="P126" i="45"/>
  <c r="Q126" i="45"/>
  <c r="R126" i="45"/>
  <c r="S126" i="45"/>
  <c r="T126" i="45"/>
  <c r="U126" i="45"/>
  <c r="V126" i="45"/>
  <c r="W126" i="45"/>
  <c r="X126" i="45"/>
  <c r="Y126" i="45"/>
  <c r="AA126" i="45"/>
  <c r="AB126" i="45"/>
  <c r="C127" i="45"/>
  <c r="F127" i="45"/>
  <c r="G127" i="45"/>
  <c r="H127" i="45"/>
  <c r="I127" i="45"/>
  <c r="J127" i="45"/>
  <c r="K127" i="45"/>
  <c r="L127" i="45"/>
  <c r="M127" i="45"/>
  <c r="N127" i="45"/>
  <c r="O127" i="45"/>
  <c r="P127" i="45"/>
  <c r="Q127" i="45"/>
  <c r="R127" i="45"/>
  <c r="S127" i="45"/>
  <c r="T127" i="45"/>
  <c r="U127" i="45"/>
  <c r="V127" i="45"/>
  <c r="W127" i="45"/>
  <c r="X127" i="45"/>
  <c r="Y127" i="45"/>
  <c r="AA127" i="45"/>
  <c r="AB127" i="45"/>
  <c r="AA128" i="45"/>
  <c r="AB128" i="45"/>
  <c r="AA129" i="45"/>
  <c r="AB129" i="45"/>
  <c r="AA130" i="45"/>
  <c r="AB130" i="45"/>
  <c r="AA131" i="45"/>
  <c r="AB131" i="45"/>
  <c r="AA132" i="45"/>
  <c r="AB132" i="45"/>
  <c r="AA133" i="45"/>
  <c r="AB133" i="45"/>
  <c r="AA134" i="45"/>
  <c r="AB134" i="45"/>
  <c r="F135" i="45"/>
  <c r="G135" i="45"/>
  <c r="H135" i="45"/>
  <c r="I135" i="45"/>
  <c r="J135" i="45"/>
  <c r="K135" i="45"/>
  <c r="L135" i="45"/>
  <c r="M135" i="45"/>
  <c r="N135" i="45"/>
  <c r="O135" i="45"/>
  <c r="P135" i="45"/>
  <c r="Q135" i="45"/>
  <c r="R135" i="45"/>
  <c r="S135" i="45"/>
  <c r="T135" i="45"/>
  <c r="U135" i="45"/>
  <c r="V135" i="45"/>
  <c r="W135" i="45"/>
  <c r="X135" i="45"/>
  <c r="Y135" i="45"/>
  <c r="AA135" i="45"/>
  <c r="AB135" i="45"/>
  <c r="AA136" i="45"/>
  <c r="AB136" i="45"/>
  <c r="F137" i="45"/>
  <c r="G137" i="45"/>
  <c r="H137" i="45"/>
  <c r="I137" i="45"/>
  <c r="J137" i="45"/>
  <c r="K137" i="45"/>
  <c r="L137" i="45"/>
  <c r="M137" i="45"/>
  <c r="N137" i="45"/>
  <c r="O137" i="45"/>
  <c r="P137" i="45"/>
  <c r="Q137" i="45"/>
  <c r="R137" i="45"/>
  <c r="S137" i="45"/>
  <c r="T137" i="45"/>
  <c r="U137" i="45"/>
  <c r="V137" i="45"/>
  <c r="W137" i="45"/>
  <c r="X137" i="45"/>
  <c r="Y137" i="45"/>
  <c r="AA137" i="45"/>
  <c r="AB137" i="45"/>
  <c r="F138" i="45"/>
  <c r="G138" i="45"/>
  <c r="H138" i="45"/>
  <c r="I138" i="45"/>
  <c r="J138" i="45"/>
  <c r="K138" i="45"/>
  <c r="L138" i="45"/>
  <c r="M138" i="45"/>
  <c r="N138" i="45"/>
  <c r="O138" i="45"/>
  <c r="P138" i="45"/>
  <c r="Q138" i="45"/>
  <c r="R138" i="45"/>
  <c r="S138" i="45"/>
  <c r="T138" i="45"/>
  <c r="U138" i="45"/>
  <c r="V138" i="45"/>
  <c r="W138" i="45"/>
  <c r="X138" i="45"/>
  <c r="Y138" i="45"/>
  <c r="AA138" i="45"/>
  <c r="AB138" i="45"/>
  <c r="F139" i="45"/>
  <c r="G139" i="45"/>
  <c r="H139" i="45"/>
  <c r="I139" i="45"/>
  <c r="J139" i="45"/>
  <c r="K139" i="45"/>
  <c r="L139" i="45"/>
  <c r="M139" i="45"/>
  <c r="N139" i="45"/>
  <c r="O139" i="45"/>
  <c r="P139" i="45"/>
  <c r="Q139" i="45"/>
  <c r="R139" i="45"/>
  <c r="S139" i="45"/>
  <c r="T139" i="45"/>
  <c r="U139" i="45"/>
  <c r="V139" i="45"/>
  <c r="W139" i="45"/>
  <c r="X139" i="45"/>
  <c r="Y139" i="45"/>
  <c r="AA139" i="45"/>
  <c r="AB139" i="45"/>
  <c r="C140" i="45"/>
  <c r="F140" i="45"/>
  <c r="G140" i="45"/>
  <c r="H140" i="45"/>
  <c r="I140" i="45"/>
  <c r="J140" i="45"/>
  <c r="K140" i="45"/>
  <c r="L140" i="45"/>
  <c r="M140" i="45"/>
  <c r="N140" i="45"/>
  <c r="O140" i="45"/>
  <c r="P140" i="45"/>
  <c r="Q140" i="45"/>
  <c r="R140" i="45"/>
  <c r="S140" i="45"/>
  <c r="T140" i="45"/>
  <c r="U140" i="45"/>
  <c r="V140" i="45"/>
  <c r="W140" i="45"/>
  <c r="X140" i="45"/>
  <c r="Y140" i="45"/>
  <c r="AA140" i="45"/>
  <c r="AB140" i="45"/>
  <c r="C141" i="45"/>
  <c r="F141" i="45"/>
  <c r="G141" i="45"/>
  <c r="H141" i="45"/>
  <c r="I141" i="45"/>
  <c r="J141" i="45"/>
  <c r="K141" i="45"/>
  <c r="L141" i="45"/>
  <c r="M141" i="45"/>
  <c r="N141" i="45"/>
  <c r="O141" i="45"/>
  <c r="P141" i="45"/>
  <c r="Q141" i="45"/>
  <c r="R141" i="45"/>
  <c r="S141" i="45"/>
  <c r="T141" i="45"/>
  <c r="U141" i="45"/>
  <c r="V141" i="45"/>
  <c r="W141" i="45"/>
  <c r="X141" i="45"/>
  <c r="Y141" i="45"/>
  <c r="AA141" i="45"/>
  <c r="AB141" i="45"/>
  <c r="F142" i="45"/>
  <c r="G142" i="45"/>
  <c r="H142" i="45"/>
  <c r="I142" i="45"/>
  <c r="J142" i="45"/>
  <c r="K142" i="45"/>
  <c r="L142" i="45"/>
  <c r="M142" i="45"/>
  <c r="N142" i="45"/>
  <c r="O142" i="45"/>
  <c r="P142" i="45"/>
  <c r="Q142" i="45"/>
  <c r="R142" i="45"/>
  <c r="S142" i="45"/>
  <c r="T142" i="45"/>
  <c r="U142" i="45"/>
  <c r="V142" i="45"/>
  <c r="W142" i="45"/>
  <c r="X142" i="45"/>
  <c r="Y142" i="45"/>
  <c r="AA142" i="45"/>
  <c r="AB142" i="45"/>
  <c r="AA143" i="45"/>
  <c r="AB143" i="45"/>
  <c r="A144" i="45"/>
  <c r="F144" i="45"/>
  <c r="G144" i="45"/>
  <c r="H144" i="45"/>
  <c r="I144" i="45"/>
  <c r="J144" i="45"/>
  <c r="K144" i="45"/>
  <c r="L144" i="45"/>
  <c r="M144" i="45"/>
  <c r="N144" i="45"/>
  <c r="O144" i="45"/>
  <c r="P144" i="45"/>
  <c r="Q144" i="45"/>
  <c r="R144" i="45"/>
  <c r="S144" i="45"/>
  <c r="T144" i="45"/>
  <c r="U144" i="45"/>
  <c r="V144" i="45"/>
  <c r="W144" i="45"/>
  <c r="X144" i="45"/>
  <c r="Y144" i="45"/>
  <c r="AA144" i="45"/>
  <c r="AB144" i="45"/>
  <c r="F145" i="45"/>
  <c r="G145" i="45"/>
  <c r="H145" i="45"/>
  <c r="I145" i="45"/>
  <c r="J145" i="45"/>
  <c r="K145" i="45"/>
  <c r="L145" i="45"/>
  <c r="M145" i="45"/>
  <c r="N145" i="45"/>
  <c r="O145" i="45"/>
  <c r="P145" i="45"/>
  <c r="Q145" i="45"/>
  <c r="R145" i="45"/>
  <c r="S145" i="45"/>
  <c r="T145" i="45"/>
  <c r="U145" i="45"/>
  <c r="V145" i="45"/>
  <c r="W145" i="45"/>
  <c r="X145" i="45"/>
  <c r="Y145" i="45"/>
  <c r="AA145" i="45"/>
  <c r="AB145" i="45"/>
  <c r="AA146" i="45"/>
  <c r="AB146" i="45"/>
  <c r="AA147" i="45"/>
  <c r="AB147" i="45"/>
  <c r="AA148" i="45"/>
  <c r="AB148" i="45"/>
  <c r="AA149" i="45"/>
  <c r="AB149" i="45"/>
  <c r="A150" i="45"/>
  <c r="F150" i="45"/>
  <c r="G150" i="45"/>
  <c r="H150" i="45"/>
  <c r="I150" i="45"/>
  <c r="J150" i="45"/>
  <c r="K150" i="45"/>
  <c r="L150" i="45"/>
  <c r="M150" i="45"/>
  <c r="N150" i="45"/>
  <c r="O150" i="45"/>
  <c r="P150" i="45"/>
  <c r="Q150" i="45"/>
  <c r="R150" i="45"/>
  <c r="S150" i="45"/>
  <c r="T150" i="45"/>
  <c r="U150" i="45"/>
  <c r="V150" i="45"/>
  <c r="W150" i="45"/>
  <c r="X150" i="45"/>
  <c r="Y150" i="45"/>
  <c r="AA150" i="45"/>
  <c r="AB150" i="45"/>
  <c r="AA151" i="45"/>
  <c r="AB151" i="45"/>
  <c r="F152" i="45"/>
  <c r="G152" i="45"/>
  <c r="H152" i="45"/>
  <c r="I152" i="45"/>
  <c r="J152" i="45"/>
  <c r="K152" i="45"/>
  <c r="L152" i="45"/>
  <c r="M152" i="45"/>
  <c r="N152" i="45"/>
  <c r="O152" i="45"/>
  <c r="P152" i="45"/>
  <c r="Q152" i="45"/>
  <c r="R152" i="45"/>
  <c r="S152" i="45"/>
  <c r="T152" i="45"/>
  <c r="U152" i="45"/>
  <c r="V152" i="45"/>
  <c r="W152" i="45"/>
  <c r="X152" i="45"/>
  <c r="Y152" i="45"/>
  <c r="AA152" i="45"/>
  <c r="C155" i="45"/>
  <c r="C156" i="45"/>
  <c r="D160" i="45"/>
  <c r="D162" i="45"/>
  <c r="D163" i="45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AA10" i="43"/>
  <c r="AB10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AA11" i="43"/>
  <c r="AB11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AA12" i="43"/>
  <c r="AB12" i="43"/>
  <c r="AA13" i="43"/>
  <c r="AB13" i="43"/>
  <c r="AA14" i="43"/>
  <c r="AB14" i="43"/>
  <c r="AA15" i="43"/>
  <c r="AB15" i="43"/>
  <c r="AA16" i="43"/>
  <c r="AB16" i="43"/>
  <c r="AA17" i="43"/>
  <c r="AB17" i="43"/>
  <c r="AA18" i="43"/>
  <c r="AB18" i="43"/>
  <c r="AA19" i="43"/>
  <c r="AB19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AA20" i="43"/>
  <c r="AB20" i="43"/>
  <c r="AA21" i="43"/>
  <c r="AB21" i="43"/>
  <c r="AA22" i="43"/>
  <c r="AB22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AA23" i="43"/>
  <c r="AB23" i="43"/>
  <c r="AA24" i="43"/>
  <c r="AB24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AA25" i="43"/>
  <c r="AB25" i="43"/>
  <c r="AA26" i="43"/>
  <c r="AB26" i="43"/>
  <c r="AA27" i="43"/>
  <c r="AB27" i="43"/>
  <c r="AA28" i="43"/>
  <c r="AB28" i="43"/>
  <c r="AA29" i="43"/>
  <c r="AB29" i="43"/>
  <c r="AA30" i="43"/>
  <c r="AB30" i="43"/>
  <c r="AA31" i="43"/>
  <c r="AB31" i="43"/>
  <c r="AA32" i="43"/>
  <c r="AB32" i="43"/>
  <c r="AA33" i="43"/>
  <c r="AB33" i="43"/>
  <c r="AA34" i="43"/>
  <c r="AB34" i="43"/>
  <c r="AA35" i="43"/>
  <c r="AB35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AA36" i="43"/>
  <c r="AB36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AA37" i="43"/>
  <c r="AB37" i="43"/>
  <c r="AA38" i="43"/>
  <c r="AB38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AA39" i="43"/>
  <c r="AB39" i="43"/>
  <c r="AA40" i="43"/>
  <c r="AB40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AA41" i="43"/>
  <c r="AB41" i="43"/>
  <c r="AA42" i="43"/>
  <c r="AB42" i="43"/>
  <c r="AA43" i="43"/>
  <c r="AB43" i="43"/>
  <c r="E44" i="43"/>
  <c r="F44" i="43"/>
  <c r="G44" i="43"/>
  <c r="H44" i="43"/>
  <c r="I44" i="43"/>
  <c r="J44" i="43"/>
  <c r="K44" i="43"/>
  <c r="L44" i="43"/>
  <c r="M44" i="43"/>
  <c r="N44" i="43"/>
  <c r="O44" i="43"/>
  <c r="P44" i="43"/>
  <c r="Q44" i="43"/>
  <c r="R44" i="43"/>
  <c r="S44" i="43"/>
  <c r="T44" i="43"/>
  <c r="U44" i="43"/>
  <c r="V44" i="43"/>
  <c r="W44" i="43"/>
  <c r="X44" i="43"/>
  <c r="Y44" i="43"/>
  <c r="AA44" i="43"/>
  <c r="AB44" i="43"/>
  <c r="AA45" i="43"/>
  <c r="AB45" i="43"/>
  <c r="AA46" i="43"/>
  <c r="AB46" i="43"/>
  <c r="AA47" i="43"/>
  <c r="AB47" i="43"/>
  <c r="AA48" i="43"/>
  <c r="AB48" i="43"/>
  <c r="E49" i="43"/>
  <c r="F49" i="43"/>
  <c r="G49" i="43"/>
  <c r="H49" i="43"/>
  <c r="I49" i="43"/>
  <c r="J49" i="43"/>
  <c r="K49" i="43"/>
  <c r="L49" i="43"/>
  <c r="M49" i="43"/>
  <c r="N49" i="43"/>
  <c r="O49" i="43"/>
  <c r="P49" i="43"/>
  <c r="Q49" i="43"/>
  <c r="R49" i="43"/>
  <c r="S49" i="43"/>
  <c r="T49" i="43"/>
  <c r="U49" i="43"/>
  <c r="V49" i="43"/>
  <c r="W49" i="43"/>
  <c r="X49" i="43"/>
  <c r="Y49" i="43"/>
  <c r="AA49" i="43"/>
  <c r="AB49" i="43"/>
  <c r="AA50" i="43"/>
  <c r="AB50" i="43"/>
  <c r="E51" i="43"/>
  <c r="F51" i="43"/>
  <c r="G51" i="43"/>
  <c r="H51" i="43"/>
  <c r="I51" i="43"/>
  <c r="J51" i="43"/>
  <c r="K51" i="43"/>
  <c r="L51" i="43"/>
  <c r="M51" i="43"/>
  <c r="N51" i="43"/>
  <c r="O51" i="43"/>
  <c r="P51" i="43"/>
  <c r="Q51" i="43"/>
  <c r="R51" i="43"/>
  <c r="S51" i="43"/>
  <c r="T51" i="43"/>
  <c r="U51" i="43"/>
  <c r="V51" i="43"/>
  <c r="W51" i="43"/>
  <c r="X51" i="43"/>
  <c r="Y51" i="43"/>
  <c r="AA51" i="43"/>
  <c r="AB51" i="43"/>
  <c r="E52" i="43"/>
  <c r="F52" i="43"/>
  <c r="G52" i="43"/>
  <c r="H52" i="43"/>
  <c r="I52" i="43"/>
  <c r="J52" i="43"/>
  <c r="K52" i="43"/>
  <c r="L52" i="43"/>
  <c r="M52" i="43"/>
  <c r="N52" i="43"/>
  <c r="O52" i="43"/>
  <c r="P52" i="43"/>
  <c r="Q52" i="43"/>
  <c r="R52" i="43"/>
  <c r="S52" i="43"/>
  <c r="T52" i="43"/>
  <c r="U52" i="43"/>
  <c r="V52" i="43"/>
  <c r="W52" i="43"/>
  <c r="X52" i="43"/>
  <c r="Y52" i="43"/>
  <c r="AA52" i="43"/>
  <c r="AB52" i="43"/>
  <c r="AA53" i="43"/>
  <c r="AB53" i="43"/>
  <c r="E54" i="43"/>
  <c r="F54" i="43"/>
  <c r="G54" i="43"/>
  <c r="H54" i="43"/>
  <c r="I54" i="43"/>
  <c r="J54" i="43"/>
  <c r="K54" i="43"/>
  <c r="L54" i="43"/>
  <c r="M54" i="43"/>
  <c r="N54" i="43"/>
  <c r="O54" i="43"/>
  <c r="P54" i="43"/>
  <c r="Q54" i="43"/>
  <c r="R54" i="43"/>
  <c r="S54" i="43"/>
  <c r="T54" i="43"/>
  <c r="U54" i="43"/>
  <c r="V54" i="43"/>
  <c r="W54" i="43"/>
  <c r="X54" i="43"/>
  <c r="Y54" i="43"/>
  <c r="AA54" i="43"/>
  <c r="AB54" i="43"/>
  <c r="AA55" i="43"/>
  <c r="AB55" i="43"/>
  <c r="AA56" i="43"/>
  <c r="AB56" i="43"/>
  <c r="AA57" i="43"/>
  <c r="AB57" i="43"/>
  <c r="AA58" i="43"/>
  <c r="AB58" i="43"/>
  <c r="AA59" i="43"/>
  <c r="AB59" i="43"/>
  <c r="AA60" i="43"/>
  <c r="AB60" i="43"/>
  <c r="AA61" i="43"/>
  <c r="AB61" i="43"/>
  <c r="E62" i="43"/>
  <c r="F62" i="43"/>
  <c r="G62" i="43"/>
  <c r="H62" i="43"/>
  <c r="I62" i="43"/>
  <c r="J62" i="43"/>
  <c r="K62" i="43"/>
  <c r="L62" i="43"/>
  <c r="M62" i="43"/>
  <c r="N62" i="43"/>
  <c r="O62" i="43"/>
  <c r="P62" i="43"/>
  <c r="Q62" i="43"/>
  <c r="R62" i="43"/>
  <c r="S62" i="43"/>
  <c r="T62" i="43"/>
  <c r="U62" i="43"/>
  <c r="V62" i="43"/>
  <c r="W62" i="43"/>
  <c r="X62" i="43"/>
  <c r="Y62" i="43"/>
  <c r="AA62" i="43"/>
  <c r="AB62" i="43"/>
  <c r="AA63" i="43"/>
  <c r="AB63" i="43"/>
  <c r="E64" i="43"/>
  <c r="F64" i="43"/>
  <c r="G64" i="43"/>
  <c r="H64" i="43"/>
  <c r="I64" i="43"/>
  <c r="J64" i="43"/>
  <c r="K64" i="43"/>
  <c r="L64" i="43"/>
  <c r="M64" i="43"/>
  <c r="N64" i="43"/>
  <c r="O64" i="43"/>
  <c r="P64" i="43"/>
  <c r="Q64" i="43"/>
  <c r="R64" i="43"/>
  <c r="S64" i="43"/>
  <c r="T64" i="43"/>
  <c r="U64" i="43"/>
  <c r="V64" i="43"/>
  <c r="W64" i="43"/>
  <c r="X64" i="43"/>
  <c r="Y64" i="43"/>
  <c r="AA64" i="43"/>
  <c r="AB64" i="43"/>
  <c r="AA65" i="43"/>
  <c r="AB65" i="43"/>
  <c r="AA66" i="43"/>
  <c r="AB66" i="43"/>
  <c r="AA67" i="43"/>
  <c r="AB67" i="43"/>
  <c r="AA68" i="43"/>
  <c r="AB68" i="43"/>
  <c r="E69" i="43"/>
  <c r="F69" i="43"/>
  <c r="G69" i="43"/>
  <c r="H69" i="43"/>
  <c r="I69" i="43"/>
  <c r="J69" i="43"/>
  <c r="K69" i="43"/>
  <c r="L69" i="43"/>
  <c r="M69" i="43"/>
  <c r="N69" i="43"/>
  <c r="O69" i="43"/>
  <c r="P69" i="43"/>
  <c r="Q69" i="43"/>
  <c r="R69" i="43"/>
  <c r="S69" i="43"/>
  <c r="T69" i="43"/>
  <c r="U69" i="43"/>
  <c r="V69" i="43"/>
  <c r="W69" i="43"/>
  <c r="X69" i="43"/>
  <c r="Y69" i="43"/>
  <c r="AA69" i="43"/>
  <c r="AB69" i="43"/>
  <c r="AA70" i="43"/>
  <c r="AB70" i="43"/>
  <c r="E71" i="43"/>
  <c r="F71" i="43"/>
  <c r="G71" i="43"/>
  <c r="H71" i="43"/>
  <c r="I71" i="43"/>
  <c r="J71" i="43"/>
  <c r="K71" i="43"/>
  <c r="L71" i="43"/>
  <c r="M71" i="43"/>
  <c r="N71" i="43"/>
  <c r="O71" i="43"/>
  <c r="P71" i="43"/>
  <c r="Q71" i="43"/>
  <c r="R71" i="43"/>
  <c r="S71" i="43"/>
  <c r="T71" i="43"/>
  <c r="U71" i="43"/>
  <c r="V71" i="43"/>
  <c r="W71" i="43"/>
  <c r="X71" i="43"/>
  <c r="Y71" i="43"/>
  <c r="AA71" i="43"/>
  <c r="AB71" i="43"/>
  <c r="AA72" i="43"/>
  <c r="AB72" i="43"/>
  <c r="E73" i="43"/>
  <c r="F73" i="43"/>
  <c r="G73" i="43"/>
  <c r="H73" i="43"/>
  <c r="I73" i="43"/>
  <c r="J73" i="43"/>
  <c r="K73" i="43"/>
  <c r="L73" i="43"/>
  <c r="M73" i="43"/>
  <c r="N73" i="43"/>
  <c r="O73" i="43"/>
  <c r="P73" i="43"/>
  <c r="Q73" i="43"/>
  <c r="R73" i="43"/>
  <c r="S73" i="43"/>
  <c r="T73" i="43"/>
  <c r="U73" i="43"/>
  <c r="V73" i="43"/>
  <c r="W73" i="43"/>
  <c r="X73" i="43"/>
  <c r="Y73" i="43"/>
  <c r="AA73" i="43"/>
  <c r="AB73" i="43"/>
  <c r="AA74" i="43"/>
  <c r="AB74" i="43"/>
  <c r="AA75" i="43"/>
  <c r="AB75" i="43"/>
  <c r="C76" i="43"/>
  <c r="E76" i="43"/>
  <c r="F76" i="43"/>
  <c r="G76" i="43"/>
  <c r="H76" i="43"/>
  <c r="I76" i="43"/>
  <c r="J76" i="43"/>
  <c r="K76" i="43"/>
  <c r="L76" i="43"/>
  <c r="M76" i="43"/>
  <c r="N76" i="43"/>
  <c r="O76" i="43"/>
  <c r="P76" i="43"/>
  <c r="Q76" i="43"/>
  <c r="R76" i="43"/>
  <c r="S76" i="43"/>
  <c r="T76" i="43"/>
  <c r="U76" i="43"/>
  <c r="V76" i="43"/>
  <c r="W76" i="43"/>
  <c r="X76" i="43"/>
  <c r="Y76" i="43"/>
  <c r="AA76" i="43"/>
  <c r="AB76" i="43"/>
  <c r="C77" i="43"/>
  <c r="E77" i="43"/>
  <c r="F77" i="43"/>
  <c r="G77" i="43"/>
  <c r="H77" i="43"/>
  <c r="I77" i="43"/>
  <c r="J77" i="43"/>
  <c r="K77" i="43"/>
  <c r="L77" i="43"/>
  <c r="M77" i="43"/>
  <c r="N77" i="43"/>
  <c r="O77" i="43"/>
  <c r="P77" i="43"/>
  <c r="Q77" i="43"/>
  <c r="R77" i="43"/>
  <c r="S77" i="43"/>
  <c r="T77" i="43"/>
  <c r="U77" i="43"/>
  <c r="V77" i="43"/>
  <c r="W77" i="43"/>
  <c r="X77" i="43"/>
  <c r="Y77" i="43"/>
  <c r="AA77" i="43"/>
  <c r="AB77" i="43"/>
  <c r="AA78" i="43"/>
  <c r="AB78" i="43"/>
  <c r="AA79" i="43"/>
  <c r="AB79" i="43"/>
  <c r="AA80" i="43"/>
  <c r="AB80" i="43"/>
  <c r="AA81" i="43"/>
  <c r="AB81" i="43"/>
  <c r="AA82" i="43"/>
  <c r="AB82" i="43"/>
  <c r="AA83" i="43"/>
  <c r="AB83" i="43"/>
  <c r="AA84" i="43"/>
  <c r="AB84" i="43"/>
  <c r="AA85" i="43"/>
  <c r="AB85" i="43"/>
  <c r="E86" i="43"/>
  <c r="F86" i="43"/>
  <c r="G86" i="43"/>
  <c r="H86" i="43"/>
  <c r="I86" i="43"/>
  <c r="J86" i="43"/>
  <c r="K86" i="43"/>
  <c r="L86" i="43"/>
  <c r="M86" i="43"/>
  <c r="N86" i="43"/>
  <c r="O86" i="43"/>
  <c r="P86" i="43"/>
  <c r="Q86" i="43"/>
  <c r="R86" i="43"/>
  <c r="S86" i="43"/>
  <c r="T86" i="43"/>
  <c r="U86" i="43"/>
  <c r="V86" i="43"/>
  <c r="W86" i="43"/>
  <c r="X86" i="43"/>
  <c r="Y86" i="43"/>
  <c r="AA86" i="43"/>
  <c r="AB86" i="43"/>
  <c r="AA87" i="43"/>
  <c r="AB87" i="43"/>
  <c r="F88" i="43"/>
  <c r="G88" i="43"/>
  <c r="H88" i="43"/>
  <c r="I88" i="43"/>
  <c r="J88" i="43"/>
  <c r="K88" i="43"/>
  <c r="L88" i="43"/>
  <c r="M88" i="43"/>
  <c r="N88" i="43"/>
  <c r="O88" i="43"/>
  <c r="P88" i="43"/>
  <c r="Q88" i="43"/>
  <c r="R88" i="43"/>
  <c r="S88" i="43"/>
  <c r="T88" i="43"/>
  <c r="U88" i="43"/>
  <c r="V88" i="43"/>
  <c r="W88" i="43"/>
  <c r="X88" i="43"/>
  <c r="Y88" i="43"/>
  <c r="AA88" i="43"/>
  <c r="AB88" i="43"/>
  <c r="F89" i="43"/>
  <c r="G89" i="43"/>
  <c r="H89" i="43"/>
  <c r="I89" i="43"/>
  <c r="J89" i="43"/>
  <c r="K89" i="43"/>
  <c r="L89" i="43"/>
  <c r="M89" i="43"/>
  <c r="N89" i="43"/>
  <c r="O89" i="43"/>
  <c r="P89" i="43"/>
  <c r="Q89" i="43"/>
  <c r="R89" i="43"/>
  <c r="S89" i="43"/>
  <c r="T89" i="43"/>
  <c r="U89" i="43"/>
  <c r="V89" i="43"/>
  <c r="W89" i="43"/>
  <c r="X89" i="43"/>
  <c r="Y89" i="43"/>
  <c r="AA89" i="43"/>
  <c r="AB89" i="43"/>
  <c r="F90" i="43"/>
  <c r="G90" i="43"/>
  <c r="H90" i="43"/>
  <c r="I90" i="43"/>
  <c r="J90" i="43"/>
  <c r="K90" i="43"/>
  <c r="L90" i="43"/>
  <c r="M90" i="43"/>
  <c r="N90" i="43"/>
  <c r="O90" i="43"/>
  <c r="P90" i="43"/>
  <c r="Q90" i="43"/>
  <c r="R90" i="43"/>
  <c r="S90" i="43"/>
  <c r="T90" i="43"/>
  <c r="U90" i="43"/>
  <c r="V90" i="43"/>
  <c r="W90" i="43"/>
  <c r="X90" i="43"/>
  <c r="Y90" i="43"/>
  <c r="AA90" i="43"/>
  <c r="AB90" i="43"/>
  <c r="T91" i="43"/>
  <c r="AA91" i="43"/>
  <c r="AB91" i="43"/>
  <c r="F92" i="43"/>
  <c r="G92" i="43"/>
  <c r="H92" i="43"/>
  <c r="I92" i="43"/>
  <c r="J92" i="43"/>
  <c r="K92" i="43"/>
  <c r="L92" i="43"/>
  <c r="M92" i="43"/>
  <c r="N92" i="43"/>
  <c r="O92" i="43"/>
  <c r="P92" i="43"/>
  <c r="Q92" i="43"/>
  <c r="R92" i="43"/>
  <c r="S92" i="43"/>
  <c r="T92" i="43"/>
  <c r="U92" i="43"/>
  <c r="V92" i="43"/>
  <c r="W92" i="43"/>
  <c r="X92" i="43"/>
  <c r="Y92" i="43"/>
  <c r="AA92" i="43"/>
  <c r="AB92" i="43"/>
  <c r="AA93" i="43"/>
  <c r="AB93" i="43"/>
  <c r="AA94" i="43"/>
  <c r="AB94" i="43"/>
  <c r="E95" i="43"/>
  <c r="Y95" i="43"/>
  <c r="AA95" i="43"/>
  <c r="AB95" i="43"/>
  <c r="AA96" i="43"/>
  <c r="AB96" i="43"/>
  <c r="Y97" i="43"/>
  <c r="AA97" i="43"/>
  <c r="AB97" i="43"/>
  <c r="AA98" i="43"/>
  <c r="AB98" i="43"/>
  <c r="Y99" i="43"/>
  <c r="AA99" i="43"/>
  <c r="AB99" i="43"/>
  <c r="AA100" i="43"/>
  <c r="AB100" i="43"/>
  <c r="AA101" i="43"/>
  <c r="AB101" i="43"/>
  <c r="D102" i="43"/>
  <c r="AA102" i="43"/>
  <c r="AB102" i="43"/>
  <c r="D103" i="43"/>
  <c r="AA103" i="43"/>
  <c r="AB103" i="43"/>
  <c r="AA104" i="43"/>
  <c r="AB104" i="43"/>
  <c r="D105" i="43"/>
  <c r="AA105" i="43"/>
  <c r="AB105" i="43"/>
  <c r="AA106" i="43"/>
  <c r="AB106" i="43"/>
  <c r="F107" i="43"/>
  <c r="G107" i="43"/>
  <c r="H107" i="43"/>
  <c r="I107" i="43"/>
  <c r="J107" i="43"/>
  <c r="K107" i="43"/>
  <c r="L107" i="43"/>
  <c r="M107" i="43"/>
  <c r="N107" i="43"/>
  <c r="O107" i="43"/>
  <c r="P107" i="43"/>
  <c r="Q107" i="43"/>
  <c r="R107" i="43"/>
  <c r="S107" i="43"/>
  <c r="T107" i="43"/>
  <c r="U107" i="43"/>
  <c r="V107" i="43"/>
  <c r="W107" i="43"/>
  <c r="X107" i="43"/>
  <c r="Y107" i="43"/>
  <c r="AA107" i="43"/>
  <c r="AB107" i="43"/>
  <c r="AA108" i="43"/>
  <c r="AB108" i="43"/>
  <c r="D109" i="43"/>
  <c r="F109" i="43"/>
  <c r="G109" i="43"/>
  <c r="H109" i="43"/>
  <c r="I109" i="43"/>
  <c r="J109" i="43"/>
  <c r="K109" i="43"/>
  <c r="L109" i="43"/>
  <c r="M109" i="43"/>
  <c r="N109" i="43"/>
  <c r="O109" i="43"/>
  <c r="P109" i="43"/>
  <c r="Q109" i="43"/>
  <c r="R109" i="43"/>
  <c r="S109" i="43"/>
  <c r="T109" i="43"/>
  <c r="AA109" i="43"/>
  <c r="AB109" i="43"/>
  <c r="D110" i="43"/>
  <c r="F110" i="43"/>
  <c r="G110" i="43"/>
  <c r="H110" i="43"/>
  <c r="I110" i="43"/>
  <c r="J110" i="43"/>
  <c r="K110" i="43"/>
  <c r="L110" i="43"/>
  <c r="M110" i="43"/>
  <c r="N110" i="43"/>
  <c r="O110" i="43"/>
  <c r="P110" i="43"/>
  <c r="Q110" i="43"/>
  <c r="R110" i="43"/>
  <c r="S110" i="43"/>
  <c r="T110" i="43"/>
  <c r="AA110" i="43"/>
  <c r="AB110" i="43"/>
  <c r="AA111" i="43"/>
  <c r="AB111" i="43"/>
  <c r="AA112" i="43"/>
  <c r="AB112" i="43"/>
  <c r="D113" i="43"/>
  <c r="AA113" i="43"/>
  <c r="AB113" i="43"/>
  <c r="AA114" i="43"/>
  <c r="AB114" i="43"/>
  <c r="F115" i="43"/>
  <c r="G115" i="43"/>
  <c r="H115" i="43"/>
  <c r="I115" i="43"/>
  <c r="J115" i="43"/>
  <c r="K115" i="43"/>
  <c r="L115" i="43"/>
  <c r="M115" i="43"/>
  <c r="N115" i="43"/>
  <c r="O115" i="43"/>
  <c r="P115" i="43"/>
  <c r="Q115" i="43"/>
  <c r="R115" i="43"/>
  <c r="S115" i="43"/>
  <c r="T115" i="43"/>
  <c r="AA115" i="43"/>
  <c r="AB115" i="43"/>
  <c r="D116" i="43"/>
  <c r="F116" i="43"/>
  <c r="G116" i="43"/>
  <c r="H116" i="43"/>
  <c r="I116" i="43"/>
  <c r="J116" i="43"/>
  <c r="K116" i="43"/>
  <c r="L116" i="43"/>
  <c r="M116" i="43"/>
  <c r="N116" i="43"/>
  <c r="O116" i="43"/>
  <c r="P116" i="43"/>
  <c r="Q116" i="43"/>
  <c r="R116" i="43"/>
  <c r="S116" i="43"/>
  <c r="T116" i="43"/>
  <c r="AA116" i="43"/>
  <c r="AB116" i="43"/>
  <c r="AA117" i="43"/>
  <c r="AB117" i="43"/>
  <c r="AA118" i="43"/>
  <c r="AB118" i="43"/>
  <c r="F119" i="43"/>
  <c r="G119" i="43"/>
  <c r="H119" i="43"/>
  <c r="I119" i="43"/>
  <c r="J119" i="43"/>
  <c r="K119" i="43"/>
  <c r="L119" i="43"/>
  <c r="M119" i="43"/>
  <c r="N119" i="43"/>
  <c r="O119" i="43"/>
  <c r="P119" i="43"/>
  <c r="Q119" i="43"/>
  <c r="R119" i="43"/>
  <c r="S119" i="43"/>
  <c r="T119" i="43"/>
  <c r="U119" i="43"/>
  <c r="V119" i="43"/>
  <c r="W119" i="43"/>
  <c r="X119" i="43"/>
  <c r="Y119" i="43"/>
  <c r="AA119" i="43"/>
  <c r="AB119" i="43"/>
  <c r="AA120" i="43"/>
  <c r="AB120" i="43"/>
  <c r="A121" i="43"/>
  <c r="F121" i="43"/>
  <c r="G121" i="43"/>
  <c r="H121" i="43"/>
  <c r="I121" i="43"/>
  <c r="J121" i="43"/>
  <c r="K121" i="43"/>
  <c r="L121" i="43"/>
  <c r="M121" i="43"/>
  <c r="N121" i="43"/>
  <c r="O121" i="43"/>
  <c r="P121" i="43"/>
  <c r="Q121" i="43"/>
  <c r="R121" i="43"/>
  <c r="S121" i="43"/>
  <c r="T121" i="43"/>
  <c r="U121" i="43"/>
  <c r="V121" i="43"/>
  <c r="W121" i="43"/>
  <c r="X121" i="43"/>
  <c r="Y121" i="43"/>
  <c r="AA121" i="43"/>
  <c r="AB121" i="43"/>
  <c r="F122" i="43"/>
  <c r="G122" i="43"/>
  <c r="H122" i="43"/>
  <c r="I122" i="43"/>
  <c r="J122" i="43"/>
  <c r="K122" i="43"/>
  <c r="L122" i="43"/>
  <c r="M122" i="43"/>
  <c r="N122" i="43"/>
  <c r="O122" i="43"/>
  <c r="P122" i="43"/>
  <c r="Q122" i="43"/>
  <c r="R122" i="43"/>
  <c r="S122" i="43"/>
  <c r="T122" i="43"/>
  <c r="U122" i="43"/>
  <c r="V122" i="43"/>
  <c r="W122" i="43"/>
  <c r="X122" i="43"/>
  <c r="Y122" i="43"/>
  <c r="AA122" i="43"/>
  <c r="AB122" i="43"/>
  <c r="F123" i="43"/>
  <c r="G123" i="43"/>
  <c r="H123" i="43"/>
  <c r="I123" i="43"/>
  <c r="J123" i="43"/>
  <c r="K123" i="43"/>
  <c r="L123" i="43"/>
  <c r="M123" i="43"/>
  <c r="N123" i="43"/>
  <c r="O123" i="43"/>
  <c r="P123" i="43"/>
  <c r="Q123" i="43"/>
  <c r="R123" i="43"/>
  <c r="S123" i="43"/>
  <c r="T123" i="43"/>
  <c r="U123" i="43"/>
  <c r="V123" i="43"/>
  <c r="W123" i="43"/>
  <c r="X123" i="43"/>
  <c r="Y123" i="43"/>
  <c r="AA123" i="43"/>
  <c r="AB123" i="43"/>
  <c r="F124" i="43"/>
  <c r="G124" i="43"/>
  <c r="H124" i="43"/>
  <c r="I124" i="43"/>
  <c r="J124" i="43"/>
  <c r="K124" i="43"/>
  <c r="L124" i="43"/>
  <c r="M124" i="43"/>
  <c r="N124" i="43"/>
  <c r="O124" i="43"/>
  <c r="P124" i="43"/>
  <c r="Q124" i="43"/>
  <c r="R124" i="43"/>
  <c r="S124" i="43"/>
  <c r="T124" i="43"/>
  <c r="U124" i="43"/>
  <c r="V124" i="43"/>
  <c r="W124" i="43"/>
  <c r="X124" i="43"/>
  <c r="Y124" i="43"/>
  <c r="AA124" i="43"/>
  <c r="AB124" i="43"/>
  <c r="AA125" i="43"/>
  <c r="AB125" i="43"/>
  <c r="C126" i="43"/>
  <c r="F126" i="43"/>
  <c r="G126" i="43"/>
  <c r="H126" i="43"/>
  <c r="I126" i="43"/>
  <c r="J126" i="43"/>
  <c r="K126" i="43"/>
  <c r="L126" i="43"/>
  <c r="M126" i="43"/>
  <c r="N126" i="43"/>
  <c r="O126" i="43"/>
  <c r="P126" i="43"/>
  <c r="Q126" i="43"/>
  <c r="R126" i="43"/>
  <c r="S126" i="43"/>
  <c r="T126" i="43"/>
  <c r="U126" i="43"/>
  <c r="V126" i="43"/>
  <c r="W126" i="43"/>
  <c r="X126" i="43"/>
  <c r="Y126" i="43"/>
  <c r="AA126" i="43"/>
  <c r="AB126" i="43"/>
  <c r="C127" i="43"/>
  <c r="F127" i="43"/>
  <c r="G127" i="43"/>
  <c r="H127" i="43"/>
  <c r="I127" i="43"/>
  <c r="J127" i="43"/>
  <c r="K127" i="43"/>
  <c r="L127" i="43"/>
  <c r="M127" i="43"/>
  <c r="N127" i="43"/>
  <c r="O127" i="43"/>
  <c r="P127" i="43"/>
  <c r="Q127" i="43"/>
  <c r="R127" i="43"/>
  <c r="S127" i="43"/>
  <c r="T127" i="43"/>
  <c r="U127" i="43"/>
  <c r="V127" i="43"/>
  <c r="W127" i="43"/>
  <c r="X127" i="43"/>
  <c r="Y127" i="43"/>
  <c r="AA127" i="43"/>
  <c r="AB127" i="43"/>
  <c r="AA128" i="43"/>
  <c r="AB128" i="43"/>
  <c r="AA129" i="43"/>
  <c r="AB129" i="43"/>
  <c r="AA130" i="43"/>
  <c r="AB130" i="43"/>
  <c r="AA131" i="43"/>
  <c r="AB131" i="43"/>
  <c r="AA132" i="43"/>
  <c r="AB132" i="43"/>
  <c r="AA133" i="43"/>
  <c r="AB133" i="43"/>
  <c r="AA134" i="43"/>
  <c r="AB134" i="43"/>
  <c r="F135" i="43"/>
  <c r="G135" i="43"/>
  <c r="H135" i="43"/>
  <c r="I135" i="43"/>
  <c r="J135" i="43"/>
  <c r="K135" i="43"/>
  <c r="L135" i="43"/>
  <c r="M135" i="43"/>
  <c r="N135" i="43"/>
  <c r="O135" i="43"/>
  <c r="P135" i="43"/>
  <c r="Q135" i="43"/>
  <c r="R135" i="43"/>
  <c r="S135" i="43"/>
  <c r="T135" i="43"/>
  <c r="U135" i="43"/>
  <c r="V135" i="43"/>
  <c r="W135" i="43"/>
  <c r="X135" i="43"/>
  <c r="Y135" i="43"/>
  <c r="AA135" i="43"/>
  <c r="AB135" i="43"/>
  <c r="AA136" i="43"/>
  <c r="AB136" i="43"/>
  <c r="F137" i="43"/>
  <c r="G137" i="43"/>
  <c r="H137" i="43"/>
  <c r="I137" i="43"/>
  <c r="J137" i="43"/>
  <c r="K137" i="43"/>
  <c r="L137" i="43"/>
  <c r="M137" i="43"/>
  <c r="N137" i="43"/>
  <c r="O137" i="43"/>
  <c r="P137" i="43"/>
  <c r="Q137" i="43"/>
  <c r="R137" i="43"/>
  <c r="S137" i="43"/>
  <c r="T137" i="43"/>
  <c r="U137" i="43"/>
  <c r="V137" i="43"/>
  <c r="W137" i="43"/>
  <c r="X137" i="43"/>
  <c r="Y137" i="43"/>
  <c r="AA137" i="43"/>
  <c r="AB137" i="43"/>
  <c r="F138" i="43"/>
  <c r="G138" i="43"/>
  <c r="H138" i="43"/>
  <c r="I138" i="43"/>
  <c r="J138" i="43"/>
  <c r="K138" i="43"/>
  <c r="L138" i="43"/>
  <c r="M138" i="43"/>
  <c r="N138" i="43"/>
  <c r="O138" i="43"/>
  <c r="P138" i="43"/>
  <c r="Q138" i="43"/>
  <c r="R138" i="43"/>
  <c r="S138" i="43"/>
  <c r="T138" i="43"/>
  <c r="U138" i="43"/>
  <c r="V138" i="43"/>
  <c r="W138" i="43"/>
  <c r="X138" i="43"/>
  <c r="Y138" i="43"/>
  <c r="AA138" i="43"/>
  <c r="AB138" i="43"/>
  <c r="F139" i="43"/>
  <c r="G139" i="43"/>
  <c r="H139" i="43"/>
  <c r="I139" i="43"/>
  <c r="J139" i="43"/>
  <c r="K139" i="43"/>
  <c r="L139" i="43"/>
  <c r="M139" i="43"/>
  <c r="N139" i="43"/>
  <c r="O139" i="43"/>
  <c r="P139" i="43"/>
  <c r="Q139" i="43"/>
  <c r="R139" i="43"/>
  <c r="S139" i="43"/>
  <c r="T139" i="43"/>
  <c r="U139" i="43"/>
  <c r="V139" i="43"/>
  <c r="W139" i="43"/>
  <c r="X139" i="43"/>
  <c r="Y139" i="43"/>
  <c r="AA139" i="43"/>
  <c r="AB139" i="43"/>
  <c r="C140" i="43"/>
  <c r="F140" i="43"/>
  <c r="G140" i="43"/>
  <c r="H140" i="43"/>
  <c r="I140" i="43"/>
  <c r="J140" i="43"/>
  <c r="K140" i="43"/>
  <c r="L140" i="43"/>
  <c r="M140" i="43"/>
  <c r="N140" i="43"/>
  <c r="O140" i="43"/>
  <c r="P140" i="43"/>
  <c r="Q140" i="43"/>
  <c r="R140" i="43"/>
  <c r="S140" i="43"/>
  <c r="T140" i="43"/>
  <c r="U140" i="43"/>
  <c r="V140" i="43"/>
  <c r="W140" i="43"/>
  <c r="X140" i="43"/>
  <c r="Y140" i="43"/>
  <c r="AA140" i="43"/>
  <c r="AB140" i="43"/>
  <c r="C141" i="43"/>
  <c r="F141" i="43"/>
  <c r="G141" i="43"/>
  <c r="H141" i="43"/>
  <c r="I141" i="43"/>
  <c r="J141" i="43"/>
  <c r="K141" i="43"/>
  <c r="L141" i="43"/>
  <c r="M141" i="43"/>
  <c r="N141" i="43"/>
  <c r="O141" i="43"/>
  <c r="P141" i="43"/>
  <c r="Q141" i="43"/>
  <c r="R141" i="43"/>
  <c r="S141" i="43"/>
  <c r="T141" i="43"/>
  <c r="U141" i="43"/>
  <c r="V141" i="43"/>
  <c r="W141" i="43"/>
  <c r="X141" i="43"/>
  <c r="Y141" i="43"/>
  <c r="AA141" i="43"/>
  <c r="AB141" i="43"/>
  <c r="F142" i="43"/>
  <c r="G142" i="43"/>
  <c r="H142" i="43"/>
  <c r="I142" i="43"/>
  <c r="J142" i="43"/>
  <c r="K142" i="43"/>
  <c r="L142" i="43"/>
  <c r="M142" i="43"/>
  <c r="N142" i="43"/>
  <c r="O142" i="43"/>
  <c r="P142" i="43"/>
  <c r="Q142" i="43"/>
  <c r="R142" i="43"/>
  <c r="S142" i="43"/>
  <c r="T142" i="43"/>
  <c r="U142" i="43"/>
  <c r="V142" i="43"/>
  <c r="W142" i="43"/>
  <c r="X142" i="43"/>
  <c r="Y142" i="43"/>
  <c r="AA142" i="43"/>
  <c r="AB142" i="43"/>
  <c r="AA143" i="43"/>
  <c r="AB143" i="43"/>
  <c r="A144" i="43"/>
  <c r="F144" i="43"/>
  <c r="G144" i="43"/>
  <c r="H144" i="43"/>
  <c r="I144" i="43"/>
  <c r="J144" i="43"/>
  <c r="K144" i="43"/>
  <c r="L144" i="43"/>
  <c r="M144" i="43"/>
  <c r="N144" i="43"/>
  <c r="O144" i="43"/>
  <c r="P144" i="43"/>
  <c r="Q144" i="43"/>
  <c r="R144" i="43"/>
  <c r="S144" i="43"/>
  <c r="T144" i="43"/>
  <c r="U144" i="43"/>
  <c r="V144" i="43"/>
  <c r="W144" i="43"/>
  <c r="X144" i="43"/>
  <c r="Y144" i="43"/>
  <c r="AA144" i="43"/>
  <c r="AB144" i="43"/>
  <c r="F145" i="43"/>
  <c r="G145" i="43"/>
  <c r="H145" i="43"/>
  <c r="I145" i="43"/>
  <c r="J145" i="43"/>
  <c r="K145" i="43"/>
  <c r="L145" i="43"/>
  <c r="M145" i="43"/>
  <c r="N145" i="43"/>
  <c r="O145" i="43"/>
  <c r="P145" i="43"/>
  <c r="Q145" i="43"/>
  <c r="R145" i="43"/>
  <c r="S145" i="43"/>
  <c r="T145" i="43"/>
  <c r="U145" i="43"/>
  <c r="V145" i="43"/>
  <c r="W145" i="43"/>
  <c r="X145" i="43"/>
  <c r="Y145" i="43"/>
  <c r="AA145" i="43"/>
  <c r="AB145" i="43"/>
  <c r="AA146" i="43"/>
  <c r="AB146" i="43"/>
  <c r="AA147" i="43"/>
  <c r="AB147" i="43"/>
  <c r="AA148" i="43"/>
  <c r="AB148" i="43"/>
  <c r="AA149" i="43"/>
  <c r="AB149" i="43"/>
  <c r="A150" i="43"/>
  <c r="F150" i="43"/>
  <c r="G150" i="43"/>
  <c r="H150" i="43"/>
  <c r="I150" i="43"/>
  <c r="J150" i="43"/>
  <c r="K150" i="43"/>
  <c r="L150" i="43"/>
  <c r="M150" i="43"/>
  <c r="N150" i="43"/>
  <c r="O150" i="43"/>
  <c r="P150" i="43"/>
  <c r="Q150" i="43"/>
  <c r="R150" i="43"/>
  <c r="S150" i="43"/>
  <c r="T150" i="43"/>
  <c r="U150" i="43"/>
  <c r="V150" i="43"/>
  <c r="W150" i="43"/>
  <c r="X150" i="43"/>
  <c r="Y150" i="43"/>
  <c r="AA150" i="43"/>
  <c r="AB150" i="43"/>
  <c r="AA151" i="43"/>
  <c r="AB151" i="43"/>
  <c r="F152" i="43"/>
  <c r="G152" i="43"/>
  <c r="H152" i="43"/>
  <c r="I152" i="43"/>
  <c r="J152" i="43"/>
  <c r="K152" i="43"/>
  <c r="L152" i="43"/>
  <c r="M152" i="43"/>
  <c r="N152" i="43"/>
  <c r="O152" i="43"/>
  <c r="P152" i="43"/>
  <c r="Q152" i="43"/>
  <c r="R152" i="43"/>
  <c r="S152" i="43"/>
  <c r="T152" i="43"/>
  <c r="U152" i="43"/>
  <c r="V152" i="43"/>
  <c r="W152" i="43"/>
  <c r="X152" i="43"/>
  <c r="Y152" i="43"/>
  <c r="AA152" i="43"/>
  <c r="C155" i="43"/>
  <c r="C156" i="43"/>
  <c r="D160" i="43"/>
  <c r="D162" i="43"/>
  <c r="D163" i="43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AA10" i="42"/>
  <c r="AB10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AA11" i="42"/>
  <c r="AB11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AA12" i="42"/>
  <c r="AB12" i="42"/>
  <c r="AA13" i="42"/>
  <c r="AB13" i="42"/>
  <c r="AA14" i="42"/>
  <c r="AB14" i="42"/>
  <c r="AA15" i="42"/>
  <c r="AB15" i="42"/>
  <c r="AA16" i="42"/>
  <c r="AB16" i="42"/>
  <c r="AA17" i="42"/>
  <c r="AB17" i="42"/>
  <c r="AA18" i="42"/>
  <c r="AB18" i="42"/>
  <c r="AA19" i="42"/>
  <c r="AB19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AA20" i="42"/>
  <c r="AB20" i="42"/>
  <c r="AA21" i="42"/>
  <c r="AB21" i="42"/>
  <c r="AA22" i="42"/>
  <c r="AB22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AA23" i="42"/>
  <c r="AB23" i="42"/>
  <c r="AA24" i="42"/>
  <c r="AB24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AA25" i="42"/>
  <c r="AB25" i="42"/>
  <c r="AA26" i="42"/>
  <c r="AB26" i="42"/>
  <c r="AA27" i="42"/>
  <c r="AB27" i="42"/>
  <c r="AA28" i="42"/>
  <c r="AB28" i="42"/>
  <c r="AA29" i="42"/>
  <c r="AB29" i="42"/>
  <c r="AA30" i="42"/>
  <c r="AB30" i="42"/>
  <c r="AA31" i="42"/>
  <c r="AB31" i="42"/>
  <c r="AA32" i="42"/>
  <c r="AB32" i="42"/>
  <c r="AA33" i="42"/>
  <c r="AB33" i="42"/>
  <c r="AA34" i="42"/>
  <c r="AB34" i="42"/>
  <c r="AA35" i="42"/>
  <c r="AB35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AA36" i="42"/>
  <c r="AB36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AA37" i="42"/>
  <c r="AB37" i="42"/>
  <c r="AA38" i="42"/>
  <c r="AB38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AA39" i="42"/>
  <c r="AB39" i="42"/>
  <c r="AA40" i="42"/>
  <c r="AB40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AA41" i="42"/>
  <c r="AB41" i="42"/>
  <c r="AA42" i="42"/>
  <c r="AB42" i="42"/>
  <c r="AA43" i="42"/>
  <c r="AB43" i="42"/>
  <c r="E44" i="42"/>
  <c r="F44" i="42"/>
  <c r="G44" i="42"/>
  <c r="H44" i="42"/>
  <c r="I44" i="42"/>
  <c r="J44" i="42"/>
  <c r="K44" i="42"/>
  <c r="L44" i="42"/>
  <c r="M44" i="42"/>
  <c r="N44" i="42"/>
  <c r="O44" i="42"/>
  <c r="P44" i="42"/>
  <c r="Q44" i="42"/>
  <c r="R44" i="42"/>
  <c r="S44" i="42"/>
  <c r="T44" i="42"/>
  <c r="U44" i="42"/>
  <c r="V44" i="42"/>
  <c r="W44" i="42"/>
  <c r="X44" i="42"/>
  <c r="Y44" i="42"/>
  <c r="AA44" i="42"/>
  <c r="AB44" i="42"/>
  <c r="AA45" i="42"/>
  <c r="AB45" i="42"/>
  <c r="AA46" i="42"/>
  <c r="AB46" i="42"/>
  <c r="AA47" i="42"/>
  <c r="AB47" i="42"/>
  <c r="AA48" i="42"/>
  <c r="AB48" i="42"/>
  <c r="E49" i="42"/>
  <c r="F49" i="42"/>
  <c r="G49" i="42"/>
  <c r="H49" i="42"/>
  <c r="I49" i="42"/>
  <c r="J49" i="42"/>
  <c r="K49" i="42"/>
  <c r="L49" i="42"/>
  <c r="M49" i="42"/>
  <c r="N49" i="42"/>
  <c r="O49" i="42"/>
  <c r="P49" i="42"/>
  <c r="Q49" i="42"/>
  <c r="R49" i="42"/>
  <c r="S49" i="42"/>
  <c r="T49" i="42"/>
  <c r="U49" i="42"/>
  <c r="V49" i="42"/>
  <c r="W49" i="42"/>
  <c r="X49" i="42"/>
  <c r="Y49" i="42"/>
  <c r="AA49" i="42"/>
  <c r="AB49" i="42"/>
  <c r="AA50" i="42"/>
  <c r="AB50" i="42"/>
  <c r="E51" i="42"/>
  <c r="F51" i="42"/>
  <c r="G51" i="42"/>
  <c r="H51" i="42"/>
  <c r="I51" i="42"/>
  <c r="J51" i="42"/>
  <c r="K51" i="42"/>
  <c r="L51" i="42"/>
  <c r="M51" i="42"/>
  <c r="N51" i="42"/>
  <c r="O51" i="42"/>
  <c r="P51" i="42"/>
  <c r="Q51" i="42"/>
  <c r="R51" i="42"/>
  <c r="S51" i="42"/>
  <c r="T51" i="42"/>
  <c r="U51" i="42"/>
  <c r="V51" i="42"/>
  <c r="W51" i="42"/>
  <c r="X51" i="42"/>
  <c r="Y51" i="42"/>
  <c r="AA51" i="42"/>
  <c r="AB51" i="42"/>
  <c r="E52" i="42"/>
  <c r="F52" i="42"/>
  <c r="G52" i="42"/>
  <c r="H52" i="42"/>
  <c r="I52" i="42"/>
  <c r="J52" i="42"/>
  <c r="K52" i="42"/>
  <c r="L52" i="42"/>
  <c r="M52" i="42"/>
  <c r="N52" i="42"/>
  <c r="O52" i="42"/>
  <c r="P52" i="42"/>
  <c r="Q52" i="42"/>
  <c r="R52" i="42"/>
  <c r="S52" i="42"/>
  <c r="T52" i="42"/>
  <c r="U52" i="42"/>
  <c r="V52" i="42"/>
  <c r="W52" i="42"/>
  <c r="X52" i="42"/>
  <c r="Y52" i="42"/>
  <c r="AA52" i="42"/>
  <c r="AB52" i="42"/>
  <c r="AA53" i="42"/>
  <c r="AB53" i="42"/>
  <c r="E54" i="42"/>
  <c r="F54" i="42"/>
  <c r="G54" i="42"/>
  <c r="H54" i="42"/>
  <c r="I54" i="42"/>
  <c r="J54" i="42"/>
  <c r="K54" i="42"/>
  <c r="L54" i="42"/>
  <c r="M54" i="42"/>
  <c r="N54" i="42"/>
  <c r="O54" i="42"/>
  <c r="P54" i="42"/>
  <c r="Q54" i="42"/>
  <c r="R54" i="42"/>
  <c r="S54" i="42"/>
  <c r="T54" i="42"/>
  <c r="U54" i="42"/>
  <c r="V54" i="42"/>
  <c r="W54" i="42"/>
  <c r="X54" i="42"/>
  <c r="Y54" i="42"/>
  <c r="AA54" i="42"/>
  <c r="AB54" i="42"/>
  <c r="AA55" i="42"/>
  <c r="AB55" i="42"/>
  <c r="AA56" i="42"/>
  <c r="AB56" i="42"/>
  <c r="E57" i="42"/>
  <c r="AA57" i="42"/>
  <c r="AB57" i="42"/>
  <c r="AA58" i="42"/>
  <c r="AB58" i="42"/>
  <c r="AA59" i="42"/>
  <c r="AB59" i="42"/>
  <c r="AA60" i="42"/>
  <c r="AB60" i="42"/>
  <c r="AA61" i="42"/>
  <c r="AB61" i="42"/>
  <c r="E62" i="42"/>
  <c r="F62" i="42"/>
  <c r="G62" i="42"/>
  <c r="H62" i="42"/>
  <c r="I62" i="42"/>
  <c r="J62" i="42"/>
  <c r="K62" i="42"/>
  <c r="L62" i="42"/>
  <c r="M62" i="42"/>
  <c r="N62" i="42"/>
  <c r="O62" i="42"/>
  <c r="P62" i="42"/>
  <c r="Q62" i="42"/>
  <c r="R62" i="42"/>
  <c r="S62" i="42"/>
  <c r="T62" i="42"/>
  <c r="U62" i="42"/>
  <c r="V62" i="42"/>
  <c r="W62" i="42"/>
  <c r="X62" i="42"/>
  <c r="Y62" i="42"/>
  <c r="AA62" i="42"/>
  <c r="AB62" i="42"/>
  <c r="AA63" i="42"/>
  <c r="AB63" i="42"/>
  <c r="E64" i="42"/>
  <c r="F64" i="42"/>
  <c r="G64" i="42"/>
  <c r="H64" i="42"/>
  <c r="I64" i="42"/>
  <c r="J64" i="42"/>
  <c r="K64" i="42"/>
  <c r="L64" i="42"/>
  <c r="M64" i="42"/>
  <c r="N64" i="42"/>
  <c r="O64" i="42"/>
  <c r="P64" i="42"/>
  <c r="Q64" i="42"/>
  <c r="R64" i="42"/>
  <c r="S64" i="42"/>
  <c r="T64" i="42"/>
  <c r="U64" i="42"/>
  <c r="V64" i="42"/>
  <c r="W64" i="42"/>
  <c r="X64" i="42"/>
  <c r="Y64" i="42"/>
  <c r="AA64" i="42"/>
  <c r="AB64" i="42"/>
  <c r="AA65" i="42"/>
  <c r="AB65" i="42"/>
  <c r="AA66" i="42"/>
  <c r="AB66" i="42"/>
  <c r="AA67" i="42"/>
  <c r="AB67" i="42"/>
  <c r="AA68" i="42"/>
  <c r="AB68" i="42"/>
  <c r="E69" i="42"/>
  <c r="F69" i="42"/>
  <c r="G69" i="42"/>
  <c r="H69" i="42"/>
  <c r="I69" i="42"/>
  <c r="J69" i="42"/>
  <c r="K69" i="42"/>
  <c r="L69" i="42"/>
  <c r="M69" i="42"/>
  <c r="N69" i="42"/>
  <c r="O69" i="42"/>
  <c r="P69" i="42"/>
  <c r="Q69" i="42"/>
  <c r="R69" i="42"/>
  <c r="S69" i="42"/>
  <c r="T69" i="42"/>
  <c r="U69" i="42"/>
  <c r="V69" i="42"/>
  <c r="W69" i="42"/>
  <c r="X69" i="42"/>
  <c r="Y69" i="42"/>
  <c r="AA69" i="42"/>
  <c r="AB69" i="42"/>
  <c r="AA70" i="42"/>
  <c r="AB70" i="42"/>
  <c r="E71" i="42"/>
  <c r="F71" i="42"/>
  <c r="G71" i="42"/>
  <c r="H71" i="42"/>
  <c r="I71" i="42"/>
  <c r="J71" i="42"/>
  <c r="K71" i="42"/>
  <c r="L71" i="42"/>
  <c r="M71" i="42"/>
  <c r="N71" i="42"/>
  <c r="O71" i="42"/>
  <c r="P71" i="42"/>
  <c r="Q71" i="42"/>
  <c r="R71" i="42"/>
  <c r="S71" i="42"/>
  <c r="T71" i="42"/>
  <c r="U71" i="42"/>
  <c r="V71" i="42"/>
  <c r="W71" i="42"/>
  <c r="X71" i="42"/>
  <c r="Y71" i="42"/>
  <c r="AA71" i="42"/>
  <c r="AB71" i="42"/>
  <c r="AA72" i="42"/>
  <c r="AB72" i="42"/>
  <c r="E73" i="42"/>
  <c r="F73" i="42"/>
  <c r="G73" i="42"/>
  <c r="H73" i="42"/>
  <c r="I73" i="42"/>
  <c r="J73" i="42"/>
  <c r="K73" i="42"/>
  <c r="L73" i="42"/>
  <c r="M73" i="42"/>
  <c r="N73" i="42"/>
  <c r="O73" i="42"/>
  <c r="P73" i="42"/>
  <c r="Q73" i="42"/>
  <c r="R73" i="42"/>
  <c r="S73" i="42"/>
  <c r="T73" i="42"/>
  <c r="U73" i="42"/>
  <c r="V73" i="42"/>
  <c r="W73" i="42"/>
  <c r="X73" i="42"/>
  <c r="Y73" i="42"/>
  <c r="AA73" i="42"/>
  <c r="AB73" i="42"/>
  <c r="AA74" i="42"/>
  <c r="AB74" i="42"/>
  <c r="AA75" i="42"/>
  <c r="AB75" i="42"/>
  <c r="C76" i="42"/>
  <c r="E76" i="42"/>
  <c r="F76" i="42"/>
  <c r="G76" i="42"/>
  <c r="H76" i="42"/>
  <c r="I76" i="42"/>
  <c r="J76" i="42"/>
  <c r="K76" i="42"/>
  <c r="L76" i="42"/>
  <c r="M76" i="42"/>
  <c r="N76" i="42"/>
  <c r="O76" i="42"/>
  <c r="P76" i="42"/>
  <c r="Q76" i="42"/>
  <c r="R76" i="42"/>
  <c r="S76" i="42"/>
  <c r="T76" i="42"/>
  <c r="U76" i="42"/>
  <c r="V76" i="42"/>
  <c r="W76" i="42"/>
  <c r="X76" i="42"/>
  <c r="Y76" i="42"/>
  <c r="AA76" i="42"/>
  <c r="AB76" i="42"/>
  <c r="C77" i="42"/>
  <c r="E77" i="42"/>
  <c r="F77" i="42"/>
  <c r="G77" i="42"/>
  <c r="H77" i="42"/>
  <c r="I77" i="42"/>
  <c r="J77" i="42"/>
  <c r="K77" i="42"/>
  <c r="L77" i="42"/>
  <c r="M77" i="42"/>
  <c r="N77" i="42"/>
  <c r="O77" i="42"/>
  <c r="P77" i="42"/>
  <c r="Q77" i="42"/>
  <c r="R77" i="42"/>
  <c r="S77" i="42"/>
  <c r="T77" i="42"/>
  <c r="U77" i="42"/>
  <c r="V77" i="42"/>
  <c r="W77" i="42"/>
  <c r="X77" i="42"/>
  <c r="Y77" i="42"/>
  <c r="AA77" i="42"/>
  <c r="AB77" i="42"/>
  <c r="AA78" i="42"/>
  <c r="AB78" i="42"/>
  <c r="AA79" i="42"/>
  <c r="AB79" i="42"/>
  <c r="AA80" i="42"/>
  <c r="AB80" i="42"/>
  <c r="AA81" i="42"/>
  <c r="AB81" i="42"/>
  <c r="AA82" i="42"/>
  <c r="AB82" i="42"/>
  <c r="AA83" i="42"/>
  <c r="AB83" i="42"/>
  <c r="AA84" i="42"/>
  <c r="AB84" i="42"/>
  <c r="AA85" i="42"/>
  <c r="AB85" i="42"/>
  <c r="E86" i="42"/>
  <c r="F86" i="42"/>
  <c r="G86" i="42"/>
  <c r="H86" i="42"/>
  <c r="I86" i="42"/>
  <c r="J86" i="42"/>
  <c r="K86" i="42"/>
  <c r="L86" i="42"/>
  <c r="M86" i="42"/>
  <c r="N86" i="42"/>
  <c r="O86" i="42"/>
  <c r="P86" i="42"/>
  <c r="Q86" i="42"/>
  <c r="R86" i="42"/>
  <c r="S86" i="42"/>
  <c r="T86" i="42"/>
  <c r="U86" i="42"/>
  <c r="V86" i="42"/>
  <c r="W86" i="42"/>
  <c r="X86" i="42"/>
  <c r="Y86" i="42"/>
  <c r="AA86" i="42"/>
  <c r="AB86" i="42"/>
  <c r="AA87" i="42"/>
  <c r="AB87" i="42"/>
  <c r="F88" i="42"/>
  <c r="G88" i="42"/>
  <c r="H88" i="42"/>
  <c r="I88" i="42"/>
  <c r="J88" i="42"/>
  <c r="K88" i="42"/>
  <c r="L88" i="42"/>
  <c r="M88" i="42"/>
  <c r="N88" i="42"/>
  <c r="O88" i="42"/>
  <c r="P88" i="42"/>
  <c r="Q88" i="42"/>
  <c r="R88" i="42"/>
  <c r="S88" i="42"/>
  <c r="T88" i="42"/>
  <c r="U88" i="42"/>
  <c r="V88" i="42"/>
  <c r="W88" i="42"/>
  <c r="X88" i="42"/>
  <c r="Y88" i="42"/>
  <c r="AA88" i="42"/>
  <c r="AB88" i="42"/>
  <c r="F89" i="42"/>
  <c r="G89" i="42"/>
  <c r="H89" i="42"/>
  <c r="I89" i="42"/>
  <c r="J89" i="42"/>
  <c r="K89" i="42"/>
  <c r="L89" i="42"/>
  <c r="M89" i="42"/>
  <c r="N89" i="42"/>
  <c r="O89" i="42"/>
  <c r="P89" i="42"/>
  <c r="Q89" i="42"/>
  <c r="R89" i="42"/>
  <c r="S89" i="42"/>
  <c r="T89" i="42"/>
  <c r="U89" i="42"/>
  <c r="V89" i="42"/>
  <c r="W89" i="42"/>
  <c r="X89" i="42"/>
  <c r="Y89" i="42"/>
  <c r="AA89" i="42"/>
  <c r="AB89" i="42"/>
  <c r="F90" i="42"/>
  <c r="G90" i="42"/>
  <c r="H90" i="42"/>
  <c r="I90" i="42"/>
  <c r="J90" i="42"/>
  <c r="K90" i="42"/>
  <c r="L90" i="42"/>
  <c r="M90" i="42"/>
  <c r="N90" i="42"/>
  <c r="O90" i="42"/>
  <c r="P90" i="42"/>
  <c r="Q90" i="42"/>
  <c r="R90" i="42"/>
  <c r="S90" i="42"/>
  <c r="T90" i="42"/>
  <c r="U90" i="42"/>
  <c r="V90" i="42"/>
  <c r="W90" i="42"/>
  <c r="X90" i="42"/>
  <c r="Y90" i="42"/>
  <c r="AA90" i="42"/>
  <c r="AB90" i="42"/>
  <c r="U91" i="42"/>
  <c r="AA91" i="42"/>
  <c r="AB91" i="42"/>
  <c r="F92" i="42"/>
  <c r="G92" i="42"/>
  <c r="H92" i="42"/>
  <c r="I92" i="42"/>
  <c r="J92" i="42"/>
  <c r="K92" i="42"/>
  <c r="L92" i="42"/>
  <c r="M92" i="42"/>
  <c r="N92" i="42"/>
  <c r="O92" i="42"/>
  <c r="P92" i="42"/>
  <c r="Q92" i="42"/>
  <c r="R92" i="42"/>
  <c r="S92" i="42"/>
  <c r="T92" i="42"/>
  <c r="U92" i="42"/>
  <c r="V92" i="42"/>
  <c r="W92" i="42"/>
  <c r="X92" i="42"/>
  <c r="Y92" i="42"/>
  <c r="AA92" i="42"/>
  <c r="AB92" i="42"/>
  <c r="AA93" i="42"/>
  <c r="AB93" i="42"/>
  <c r="AA94" i="42"/>
  <c r="AB94" i="42"/>
  <c r="E95" i="42"/>
  <c r="Y95" i="42"/>
  <c r="AA95" i="42"/>
  <c r="AB95" i="42"/>
  <c r="AA96" i="42"/>
  <c r="AB96" i="42"/>
  <c r="Y97" i="42"/>
  <c r="AA97" i="42"/>
  <c r="AB97" i="42"/>
  <c r="AA98" i="42"/>
  <c r="AB98" i="42"/>
  <c r="Y99" i="42"/>
  <c r="AA99" i="42"/>
  <c r="AB99" i="42"/>
  <c r="AA100" i="42"/>
  <c r="AB100" i="42"/>
  <c r="AA101" i="42"/>
  <c r="AB101" i="42"/>
  <c r="D102" i="42"/>
  <c r="AA102" i="42"/>
  <c r="AB102" i="42"/>
  <c r="D103" i="42"/>
  <c r="AA103" i="42"/>
  <c r="AB103" i="42"/>
  <c r="AA104" i="42"/>
  <c r="AB104" i="42"/>
  <c r="D105" i="42"/>
  <c r="AA105" i="42"/>
  <c r="AB105" i="42"/>
  <c r="AA106" i="42"/>
  <c r="AB106" i="42"/>
  <c r="F107" i="42"/>
  <c r="G107" i="42"/>
  <c r="H107" i="42"/>
  <c r="I107" i="42"/>
  <c r="J107" i="42"/>
  <c r="K107" i="42"/>
  <c r="L107" i="42"/>
  <c r="M107" i="42"/>
  <c r="N107" i="42"/>
  <c r="O107" i="42"/>
  <c r="P107" i="42"/>
  <c r="Q107" i="42"/>
  <c r="R107" i="42"/>
  <c r="S107" i="42"/>
  <c r="T107" i="42"/>
  <c r="U107" i="42"/>
  <c r="V107" i="42"/>
  <c r="W107" i="42"/>
  <c r="X107" i="42"/>
  <c r="Y107" i="42"/>
  <c r="AA107" i="42"/>
  <c r="AB107" i="42"/>
  <c r="AA108" i="42"/>
  <c r="AB108" i="42"/>
  <c r="D109" i="42"/>
  <c r="F109" i="42"/>
  <c r="G109" i="42"/>
  <c r="H109" i="42"/>
  <c r="I109" i="42"/>
  <c r="J109" i="42"/>
  <c r="K109" i="42"/>
  <c r="L109" i="42"/>
  <c r="M109" i="42"/>
  <c r="N109" i="42"/>
  <c r="O109" i="42"/>
  <c r="P109" i="42"/>
  <c r="Q109" i="42"/>
  <c r="R109" i="42"/>
  <c r="S109" i="42"/>
  <c r="T109" i="42"/>
  <c r="U109" i="42"/>
  <c r="AA109" i="42"/>
  <c r="AB109" i="42"/>
  <c r="D110" i="42"/>
  <c r="F110" i="42"/>
  <c r="G110" i="42"/>
  <c r="H110" i="42"/>
  <c r="I110" i="42"/>
  <c r="J110" i="42"/>
  <c r="K110" i="42"/>
  <c r="L110" i="42"/>
  <c r="M110" i="42"/>
  <c r="N110" i="42"/>
  <c r="O110" i="42"/>
  <c r="P110" i="42"/>
  <c r="Q110" i="42"/>
  <c r="R110" i="42"/>
  <c r="S110" i="42"/>
  <c r="T110" i="42"/>
  <c r="U110" i="42"/>
  <c r="AA110" i="42"/>
  <c r="AB110" i="42"/>
  <c r="AA111" i="42"/>
  <c r="AB111" i="42"/>
  <c r="AA112" i="42"/>
  <c r="AB112" i="42"/>
  <c r="D113" i="42"/>
  <c r="AA113" i="42"/>
  <c r="AB113" i="42"/>
  <c r="AA114" i="42"/>
  <c r="AB114" i="42"/>
  <c r="F115" i="42"/>
  <c r="G115" i="42"/>
  <c r="H115" i="42"/>
  <c r="I115" i="42"/>
  <c r="J115" i="42"/>
  <c r="K115" i="42"/>
  <c r="L115" i="42"/>
  <c r="M115" i="42"/>
  <c r="N115" i="42"/>
  <c r="O115" i="42"/>
  <c r="P115" i="42"/>
  <c r="Q115" i="42"/>
  <c r="R115" i="42"/>
  <c r="S115" i="42"/>
  <c r="T115" i="42"/>
  <c r="U115" i="42"/>
  <c r="AA115" i="42"/>
  <c r="AB115" i="42"/>
  <c r="D116" i="42"/>
  <c r="F116" i="42"/>
  <c r="G116" i="42"/>
  <c r="H116" i="42"/>
  <c r="I116" i="42"/>
  <c r="J116" i="42"/>
  <c r="K116" i="42"/>
  <c r="L116" i="42"/>
  <c r="M116" i="42"/>
  <c r="N116" i="42"/>
  <c r="O116" i="42"/>
  <c r="P116" i="42"/>
  <c r="Q116" i="42"/>
  <c r="R116" i="42"/>
  <c r="S116" i="42"/>
  <c r="T116" i="42"/>
  <c r="U116" i="42"/>
  <c r="AA116" i="42"/>
  <c r="AB116" i="42"/>
  <c r="AA117" i="42"/>
  <c r="AB117" i="42"/>
  <c r="AA118" i="42"/>
  <c r="AB118" i="42"/>
  <c r="F119" i="42"/>
  <c r="G119" i="42"/>
  <c r="H119" i="42"/>
  <c r="I119" i="42"/>
  <c r="J119" i="42"/>
  <c r="K119" i="42"/>
  <c r="L119" i="42"/>
  <c r="M119" i="42"/>
  <c r="N119" i="42"/>
  <c r="O119" i="42"/>
  <c r="P119" i="42"/>
  <c r="Q119" i="42"/>
  <c r="R119" i="42"/>
  <c r="S119" i="42"/>
  <c r="T119" i="42"/>
  <c r="U119" i="42"/>
  <c r="V119" i="42"/>
  <c r="W119" i="42"/>
  <c r="X119" i="42"/>
  <c r="Y119" i="42"/>
  <c r="AA119" i="42"/>
  <c r="AB119" i="42"/>
  <c r="AA120" i="42"/>
  <c r="AB120" i="42"/>
  <c r="A121" i="42"/>
  <c r="F121" i="42"/>
  <c r="G121" i="42"/>
  <c r="H121" i="42"/>
  <c r="I121" i="42"/>
  <c r="J121" i="42"/>
  <c r="K121" i="42"/>
  <c r="L121" i="42"/>
  <c r="M121" i="42"/>
  <c r="N121" i="42"/>
  <c r="O121" i="42"/>
  <c r="P121" i="42"/>
  <c r="Q121" i="42"/>
  <c r="R121" i="42"/>
  <c r="S121" i="42"/>
  <c r="T121" i="42"/>
  <c r="U121" i="42"/>
  <c r="V121" i="42"/>
  <c r="W121" i="42"/>
  <c r="X121" i="42"/>
  <c r="Y121" i="42"/>
  <c r="AA121" i="42"/>
  <c r="AB121" i="42"/>
  <c r="F122" i="42"/>
  <c r="G122" i="42"/>
  <c r="H122" i="42"/>
  <c r="I122" i="42"/>
  <c r="J122" i="42"/>
  <c r="K122" i="42"/>
  <c r="L122" i="42"/>
  <c r="M122" i="42"/>
  <c r="N122" i="42"/>
  <c r="O122" i="42"/>
  <c r="P122" i="42"/>
  <c r="Q122" i="42"/>
  <c r="R122" i="42"/>
  <c r="S122" i="42"/>
  <c r="T122" i="42"/>
  <c r="U122" i="42"/>
  <c r="V122" i="42"/>
  <c r="W122" i="42"/>
  <c r="X122" i="42"/>
  <c r="Y122" i="42"/>
  <c r="AA122" i="42"/>
  <c r="AB122" i="42"/>
  <c r="F123" i="42"/>
  <c r="G123" i="42"/>
  <c r="H123" i="42"/>
  <c r="I123" i="42"/>
  <c r="J123" i="42"/>
  <c r="K123" i="42"/>
  <c r="L123" i="42"/>
  <c r="M123" i="42"/>
  <c r="N123" i="42"/>
  <c r="O123" i="42"/>
  <c r="P123" i="42"/>
  <c r="Q123" i="42"/>
  <c r="R123" i="42"/>
  <c r="S123" i="42"/>
  <c r="T123" i="42"/>
  <c r="U123" i="42"/>
  <c r="V123" i="42"/>
  <c r="W123" i="42"/>
  <c r="X123" i="42"/>
  <c r="Y123" i="42"/>
  <c r="AA123" i="42"/>
  <c r="AB123" i="42"/>
  <c r="F124" i="42"/>
  <c r="G124" i="42"/>
  <c r="H124" i="42"/>
  <c r="I124" i="42"/>
  <c r="J124" i="42"/>
  <c r="K124" i="42"/>
  <c r="L124" i="42"/>
  <c r="M124" i="42"/>
  <c r="N124" i="42"/>
  <c r="O124" i="42"/>
  <c r="P124" i="42"/>
  <c r="Q124" i="42"/>
  <c r="R124" i="42"/>
  <c r="S124" i="42"/>
  <c r="T124" i="42"/>
  <c r="U124" i="42"/>
  <c r="V124" i="42"/>
  <c r="W124" i="42"/>
  <c r="X124" i="42"/>
  <c r="Y124" i="42"/>
  <c r="AA124" i="42"/>
  <c r="AB124" i="42"/>
  <c r="AA125" i="42"/>
  <c r="AB125" i="42"/>
  <c r="C126" i="42"/>
  <c r="F126" i="42"/>
  <c r="G126" i="42"/>
  <c r="H126" i="42"/>
  <c r="I126" i="42"/>
  <c r="J126" i="42"/>
  <c r="K126" i="42"/>
  <c r="L126" i="42"/>
  <c r="M126" i="42"/>
  <c r="N126" i="42"/>
  <c r="O126" i="42"/>
  <c r="P126" i="42"/>
  <c r="Q126" i="42"/>
  <c r="R126" i="42"/>
  <c r="S126" i="42"/>
  <c r="T126" i="42"/>
  <c r="U126" i="42"/>
  <c r="V126" i="42"/>
  <c r="W126" i="42"/>
  <c r="X126" i="42"/>
  <c r="Y126" i="42"/>
  <c r="AA126" i="42"/>
  <c r="AB126" i="42"/>
  <c r="C127" i="42"/>
  <c r="F127" i="42"/>
  <c r="G127" i="42"/>
  <c r="H127" i="42"/>
  <c r="I127" i="42"/>
  <c r="J127" i="42"/>
  <c r="K127" i="42"/>
  <c r="L127" i="42"/>
  <c r="M127" i="42"/>
  <c r="N127" i="42"/>
  <c r="O127" i="42"/>
  <c r="P127" i="42"/>
  <c r="Q127" i="42"/>
  <c r="R127" i="42"/>
  <c r="S127" i="42"/>
  <c r="T127" i="42"/>
  <c r="U127" i="42"/>
  <c r="V127" i="42"/>
  <c r="W127" i="42"/>
  <c r="X127" i="42"/>
  <c r="Y127" i="42"/>
  <c r="AA127" i="42"/>
  <c r="AB127" i="42"/>
  <c r="AA128" i="42"/>
  <c r="AB128" i="42"/>
  <c r="AA129" i="42"/>
  <c r="AB129" i="42"/>
  <c r="AA130" i="42"/>
  <c r="AB130" i="42"/>
  <c r="AA131" i="42"/>
  <c r="AB131" i="42"/>
  <c r="AA132" i="42"/>
  <c r="AB132" i="42"/>
  <c r="AA133" i="42"/>
  <c r="AB133" i="42"/>
  <c r="AA134" i="42"/>
  <c r="AB134" i="42"/>
  <c r="F135" i="42"/>
  <c r="G135" i="42"/>
  <c r="H135" i="42"/>
  <c r="I135" i="42"/>
  <c r="J135" i="42"/>
  <c r="K135" i="42"/>
  <c r="L135" i="42"/>
  <c r="M135" i="42"/>
  <c r="N135" i="42"/>
  <c r="O135" i="42"/>
  <c r="P135" i="42"/>
  <c r="Q135" i="42"/>
  <c r="R135" i="42"/>
  <c r="S135" i="42"/>
  <c r="T135" i="42"/>
  <c r="U135" i="42"/>
  <c r="V135" i="42"/>
  <c r="W135" i="42"/>
  <c r="X135" i="42"/>
  <c r="Y135" i="42"/>
  <c r="AA135" i="42"/>
  <c r="AB135" i="42"/>
  <c r="AA136" i="42"/>
  <c r="AB136" i="42"/>
  <c r="F137" i="42"/>
  <c r="G137" i="42"/>
  <c r="H137" i="42"/>
  <c r="I137" i="42"/>
  <c r="J137" i="42"/>
  <c r="K137" i="42"/>
  <c r="L137" i="42"/>
  <c r="M137" i="42"/>
  <c r="N137" i="42"/>
  <c r="O137" i="42"/>
  <c r="P137" i="42"/>
  <c r="Q137" i="42"/>
  <c r="R137" i="42"/>
  <c r="S137" i="42"/>
  <c r="T137" i="42"/>
  <c r="U137" i="42"/>
  <c r="V137" i="42"/>
  <c r="W137" i="42"/>
  <c r="X137" i="42"/>
  <c r="Y137" i="42"/>
  <c r="AA137" i="42"/>
  <c r="AB137" i="42"/>
  <c r="F138" i="42"/>
  <c r="G138" i="42"/>
  <c r="H138" i="42"/>
  <c r="I138" i="42"/>
  <c r="J138" i="42"/>
  <c r="K138" i="42"/>
  <c r="L138" i="42"/>
  <c r="M138" i="42"/>
  <c r="N138" i="42"/>
  <c r="O138" i="42"/>
  <c r="P138" i="42"/>
  <c r="Q138" i="42"/>
  <c r="R138" i="42"/>
  <c r="S138" i="42"/>
  <c r="T138" i="42"/>
  <c r="U138" i="42"/>
  <c r="V138" i="42"/>
  <c r="W138" i="42"/>
  <c r="X138" i="42"/>
  <c r="Y138" i="42"/>
  <c r="AA138" i="42"/>
  <c r="AB138" i="42"/>
  <c r="F139" i="42"/>
  <c r="G139" i="42"/>
  <c r="H139" i="42"/>
  <c r="I139" i="42"/>
  <c r="J139" i="42"/>
  <c r="K139" i="42"/>
  <c r="L139" i="42"/>
  <c r="M139" i="42"/>
  <c r="N139" i="42"/>
  <c r="O139" i="42"/>
  <c r="P139" i="42"/>
  <c r="Q139" i="42"/>
  <c r="R139" i="42"/>
  <c r="S139" i="42"/>
  <c r="T139" i="42"/>
  <c r="U139" i="42"/>
  <c r="V139" i="42"/>
  <c r="W139" i="42"/>
  <c r="X139" i="42"/>
  <c r="Y139" i="42"/>
  <c r="AA139" i="42"/>
  <c r="AB139" i="42"/>
  <c r="C140" i="42"/>
  <c r="F140" i="42"/>
  <c r="G140" i="42"/>
  <c r="H140" i="42"/>
  <c r="I140" i="42"/>
  <c r="J140" i="42"/>
  <c r="K140" i="42"/>
  <c r="L140" i="42"/>
  <c r="M140" i="42"/>
  <c r="N140" i="42"/>
  <c r="O140" i="42"/>
  <c r="P140" i="42"/>
  <c r="Q140" i="42"/>
  <c r="R140" i="42"/>
  <c r="S140" i="42"/>
  <c r="T140" i="42"/>
  <c r="U140" i="42"/>
  <c r="V140" i="42"/>
  <c r="W140" i="42"/>
  <c r="X140" i="42"/>
  <c r="Y140" i="42"/>
  <c r="AA140" i="42"/>
  <c r="AB140" i="42"/>
  <c r="C141" i="42"/>
  <c r="F141" i="42"/>
  <c r="G141" i="42"/>
  <c r="H141" i="42"/>
  <c r="I141" i="42"/>
  <c r="J141" i="42"/>
  <c r="K141" i="42"/>
  <c r="L141" i="42"/>
  <c r="M141" i="42"/>
  <c r="N141" i="42"/>
  <c r="O141" i="42"/>
  <c r="P141" i="42"/>
  <c r="Q141" i="42"/>
  <c r="R141" i="42"/>
  <c r="S141" i="42"/>
  <c r="T141" i="42"/>
  <c r="U141" i="42"/>
  <c r="V141" i="42"/>
  <c r="W141" i="42"/>
  <c r="X141" i="42"/>
  <c r="Y141" i="42"/>
  <c r="AA141" i="42"/>
  <c r="AB141" i="42"/>
  <c r="F142" i="42"/>
  <c r="G142" i="42"/>
  <c r="H142" i="42"/>
  <c r="I142" i="42"/>
  <c r="J142" i="42"/>
  <c r="K142" i="42"/>
  <c r="L142" i="42"/>
  <c r="M142" i="42"/>
  <c r="N142" i="42"/>
  <c r="O142" i="42"/>
  <c r="P142" i="42"/>
  <c r="Q142" i="42"/>
  <c r="R142" i="42"/>
  <c r="S142" i="42"/>
  <c r="T142" i="42"/>
  <c r="U142" i="42"/>
  <c r="V142" i="42"/>
  <c r="W142" i="42"/>
  <c r="X142" i="42"/>
  <c r="Y142" i="42"/>
  <c r="AA142" i="42"/>
  <c r="AB142" i="42"/>
  <c r="AA143" i="42"/>
  <c r="AB143" i="42"/>
  <c r="A144" i="42"/>
  <c r="F144" i="42"/>
  <c r="G144" i="42"/>
  <c r="H144" i="42"/>
  <c r="I144" i="42"/>
  <c r="J144" i="42"/>
  <c r="K144" i="42"/>
  <c r="L144" i="42"/>
  <c r="M144" i="42"/>
  <c r="N144" i="42"/>
  <c r="O144" i="42"/>
  <c r="P144" i="42"/>
  <c r="Q144" i="42"/>
  <c r="R144" i="42"/>
  <c r="S144" i="42"/>
  <c r="T144" i="42"/>
  <c r="U144" i="42"/>
  <c r="V144" i="42"/>
  <c r="W144" i="42"/>
  <c r="X144" i="42"/>
  <c r="Y144" i="42"/>
  <c r="AA144" i="42"/>
  <c r="AB144" i="42"/>
  <c r="F145" i="42"/>
  <c r="G145" i="42"/>
  <c r="H145" i="42"/>
  <c r="I145" i="42"/>
  <c r="J145" i="42"/>
  <c r="K145" i="42"/>
  <c r="L145" i="42"/>
  <c r="M145" i="42"/>
  <c r="N145" i="42"/>
  <c r="O145" i="42"/>
  <c r="P145" i="42"/>
  <c r="Q145" i="42"/>
  <c r="R145" i="42"/>
  <c r="S145" i="42"/>
  <c r="T145" i="42"/>
  <c r="U145" i="42"/>
  <c r="V145" i="42"/>
  <c r="W145" i="42"/>
  <c r="X145" i="42"/>
  <c r="Y145" i="42"/>
  <c r="AA145" i="42"/>
  <c r="AB145" i="42"/>
  <c r="AA146" i="42"/>
  <c r="AB146" i="42"/>
  <c r="AA147" i="42"/>
  <c r="AB147" i="42"/>
  <c r="AA148" i="42"/>
  <c r="AB148" i="42"/>
  <c r="AA149" i="42"/>
  <c r="AB149" i="42"/>
  <c r="A150" i="42"/>
  <c r="F150" i="42"/>
  <c r="G150" i="42"/>
  <c r="H150" i="42"/>
  <c r="I150" i="42"/>
  <c r="J150" i="42"/>
  <c r="K150" i="42"/>
  <c r="L150" i="42"/>
  <c r="M150" i="42"/>
  <c r="N150" i="42"/>
  <c r="O150" i="42"/>
  <c r="P150" i="42"/>
  <c r="Q150" i="42"/>
  <c r="R150" i="42"/>
  <c r="S150" i="42"/>
  <c r="T150" i="42"/>
  <c r="U150" i="42"/>
  <c r="V150" i="42"/>
  <c r="W150" i="42"/>
  <c r="X150" i="42"/>
  <c r="Y150" i="42"/>
  <c r="AA150" i="42"/>
  <c r="AB150" i="42"/>
  <c r="AA151" i="42"/>
  <c r="AB151" i="42"/>
  <c r="F152" i="42"/>
  <c r="G152" i="42"/>
  <c r="H152" i="42"/>
  <c r="I152" i="42"/>
  <c r="J152" i="42"/>
  <c r="K152" i="42"/>
  <c r="L152" i="42"/>
  <c r="M152" i="42"/>
  <c r="N152" i="42"/>
  <c r="O152" i="42"/>
  <c r="P152" i="42"/>
  <c r="Q152" i="42"/>
  <c r="R152" i="42"/>
  <c r="S152" i="42"/>
  <c r="T152" i="42"/>
  <c r="U152" i="42"/>
  <c r="V152" i="42"/>
  <c r="W152" i="42"/>
  <c r="X152" i="42"/>
  <c r="Y152" i="42"/>
  <c r="AA152" i="42"/>
  <c r="C155" i="42"/>
  <c r="C156" i="42"/>
  <c r="D160" i="42"/>
  <c r="D162" i="42"/>
  <c r="D163" i="42"/>
</calcChain>
</file>

<file path=xl/comments1.xml><?xml version="1.0" encoding="utf-8"?>
<comments xmlns="http://schemas.openxmlformats.org/spreadsheetml/2006/main">
  <authors>
    <author>WDISPATCH</author>
  </authors>
  <commentList>
    <comment ref="E66" authorId="0" shapeId="0">
      <text>
        <r>
          <rPr>
            <b/>
            <sz val="8"/>
            <color indexed="81"/>
            <rFont val="Tahoma"/>
          </rPr>
          <t>WDISPATCH:</t>
        </r>
        <r>
          <rPr>
            <sz val="8"/>
            <color indexed="81"/>
            <rFont val="Tahoma"/>
          </rPr>
          <t xml:space="preserve">
Net of Debt Service Reserve
</t>
        </r>
      </text>
    </comment>
  </commentList>
</comments>
</file>

<file path=xl/sharedStrings.xml><?xml version="1.0" encoding="utf-8"?>
<sst xmlns="http://schemas.openxmlformats.org/spreadsheetml/2006/main" count="1985" uniqueCount="265">
  <si>
    <t>SL</t>
  </si>
  <si>
    <t>Fixed O&amp;M</t>
  </si>
  <si>
    <t>Insurance</t>
  </si>
  <si>
    <t xml:space="preserve">SG&amp;A </t>
  </si>
  <si>
    <t>('000 $)</t>
  </si>
  <si>
    <t>Revenue</t>
  </si>
  <si>
    <t>PPA Period:</t>
  </si>
  <si>
    <t>Demand Payment</t>
  </si>
  <si>
    <t>Energy Payment</t>
  </si>
  <si>
    <t>Block Payment</t>
  </si>
  <si>
    <t>Market Period:</t>
  </si>
  <si>
    <t xml:space="preserve">Variable Revenue </t>
  </si>
  <si>
    <t>Energy Margin</t>
  </si>
  <si>
    <t>Interest Income</t>
  </si>
  <si>
    <t>Total Revenue</t>
  </si>
  <si>
    <t>Expense</t>
  </si>
  <si>
    <t xml:space="preserve">Variable O&amp;M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</si>
  <si>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</si>
  <si>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</si>
  <si>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</si>
  <si>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</si>
  <si>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</si>
  <si>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</si>
  <si>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</si>
  <si>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</si>
  <si>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</si>
  <si>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</si>
  <si>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</si>
  <si>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</si>
  <si>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Capital Expenditures</t>
  </si>
  <si>
    <t>Debt Service</t>
  </si>
  <si>
    <t>Pre Tax Cash Flow</t>
  </si>
  <si>
    <t>After Tax Cash Flow</t>
  </si>
  <si>
    <t>Property, Other Taxes</t>
  </si>
  <si>
    <t>Debt Service L/C Fee</t>
  </si>
  <si>
    <t xml:space="preserve"> Cash Taxes Benefit (Expense)</t>
  </si>
  <si>
    <t>Fuel  (Includes Fixed Transportation)</t>
  </si>
  <si>
    <t>Major Maintenance &amp; Ongoing Capex (Cash)</t>
  </si>
  <si>
    <t>Utility Start Up Power (included in O&amp;M)</t>
  </si>
  <si>
    <t>FPLE Net Income</t>
  </si>
  <si>
    <t>FPLE Interest</t>
  </si>
  <si>
    <t>Valuation</t>
  </si>
  <si>
    <t xml:space="preserve"> Tax Benefit / (Expense)</t>
  </si>
  <si>
    <t xml:space="preserve"> Residual Value</t>
  </si>
  <si>
    <t xml:space="preserve">    After Tax Cash Flow</t>
  </si>
  <si>
    <t>Residual Value</t>
  </si>
  <si>
    <t>NPV</t>
  </si>
  <si>
    <t>2020 EBITDA</t>
  </si>
  <si>
    <t>Equity Discount Rate</t>
  </si>
  <si>
    <t>Adjustment Factor</t>
  </si>
  <si>
    <t>Adjusted EBITDA</t>
  </si>
  <si>
    <t xml:space="preserve">EBITDA Multiple </t>
  </si>
  <si>
    <t>Depreciable Basis</t>
  </si>
  <si>
    <t xml:space="preserve">  Debt (12/31/00)</t>
  </si>
  <si>
    <t xml:space="preserve">  Equity</t>
  </si>
  <si>
    <t xml:space="preserve">  Percent Depreciable</t>
  </si>
  <si>
    <t xml:space="preserve">  Depreciable Basis</t>
  </si>
  <si>
    <t>GAAP Depreciation</t>
  </si>
  <si>
    <t xml:space="preserve">Life </t>
  </si>
  <si>
    <t>Tax Depreciation</t>
  </si>
  <si>
    <t>Basis</t>
  </si>
  <si>
    <t>Depreciation Rate: 5 Year 200% MACRS HY</t>
  </si>
  <si>
    <t xml:space="preserve">Taxable Income </t>
  </si>
  <si>
    <t xml:space="preserve"> Tax Depreciation</t>
  </si>
  <si>
    <t xml:space="preserve"> Interest Expense</t>
  </si>
  <si>
    <t>Taxable Income</t>
  </si>
  <si>
    <t>Federal Income Tax</t>
  </si>
  <si>
    <t>Fee Income</t>
  </si>
  <si>
    <t xml:space="preserve">  Total Other Income</t>
  </si>
  <si>
    <t>State Taxes</t>
  </si>
  <si>
    <t>Federal Taxes</t>
  </si>
  <si>
    <t xml:space="preserve">  Net Income from Interest and Fee to FPLE</t>
  </si>
  <si>
    <t>Valuation of FPLE's Project Interest</t>
  </si>
  <si>
    <t xml:space="preserve">  FPLE's Share of Project </t>
  </si>
  <si>
    <t xml:space="preserve">  Note Receivable</t>
  </si>
  <si>
    <t xml:space="preserve">  PV of Fee Income</t>
  </si>
  <si>
    <t>Value of FPLE's Interest</t>
  </si>
  <si>
    <t>State Income Tax</t>
  </si>
  <si>
    <t>Interest Income - Loan Receivable</t>
  </si>
  <si>
    <t xml:space="preserve">   Total FPLE Net Income</t>
  </si>
  <si>
    <t>2016 EBITDA</t>
  </si>
  <si>
    <t>Net MW</t>
  </si>
  <si>
    <t>Depreciation Rate: 20 Year 150% MACRS HY</t>
  </si>
  <si>
    <t>proof</t>
  </si>
  <si>
    <t>Total</t>
  </si>
  <si>
    <t>Equity</t>
  </si>
  <si>
    <t>DCF Value</t>
  </si>
  <si>
    <t>Debt (a)</t>
  </si>
  <si>
    <t>Cerro Gordo</t>
  </si>
  <si>
    <t>Southwest Mesa</t>
  </si>
  <si>
    <t>Vansycle</t>
  </si>
  <si>
    <t>Cameron Ridge</t>
  </si>
  <si>
    <t xml:space="preserve">Sky River </t>
  </si>
  <si>
    <t>Ridge Top</t>
  </si>
  <si>
    <t>Green Ridge</t>
  </si>
  <si>
    <t>Morwind</t>
  </si>
  <si>
    <t>Victory Garden</t>
  </si>
  <si>
    <t>WPP 92</t>
  </si>
  <si>
    <t>WPP 91-2</t>
  </si>
  <si>
    <t>WPP 89</t>
  </si>
  <si>
    <t>WPP 91</t>
  </si>
  <si>
    <t>WPP 90</t>
  </si>
  <si>
    <t>Wind Portfolio</t>
  </si>
  <si>
    <t>Pacific Crest</t>
  </si>
  <si>
    <t>Sky River</t>
  </si>
  <si>
    <t>$/KW</t>
  </si>
  <si>
    <t>INCOME STATEMENT</t>
  </si>
  <si>
    <t>PTC</t>
  </si>
  <si>
    <t xml:space="preserve">CASH FLOW </t>
  </si>
  <si>
    <t xml:space="preserve"> PTC</t>
  </si>
  <si>
    <t xml:space="preserve">FPLE Other Cash Flows </t>
  </si>
  <si>
    <t xml:space="preserve">   Principal on Note Receivable</t>
  </si>
  <si>
    <t>2019 EBITDA</t>
  </si>
  <si>
    <t>(Yes=1, No = 0)</t>
  </si>
  <si>
    <t>Effective Tax Rate</t>
  </si>
  <si>
    <t xml:space="preserve">  FPLE's Share of Project Equity</t>
  </si>
  <si>
    <t xml:space="preserve">  Capital Contribution</t>
  </si>
  <si>
    <t>Ridgetop</t>
  </si>
  <si>
    <t>Other Revenues</t>
  </si>
  <si>
    <t>2013 EBITDA</t>
  </si>
  <si>
    <t>Mojave 16-18</t>
  </si>
  <si>
    <t>2014 EBITDA</t>
  </si>
  <si>
    <t>(a)  FPLE debt.</t>
  </si>
  <si>
    <t>(b)  Assumes refinancing of FPLE debt</t>
  </si>
  <si>
    <t>(c)  DCF valuation doe not include the value of non-repowered turbines</t>
  </si>
  <si>
    <t>(d)  Non-core assets included at book value</t>
  </si>
  <si>
    <t>(goes to FPLE Debt)</t>
  </si>
  <si>
    <t>Allocation</t>
  </si>
  <si>
    <t>Tax Shield</t>
  </si>
  <si>
    <t xml:space="preserve">Debt </t>
  </si>
  <si>
    <t>Levered</t>
  </si>
  <si>
    <t>Plant Value</t>
  </si>
  <si>
    <t>FPLE Wind Valuation Summary</t>
  </si>
  <si>
    <t>Valuation is run</t>
  </si>
  <si>
    <t>Net Total</t>
  </si>
  <si>
    <t>Net Income to FPLE</t>
  </si>
  <si>
    <t>Distributable Cash to FPLE</t>
  </si>
  <si>
    <t>Interest</t>
  </si>
  <si>
    <t>Additional Depreciation @ FPLE</t>
  </si>
  <si>
    <t>IRR</t>
  </si>
  <si>
    <t>(25% of EBITDA)</t>
  </si>
  <si>
    <t>(50% of EBITDA)</t>
  </si>
  <si>
    <t>Cash Flow</t>
  </si>
  <si>
    <t>% by</t>
  </si>
  <si>
    <t xml:space="preserve">Unlevered </t>
  </si>
  <si>
    <t>Consolidated Wind Assets</t>
  </si>
  <si>
    <t>Non-Consolidated Wind Assets</t>
  </si>
  <si>
    <t xml:space="preserve">Non-Core Wind Assets </t>
  </si>
  <si>
    <t>(b)</t>
  </si>
  <si>
    <t>(c)</t>
  </si>
  <si>
    <t>(d)</t>
  </si>
  <si>
    <t xml:space="preserve">Altamont Power </t>
  </si>
  <si>
    <t xml:space="preserve">Mojave 3/5 </t>
  </si>
  <si>
    <t>Mojave 16/17/18</t>
  </si>
  <si>
    <t>Total Principal Payment</t>
  </si>
  <si>
    <t>MW</t>
  </si>
  <si>
    <t>Notes:</t>
  </si>
  <si>
    <t>No lease payments</t>
  </si>
  <si>
    <t>O&amp;M is not fixed. 50%-75% is labour</t>
  </si>
  <si>
    <t>Ongoing Capex (parts replacement) is not included or is lumped into fixed O%M</t>
  </si>
  <si>
    <t>Both O&amp;M and Capex should rise as a % of fixed price revenue. Capex follows "bathtub effect".</t>
  </si>
  <si>
    <t xml:space="preserve">Loan shown here would be 30 years (project started in 1990) </t>
  </si>
  <si>
    <t>Turbine life of V-27 is 20 years</t>
  </si>
  <si>
    <t>Tax benefit in Net income ignores deferred portion of tax</t>
  </si>
  <si>
    <t>Book deprecitiation is 30 years (20 year turbine life)</t>
  </si>
  <si>
    <t>Calculations do not show Avoided Cost forecast and Capacity (Demand) payment</t>
  </si>
  <si>
    <t>Cashflow Debt assumptions ignore actual debt outstanding and assume refinance with 30 year turbine life</t>
  </si>
  <si>
    <t>Actual debt outstanding on 1/31/00 will be $66,885mm</t>
  </si>
  <si>
    <t>Depreciable basis for MACRS</t>
  </si>
  <si>
    <t>92-97% of total value depreciable at 5 year MACRS is ok rule of thumb</t>
  </si>
  <si>
    <t>FPL has fully depreciated any asset owned more than 6 years from start date or from repower start date</t>
  </si>
  <si>
    <t>NewCo would indeed get new round of MACRS but realize that FPL would not get this under Lease Agreement</t>
  </si>
  <si>
    <t>NewCo state tax shield may be non-existant, Apportionment rules would need tax review, conclusion would differ with Lease Agreement</t>
  </si>
  <si>
    <t>Equity Cashflow</t>
  </si>
  <si>
    <t>Discounted at unlevered rate but leverage included in cashflow</t>
  </si>
  <si>
    <t xml:space="preserve">Historically FPL has financed projects at 17%-19% equity range </t>
  </si>
  <si>
    <t>Cashflow from fees ignores expense associated with services</t>
  </si>
  <si>
    <t>Would FPL keep their Jr note or sell it?</t>
  </si>
  <si>
    <t>Using balance sheet rather than project finance, FPL still earns about 15% - 17% for their equity</t>
  </si>
  <si>
    <t>Tax benefit in Net income based on book depreciation, just plain wrong</t>
  </si>
  <si>
    <t>Project started June 1999 - what type of turbines?</t>
  </si>
  <si>
    <t>implied CF</t>
  </si>
  <si>
    <t>Corporate effective tax rate implied at 38%</t>
  </si>
  <si>
    <t>probably they lack understanding of Apportionment in applying state tax</t>
  </si>
  <si>
    <t>ok estimate but there is indication they don't understand Apportionment as it applies to state tax</t>
  </si>
  <si>
    <t>15 - 20k per MW (including both O&amp;M and Capex) is ok rule of thumb for new turbines, escalate up to 40s or 50s</t>
  </si>
  <si>
    <t>What is PPA term and rate? Why does revenue bounce around?</t>
  </si>
  <si>
    <t>Project started Jan 1999 - what type of turbines?</t>
  </si>
  <si>
    <t xml:space="preserve">What is PPA term and rate? </t>
  </si>
  <si>
    <t>Implied Capacity factor</t>
  </si>
  <si>
    <t>ok</t>
  </si>
  <si>
    <t>ok for Texas</t>
  </si>
  <si>
    <t>Implies very low dscr for debt service, could be balance sheet finance otherwise makes no sense</t>
  </si>
  <si>
    <t>Project started Nov 1998 - what type of turbines?</t>
  </si>
  <si>
    <t>something wrong here - oh, FPL owns 50%, who is partner, what are transfer of interest covenants/consents?</t>
  </si>
  <si>
    <t>Project started Feb 1999 - what type of turbines?</t>
  </si>
  <si>
    <t>What is PPA term and rate, looks like repower? Why does revenue bounce around?</t>
  </si>
  <si>
    <t>FPL owns the loan on this project apparently, so any risk distinction between debt and equity is a fiction, very questionable this structure works for tax</t>
  </si>
  <si>
    <t>FPL taking full tax benefit and PTC but half of cashflow - difficult to do with PTC's - oh but splits in half at valuation, wow this model is twisted</t>
  </si>
  <si>
    <t>Actually I pretty much give up on this one.</t>
  </si>
  <si>
    <t>What is the plan for 3rd party partners and related party loans?</t>
  </si>
  <si>
    <t>something wrong here</t>
  </si>
  <si>
    <t>Project started summer? 1999 - what type of turbines?</t>
  </si>
  <si>
    <t>???</t>
  </si>
  <si>
    <t>FPL owns the loan on this project apparently, so any risk distinction between debt and equity is largely a fiction, very questionable this structure works for tax</t>
  </si>
  <si>
    <t>What is deduction for cabital contribution???</t>
  </si>
  <si>
    <t>Older Repower? Looks like an SO4 contract but this capacity factor would be high for older model turbines.</t>
  </si>
  <si>
    <t>Project started March 1995 - what type of turbines?</t>
  </si>
  <si>
    <t xml:space="preserve">Calculations do not show Avoided Cost forecast </t>
  </si>
  <si>
    <t>9% wacc probably low for PPA with price risk</t>
  </si>
  <si>
    <t>9% wacc probably ok, implies 15.5% equity at 60% balance sheet leverage and corporate bond market debt, but would be low if the PPA has price risk</t>
  </si>
  <si>
    <t>9% wacc probably ok, implies 15.5% equity at 60% leverage and corporate bond market debt, but would be low if PPA has Price Risk</t>
  </si>
  <si>
    <t>However this valuation is very high (RAC valued EWC's half at $22mm with 15% equity discount (EWC owns less than half due to cash allocations and flips)</t>
  </si>
  <si>
    <t>If WACC is 9% implied equity at this Valuation is 13%  : 9% is low for PPA with Price Risk</t>
  </si>
  <si>
    <t>Older Repower? Looks like an SO4 contract but this makes no sense at all</t>
  </si>
  <si>
    <t>Project started Jan 1994 - what type of turbines?</t>
  </si>
  <si>
    <t>Whole thing makes no sense, how can revenues be 1.0 million on 43 MW project?</t>
  </si>
  <si>
    <t>EWC is 50% owner</t>
  </si>
  <si>
    <t>why is wacc raised to 10%?</t>
  </si>
  <si>
    <t>SO4 contract has avoided cost price risk</t>
  </si>
  <si>
    <t>implied turbine life 25 years, 20 year design life also see 'bathtub effect'</t>
  </si>
  <si>
    <t>exclude*</t>
  </si>
  <si>
    <t>New Repower?</t>
  </si>
  <si>
    <t>Project started June 1999 - what type of turbines? PTC start in June 1999 but cashflow ends in 2016 implying 17 year turbine life? Suspect</t>
  </si>
  <si>
    <t>* recommend exclusion of project more than 3 years old in Jan 2001 and are not jointly owned with Enron Wind due to technology risk associated with older model wind turbines</t>
  </si>
  <si>
    <t>Assumptions:</t>
  </si>
  <si>
    <t xml:space="preserve">Project Debt will be addressed separately using actual terms and interest rate selelctions </t>
  </si>
  <si>
    <t>WACC with energy rate risk</t>
  </si>
  <si>
    <t>WACC w/o energy rate risk</t>
  </si>
  <si>
    <t xml:space="preserve">  annual cashflows : may be lowered after agreed forecast</t>
  </si>
  <si>
    <t xml:space="preserve">  annual cashflows </t>
  </si>
  <si>
    <t>Exclusion per recommendation below</t>
  </si>
  <si>
    <t>Tax and PTC remain with FPL</t>
  </si>
  <si>
    <t>20 year wind turbine life</t>
  </si>
  <si>
    <t>Total Value contributed by FPL ($000)</t>
  </si>
  <si>
    <t>Suggested further info:</t>
  </si>
  <si>
    <t>Project Start Date</t>
  </si>
  <si>
    <t>If SO4 Repower, Repower Start Date</t>
  </si>
  <si>
    <t>Turbine Design</t>
  </si>
  <si>
    <t>Turbine Nameplate Capacity</t>
  </si>
  <si>
    <t># Turbines</t>
  </si>
  <si>
    <t>Actual Capacity Factor</t>
  </si>
  <si>
    <t>PPA Contract Terms</t>
  </si>
  <si>
    <t xml:space="preserve">     Length</t>
  </si>
  <si>
    <t xml:space="preserve">     Energy Rate</t>
  </si>
  <si>
    <t xml:space="preserve">     Other Revenue</t>
  </si>
  <si>
    <t xml:space="preserve">     Counterparty</t>
  </si>
  <si>
    <t>% Owned by FPL and name of partners</t>
  </si>
  <si>
    <t>Debt</t>
  </si>
  <si>
    <t xml:space="preserve">     Recourse, related party, balance sheet, or non-recourse</t>
  </si>
  <si>
    <t xml:space="preserve">     Term</t>
  </si>
  <si>
    <t xml:space="preserve">     Interest Rate</t>
  </si>
  <si>
    <t xml:space="preserve">     Consents for transfer of interests necessary</t>
  </si>
  <si>
    <t xml:space="preserve">     Debt holder relation to FPL if any</t>
  </si>
  <si>
    <t>OPEX</t>
  </si>
  <si>
    <t xml:space="preserve">     Detailed OPEX history</t>
  </si>
  <si>
    <t>Main Points in FPL spreadsheet valuation:</t>
  </si>
  <si>
    <t>PPA Terms - if there is floating/market component then
 risk is higher. 9% WACC is benchmark for 20 year fixed price PPA with annual cashflow assumption.</t>
  </si>
  <si>
    <t>Equity cash flows - are discounted at WACC 
even when project debt is included in calculation.</t>
  </si>
  <si>
    <t>MACRS depreciation - it is true that NewCo would receive 5 year MACRS on it's investment basis, however, FPL would not get new basis under lease or is fully depreciated in some of these projects already so should not get 1:1 credit for new NewCo tax effects</t>
  </si>
  <si>
    <t>Effective tax rate - NewCo would have it's own corporate effective tax rate based on apportionment and unitary/non-unitary rules. FPL analysis demonstrates lack of understanding of tax regime.</t>
  </si>
  <si>
    <t>Some implied capacity factors and OPEX expenses are very supspect</t>
  </si>
  <si>
    <t>Some partnership structures, ie where FPL owns the debt, are suspect of need explaining as relate to PTC</t>
  </si>
  <si>
    <t>Book accounting is wrong and ignores deferred tax provision</t>
  </si>
  <si>
    <t>See Notes in FPL spreadsheet for detail and additional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</si>
</sst>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80" formatCode="_(* #,##0.0_);_(* \(#,##0.0\);_(* &quot;-&quot;?_);_(@_)"/>
    <numFmt numFmtId="190" formatCode="0.000"/>
    <numFmt numFmtId="191" formatCode="0.0000%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4" formatCode="0_);\(0\)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  <numFmt numFmtId="359" formatCode="0&quot; / kW&quot;"/>
  </numFmts>
  <fonts count="108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u val="singleAccounting"/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b/>
      <i/>
      <sz val="10"/>
      <name val="Times New Roman"/>
      <family val="1"/>
    </font>
    <font>
      <i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b/>
      <u/>
      <sz val="10"/>
      <name val="Arial"/>
      <family val="2"/>
    </font>
    <font>
      <sz val="10"/>
      <color indexed="9"/>
      <name val="Times New Roman"/>
      <family val="1"/>
    </font>
    <font>
      <b/>
      <i/>
      <sz val="10"/>
      <name val="Times New Roman"/>
    </font>
    <font>
      <i/>
      <u/>
      <sz val="10"/>
      <color indexed="10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sz val="8"/>
      <color indexed="81"/>
      <name val="Tahoma"/>
    </font>
    <font>
      <sz val="10"/>
      <name val="Arial"/>
    </font>
    <font>
      <u val="singleAccounting"/>
      <sz val="10"/>
      <name val="Arial"/>
      <family val="2"/>
    </font>
    <font>
      <b/>
      <sz val="10"/>
      <color indexed="12"/>
      <name val="Arial"/>
      <family val="2"/>
    </font>
    <font>
      <u val="singleAccounting"/>
      <sz val="10"/>
      <color indexed="12"/>
      <name val="Times New Roman"/>
      <family val="1"/>
    </font>
    <font>
      <sz val="10"/>
      <color indexed="48"/>
      <name val="Times New Roman"/>
      <family val="1"/>
    </font>
    <font>
      <b/>
      <sz val="10"/>
      <color indexed="48"/>
      <name val="Times New Roman"/>
      <family val="1"/>
    </font>
    <font>
      <sz val="10"/>
      <color indexed="8"/>
      <name val="Arial"/>
      <family val="2"/>
    </font>
    <font>
      <u val="singleAccounting"/>
      <sz val="10"/>
      <color indexed="8"/>
      <name val="Times New Roman"/>
      <family val="1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4"/>
      <color indexed="8"/>
      <name val="Times New Roman"/>
      <family val="1"/>
    </font>
    <font>
      <i/>
      <u/>
      <sz val="10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Arial"/>
    </font>
    <font>
      <u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i/>
      <sz val="10"/>
      <color indexed="8"/>
      <name val="Times New Roman"/>
    </font>
    <font>
      <b/>
      <i/>
      <sz val="10"/>
      <color indexed="8"/>
      <name val="Times New Roman"/>
      <family val="1"/>
    </font>
    <font>
      <b/>
      <u/>
      <sz val="10"/>
      <color indexed="8"/>
      <name val="Arial"/>
      <family val="2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i/>
      <u/>
      <sz val="10"/>
      <color indexed="8"/>
      <name val="Times New Roman"/>
      <family val="1"/>
    </font>
    <font>
      <sz val="10"/>
      <color indexed="8"/>
      <name val="Times New Roman"/>
    </font>
    <font>
      <sz val="10"/>
      <color indexed="18"/>
      <name val="Times New Roman"/>
      <family val="1"/>
    </font>
    <font>
      <b/>
      <sz val="10"/>
      <color indexed="18"/>
      <name val="Times New Roman"/>
      <family val="1"/>
    </font>
    <font>
      <b/>
      <u/>
      <sz val="10"/>
      <name val="Times New Roman"/>
      <family val="1"/>
    </font>
    <font>
      <sz val="10"/>
      <color indexed="10"/>
      <name val="Arial"/>
      <family val="2"/>
    </font>
    <font>
      <sz val="10"/>
      <color indexed="57"/>
      <name val="Times New Roman"/>
      <family val="1"/>
    </font>
    <font>
      <sz val="10"/>
      <color indexed="5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25" fillId="4" borderId="0" applyNumberFormat="0" applyBorder="0" applyAlignment="0" applyProtection="0"/>
    <xf numFmtId="0" fontId="48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24" fillId="0" borderId="2" applyNumberFormat="0" applyFill="0" applyAlignment="0" applyProtection="0"/>
    <xf numFmtId="10" fontId="25" fillId="5" borderId="3" applyNumberFormat="0" applyBorder="0" applyAlignment="0" applyProtection="0"/>
    <xf numFmtId="37" fontId="50" fillId="0" borderId="0"/>
    <xf numFmtId="170" fontId="51" fillId="0" borderId="0"/>
    <xf numFmtId="0" fontId="1" fillId="0" borderId="0"/>
    <xf numFmtId="0" fontId="18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25" fillId="8" borderId="0" applyNumberFormat="0" applyBorder="0" applyAlignment="0" applyProtection="0"/>
    <xf numFmtId="37" fontId="25" fillId="8" borderId="0" applyNumberFormat="0" applyBorder="0" applyAlignment="0" applyProtection="0"/>
    <xf numFmtId="37" fontId="5" fillId="0" borderId="0"/>
    <xf numFmtId="37" fontId="5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433">
    <xf numFmtId="0" fontId="0" fillId="0" borderId="0" xfId="0"/>
    <xf numFmtId="0" fontId="2" fillId="0" borderId="0" xfId="0" applyFont="1" applyFill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43" fontId="2" fillId="0" borderId="0" xfId="3" applyFont="1" applyFill="1"/>
    <xf numFmtId="10" fontId="3" fillId="0" borderId="0" xfId="0" applyNumberFormat="1" applyFont="1" applyFill="1" applyBorder="1"/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1" fillId="0" borderId="0" xfId="0" applyFont="1" applyFill="1" applyBorder="1"/>
    <xf numFmtId="166" fontId="12" fillId="0" borderId="0" xfId="3" applyNumberFormat="1" applyFont="1" applyFill="1" applyBorder="1"/>
    <xf numFmtId="166" fontId="3" fillId="0" borderId="0" xfId="3" applyNumberFormat="1" applyFont="1" applyFill="1" applyBorder="1"/>
    <xf numFmtId="0" fontId="3" fillId="0" borderId="0" xfId="0" applyFont="1" applyFill="1" applyBorder="1" applyAlignment="1">
      <alignment horizontal="center"/>
    </xf>
    <xf numFmtId="9" fontId="3" fillId="0" borderId="0" xfId="0" applyNumberFormat="1" applyFont="1" applyFill="1"/>
    <xf numFmtId="166" fontId="2" fillId="0" borderId="0" xfId="3" applyNumberFormat="1" applyFont="1" applyFill="1" applyBorder="1"/>
    <xf numFmtId="38" fontId="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15" fillId="0" borderId="0" xfId="0" applyFont="1" applyFill="1" applyBorder="1" applyAlignment="1">
      <alignment horizontal="center"/>
    </xf>
    <xf numFmtId="0" fontId="22" fillId="0" borderId="0" xfId="0" applyFont="1" applyFill="1" applyBorder="1"/>
    <xf numFmtId="17" fontId="2" fillId="0" borderId="0" xfId="0" applyNumberFormat="1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37" fontId="15" fillId="0" borderId="0" xfId="0" applyNumberFormat="1" applyFont="1" applyFill="1" applyBorder="1"/>
    <xf numFmtId="43" fontId="23" fillId="0" borderId="0" xfId="3" applyFont="1" applyFill="1" applyBorder="1"/>
    <xf numFmtId="9" fontId="23" fillId="0" borderId="0" xfId="20" applyFont="1" applyFill="1" applyBorder="1"/>
    <xf numFmtId="0" fontId="18" fillId="0" borderId="0" xfId="0" applyFont="1" applyFill="1" applyBorder="1"/>
    <xf numFmtId="37" fontId="18" fillId="0" borderId="0" xfId="0" applyNumberFormat="1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12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9" fontId="2" fillId="0" borderId="0" xfId="2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right"/>
    </xf>
    <xf numFmtId="9" fontId="2" fillId="0" borderId="0" xfId="20" applyFont="1" applyFill="1" applyBorder="1"/>
    <xf numFmtId="9" fontId="2" fillId="0" borderId="0" xfId="0" applyNumberFormat="1" applyFont="1" applyFill="1" applyBorder="1"/>
    <xf numFmtId="0" fontId="11" fillId="0" borderId="0" xfId="19" applyFont="1" applyFill="1" applyBorder="1" applyAlignment="1" applyProtection="1">
      <alignment horizontal="left"/>
    </xf>
    <xf numFmtId="0" fontId="11" fillId="0" borderId="0" xfId="19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190" fontId="9" fillId="0" borderId="0" xfId="0" applyNumberFormat="1" applyFont="1" applyFill="1" applyBorder="1"/>
    <xf numFmtId="0" fontId="12" fillId="0" borderId="0" xfId="19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2" fillId="0" borderId="0" xfId="0" applyNumberFormat="1" applyFont="1" applyFill="1" applyBorder="1" applyProtection="1"/>
    <xf numFmtId="166" fontId="9" fillId="0" borderId="0" xfId="3" applyNumberFormat="1" applyFont="1" applyFill="1" applyBorder="1"/>
    <xf numFmtId="166" fontId="3" fillId="0" borderId="0" xfId="0" applyNumberFormat="1" applyFont="1" applyFill="1" applyBorder="1"/>
    <xf numFmtId="41" fontId="9" fillId="0" borderId="0" xfId="0" applyNumberFormat="1" applyFont="1" applyFill="1" applyBorder="1"/>
    <xf numFmtId="41" fontId="2" fillId="0" borderId="0" xfId="0" applyNumberFormat="1" applyFont="1" applyFill="1" applyBorder="1"/>
    <xf numFmtId="41" fontId="12" fillId="0" borderId="0" xfId="0" applyNumberFormat="1" applyFont="1" applyFill="1" applyBorder="1"/>
    <xf numFmtId="0" fontId="9" fillId="0" borderId="0" xfId="0" applyFont="1" applyFill="1" applyBorder="1"/>
    <xf numFmtId="37" fontId="9" fillId="0" borderId="0" xfId="0" applyNumberFormat="1" applyFont="1" applyFill="1" applyBorder="1"/>
    <xf numFmtId="10" fontId="9" fillId="0" borderId="0" xfId="0" applyNumberFormat="1" applyFont="1" applyFill="1" applyBorder="1"/>
    <xf numFmtId="0" fontId="2" fillId="0" borderId="0" xfId="17" applyFont="1" applyFill="1" applyBorder="1"/>
    <xf numFmtId="0" fontId="3" fillId="0" borderId="0" xfId="17" applyFont="1" applyFill="1" applyBorder="1"/>
    <xf numFmtId="0" fontId="2" fillId="0" borderId="0" xfId="17" applyFont="1" applyFill="1" applyBorder="1" applyAlignment="1">
      <alignment horizontal="center"/>
    </xf>
    <xf numFmtId="0" fontId="2" fillId="0" borderId="0" xfId="18" applyFont="1" applyFill="1" applyBorder="1"/>
    <xf numFmtId="0" fontId="3" fillId="0" borderId="0" xfId="18" applyFont="1" applyFill="1" applyBorder="1"/>
    <xf numFmtId="164" fontId="2" fillId="0" borderId="0" xfId="20" applyNumberFormat="1" applyFont="1" applyFill="1" applyBorder="1"/>
    <xf numFmtId="0" fontId="2" fillId="0" borderId="0" xfId="17" applyFont="1" applyFill="1" applyBorder="1" applyAlignment="1">
      <alignment horizontal="left"/>
    </xf>
    <xf numFmtId="41" fontId="3" fillId="0" borderId="0" xfId="17" applyNumberFormat="1" applyFont="1" applyFill="1" applyBorder="1"/>
    <xf numFmtId="0" fontId="3" fillId="0" borderId="0" xfId="17" applyFont="1" applyFill="1" applyBorder="1" applyAlignment="1">
      <alignment horizontal="left"/>
    </xf>
    <xf numFmtId="166" fontId="21" fillId="0" borderId="0" xfId="3" applyNumberFormat="1" applyFont="1" applyFill="1" applyBorder="1" applyAlignment="1">
      <alignment horizontal="left"/>
    </xf>
    <xf numFmtId="168" fontId="3" fillId="0" borderId="0" xfId="3" applyNumberFormat="1" applyFont="1" applyFill="1" applyBorder="1" applyAlignment="1">
      <alignment horizontal="left"/>
    </xf>
    <xf numFmtId="37" fontId="3" fillId="0" borderId="0" xfId="17" applyNumberFormat="1" applyFont="1" applyFill="1" applyBorder="1" applyProtection="1"/>
    <xf numFmtId="37" fontId="21" fillId="0" borderId="0" xfId="17" applyNumberFormat="1" applyFont="1" applyFill="1" applyBorder="1" applyProtection="1"/>
    <xf numFmtId="10" fontId="3" fillId="0" borderId="0" xfId="20" applyNumberFormat="1" applyFont="1" applyFill="1" applyBorder="1"/>
    <xf numFmtId="9" fontId="3" fillId="0" borderId="0" xfId="17" applyNumberFormat="1" applyFont="1" applyFill="1" applyBorder="1"/>
    <xf numFmtId="0" fontId="12" fillId="0" borderId="0" xfId="17" applyFont="1" applyFill="1" applyBorder="1" applyAlignment="1">
      <alignment horizontal="left"/>
    </xf>
    <xf numFmtId="10" fontId="3" fillId="0" borderId="0" xfId="17" applyNumberFormat="1" applyFont="1" applyFill="1" applyBorder="1"/>
    <xf numFmtId="0" fontId="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38" fontId="10" fillId="0" borderId="0" xfId="0" applyNumberFormat="1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2" fillId="0" borderId="0" xfId="3" applyNumberFormat="1" applyFont="1" applyFill="1" applyBorder="1"/>
    <xf numFmtId="166" fontId="3" fillId="0" borderId="0" xfId="0" applyNumberFormat="1" applyFont="1" applyFill="1"/>
    <xf numFmtId="0" fontId="2" fillId="0" borderId="6" xfId="0" applyNumberFormat="1" applyFont="1" applyFill="1" applyBorder="1" applyAlignment="1">
      <alignment horizontal="left"/>
    </xf>
    <xf numFmtId="38" fontId="8" fillId="0" borderId="0" xfId="3" applyNumberFormat="1" applyFont="1" applyFill="1"/>
    <xf numFmtId="0" fontId="10" fillId="0" borderId="0" xfId="0" applyFont="1" applyFill="1"/>
    <xf numFmtId="38" fontId="12" fillId="0" borderId="0" xfId="0" applyNumberFormat="1" applyFont="1" applyFill="1"/>
    <xf numFmtId="0" fontId="14" fillId="0" borderId="0" xfId="0" applyFont="1" applyFill="1" applyBorder="1" applyAlignment="1">
      <alignment horizontal="center"/>
    </xf>
    <xf numFmtId="0" fontId="20" fillId="0" borderId="0" xfId="0" applyFont="1" applyFill="1"/>
    <xf numFmtId="0" fontId="4" fillId="0" borderId="6" xfId="0" applyFont="1" applyFill="1" applyBorder="1"/>
    <xf numFmtId="166" fontId="13" fillId="0" borderId="0" xfId="0" applyNumberFormat="1" applyFont="1" applyFill="1"/>
    <xf numFmtId="166" fontId="28" fillId="0" borderId="0" xfId="0" applyNumberFormat="1" applyFont="1" applyFill="1"/>
    <xf numFmtId="0" fontId="20" fillId="0" borderId="7" xfId="0" applyFont="1" applyFill="1" applyBorder="1"/>
    <xf numFmtId="0" fontId="4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4" fillId="0" borderId="8" xfId="0" applyFont="1" applyFill="1" applyBorder="1"/>
    <xf numFmtId="0" fontId="4" fillId="0" borderId="9" xfId="0" applyFont="1" applyFill="1" applyBorder="1"/>
    <xf numFmtId="0" fontId="13" fillId="0" borderId="10" xfId="0" applyFont="1" applyFill="1" applyBorder="1"/>
    <xf numFmtId="0" fontId="13" fillId="0" borderId="0" xfId="0" applyFont="1" applyFill="1" applyBorder="1"/>
    <xf numFmtId="165" fontId="13" fillId="0" borderId="11" xfId="4" applyNumberFormat="1" applyFont="1" applyFill="1" applyBorder="1"/>
    <xf numFmtId="166" fontId="13" fillId="0" borderId="12" xfId="0" applyNumberFormat="1" applyFont="1" applyFill="1" applyBorder="1"/>
    <xf numFmtId="0" fontId="4" fillId="0" borderId="13" xfId="0" applyFont="1" applyFill="1" applyBorder="1"/>
    <xf numFmtId="38" fontId="9" fillId="0" borderId="0" xfId="0" applyNumberFormat="1" applyFont="1" applyFill="1"/>
    <xf numFmtId="10" fontId="9" fillId="0" borderId="0" xfId="20" applyNumberFormat="1" applyFont="1" applyFill="1" applyAlignment="1">
      <alignment horizontal="center"/>
    </xf>
    <xf numFmtId="9" fontId="12" fillId="0" borderId="0" xfId="0" applyNumberFormat="1" applyFont="1" applyFill="1" applyAlignment="1">
      <alignment horizontal="center"/>
    </xf>
    <xf numFmtId="9" fontId="29" fillId="0" borderId="14" xfId="20" applyFont="1" applyFill="1" applyBorder="1"/>
    <xf numFmtId="9" fontId="24" fillId="0" borderId="0" xfId="20" applyFont="1" applyFill="1"/>
    <xf numFmtId="166" fontId="24" fillId="0" borderId="0" xfId="3" applyNumberFormat="1" applyFont="1" applyFill="1"/>
    <xf numFmtId="9" fontId="24" fillId="0" borderId="12" xfId="20" applyFont="1" applyFill="1" applyBorder="1"/>
    <xf numFmtId="166" fontId="24" fillId="0" borderId="12" xfId="3" applyNumberFormat="1" applyFont="1" applyFill="1" applyBorder="1"/>
    <xf numFmtId="166" fontId="9" fillId="0" borderId="0" xfId="3" applyNumberFormat="1" applyFont="1" applyFill="1"/>
    <xf numFmtId="38" fontId="30" fillId="0" borderId="0" xfId="3" applyNumberFormat="1" applyFont="1" applyFill="1"/>
    <xf numFmtId="38" fontId="31" fillId="0" borderId="0" xfId="0" applyNumberFormat="1" applyFont="1" applyFill="1"/>
    <xf numFmtId="0" fontId="32" fillId="0" borderId="0" xfId="0" applyFont="1" applyFill="1" applyBorder="1" applyAlignment="1">
      <alignment horizontal="centerContinuous"/>
    </xf>
    <xf numFmtId="38" fontId="31" fillId="0" borderId="4" xfId="3" applyNumberFormat="1" applyFont="1" applyFill="1" applyBorder="1"/>
    <xf numFmtId="166" fontId="12" fillId="0" borderId="0" xfId="3" applyNumberFormat="1" applyFont="1" applyFill="1"/>
    <xf numFmtId="166" fontId="13" fillId="0" borderId="15" xfId="3" applyNumberFormat="1" applyFont="1" applyFill="1" applyBorder="1"/>
    <xf numFmtId="0" fontId="1" fillId="0" borderId="0" xfId="0" applyFont="1" applyFill="1"/>
    <xf numFmtId="38" fontId="1" fillId="0" borderId="0" xfId="0" applyNumberFormat="1" applyFont="1" applyFill="1"/>
    <xf numFmtId="0" fontId="1" fillId="0" borderId="8" xfId="0" applyFont="1" applyFill="1" applyBorder="1"/>
    <xf numFmtId="0" fontId="1" fillId="0" borderId="9" xfId="0" applyFont="1" applyFill="1" applyBorder="1"/>
    <xf numFmtId="166" fontId="1" fillId="0" borderId="0" xfId="3" applyNumberFormat="1" applyFont="1" applyFill="1"/>
    <xf numFmtId="165" fontId="1" fillId="0" borderId="0" xfId="0" applyNumberFormat="1" applyFont="1" applyFill="1"/>
    <xf numFmtId="0" fontId="1" fillId="0" borderId="10" xfId="0" quotePrefix="1" applyFont="1" applyFill="1" applyBorder="1"/>
    <xf numFmtId="0" fontId="1" fillId="0" borderId="0" xfId="0" applyFont="1" applyFill="1" applyBorder="1"/>
    <xf numFmtId="165" fontId="1" fillId="0" borderId="11" xfId="4" applyNumberFormat="1" applyFont="1" applyFill="1" applyBorder="1"/>
    <xf numFmtId="0" fontId="1" fillId="0" borderId="10" xfId="0" applyFont="1" applyFill="1" applyBorder="1"/>
    <xf numFmtId="166" fontId="1" fillId="0" borderId="11" xfId="3" applyNumberFormat="1" applyFont="1" applyFill="1" applyBorder="1"/>
    <xf numFmtId="0" fontId="1" fillId="0" borderId="13" xfId="0" applyFont="1" applyFill="1" applyBorder="1"/>
    <xf numFmtId="0" fontId="1" fillId="0" borderId="6" xfId="0" applyFont="1" applyFill="1" applyBorder="1"/>
    <xf numFmtId="165" fontId="1" fillId="0" borderId="15" xfId="4" applyNumberFormat="1" applyFont="1" applyFill="1" applyBorder="1"/>
    <xf numFmtId="165" fontId="1" fillId="0" borderId="0" xfId="4" applyNumberFormat="1" applyFont="1" applyFill="1"/>
    <xf numFmtId="37" fontId="1" fillId="0" borderId="0" xfId="0" applyNumberFormat="1" applyFont="1" applyFill="1"/>
    <xf numFmtId="164" fontId="1" fillId="0" borderId="0" xfId="0" applyNumberFormat="1" applyFont="1" applyFill="1"/>
    <xf numFmtId="164" fontId="1" fillId="0" borderId="0" xfId="20" applyNumberFormat="1" applyFont="1" applyFill="1"/>
    <xf numFmtId="43" fontId="1" fillId="0" borderId="0" xfId="0" applyNumberFormat="1" applyFont="1" applyFill="1"/>
    <xf numFmtId="166" fontId="1" fillId="0" borderId="4" xfId="3" applyNumberFormat="1" applyFont="1" applyFill="1" applyBorder="1"/>
    <xf numFmtId="10" fontId="1" fillId="0" borderId="0" xfId="0" applyNumberFormat="1" applyFont="1" applyFill="1"/>
    <xf numFmtId="38" fontId="1" fillId="0" borderId="4" xfId="0" applyNumberFormat="1" applyFont="1" applyFill="1" applyBorder="1"/>
    <xf numFmtId="166" fontId="1" fillId="0" borderId="0" xfId="0" applyNumberFormat="1" applyFont="1" applyFill="1"/>
    <xf numFmtId="38" fontId="34" fillId="0" borderId="0" xfId="3" applyNumberFormat="1" applyFont="1" applyFill="1"/>
    <xf numFmtId="9" fontId="4" fillId="0" borderId="14" xfId="20" applyFont="1" applyFill="1" applyBorder="1"/>
    <xf numFmtId="0" fontId="12" fillId="0" borderId="0" xfId="0" applyFont="1" applyFill="1"/>
    <xf numFmtId="38" fontId="12" fillId="0" borderId="4" xfId="3" applyNumberFormat="1" applyFont="1" applyFill="1" applyBorder="1"/>
    <xf numFmtId="166" fontId="3" fillId="0" borderId="0" xfId="3" applyNumberFormat="1" applyFont="1" applyFill="1" applyBorder="1" applyAlignment="1">
      <alignment horizontal="left"/>
    </xf>
    <xf numFmtId="166" fontId="33" fillId="0" borderId="0" xfId="3" applyNumberFormat="1" applyFont="1" applyFill="1"/>
    <xf numFmtId="0" fontId="6" fillId="4" borderId="0" xfId="0" applyFont="1" applyFill="1"/>
    <xf numFmtId="0" fontId="3" fillId="0" borderId="0" xfId="0" applyFont="1"/>
    <xf numFmtId="9" fontId="3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/>
    <xf numFmtId="37" fontId="3" fillId="0" borderId="0" xfId="0" applyNumberFormat="1" applyFont="1"/>
    <xf numFmtId="38" fontId="3" fillId="8" borderId="0" xfId="0" applyNumberFormat="1" applyFont="1" applyFill="1"/>
    <xf numFmtId="0" fontId="3" fillId="8" borderId="0" xfId="0" applyFont="1" applyFill="1"/>
    <xf numFmtId="0" fontId="2" fillId="8" borderId="0" xfId="0" applyFont="1" applyFill="1" applyBorder="1" applyAlignment="1">
      <alignment horizontal="centerContinuous"/>
    </xf>
    <xf numFmtId="38" fontId="3" fillId="8" borderId="4" xfId="3" applyNumberFormat="1" applyFont="1" applyFill="1" applyBorder="1"/>
    <xf numFmtId="10" fontId="3" fillId="8" borderId="0" xfId="20" applyNumberFormat="1" applyFont="1" applyFill="1" applyAlignment="1">
      <alignment horizontal="center"/>
    </xf>
    <xf numFmtId="10" fontId="3" fillId="0" borderId="0" xfId="20" applyNumberFormat="1" applyFont="1" applyFill="1" applyAlignment="1">
      <alignment horizontal="center"/>
    </xf>
    <xf numFmtId="166" fontId="3" fillId="8" borderId="0" xfId="3" applyNumberFormat="1" applyFont="1" applyFill="1"/>
    <xf numFmtId="9" fontId="3" fillId="8" borderId="0" xfId="0" applyNumberFormat="1" applyFont="1" applyFill="1" applyAlignment="1">
      <alignment horizontal="center"/>
    </xf>
    <xf numFmtId="166" fontId="8" fillId="8" borderId="0" xfId="3" applyNumberFormat="1" applyFont="1" applyFill="1"/>
    <xf numFmtId="37" fontId="3" fillId="0" borderId="0" xfId="0" applyNumberFormat="1" applyFont="1" applyFill="1"/>
    <xf numFmtId="166" fontId="4" fillId="0" borderId="3" xfId="3" applyNumberFormat="1" applyFont="1" applyFill="1" applyBorder="1"/>
    <xf numFmtId="166" fontId="1" fillId="0" borderId="3" xfId="3" applyNumberFormat="1" applyFont="1" applyFill="1" applyBorder="1"/>
    <xf numFmtId="9" fontId="13" fillId="0" borderId="12" xfId="20" applyFont="1" applyFill="1" applyBorder="1"/>
    <xf numFmtId="166" fontId="13" fillId="0" borderId="12" xfId="3" applyNumberFormat="1" applyFont="1" applyFill="1" applyBorder="1"/>
    <xf numFmtId="165" fontId="13" fillId="0" borderId="0" xfId="4" applyNumberFormat="1" applyFont="1" applyFill="1"/>
    <xf numFmtId="9" fontId="13" fillId="0" borderId="0" xfId="20" applyFont="1" applyFill="1"/>
    <xf numFmtId="0" fontId="13" fillId="8" borderId="0" xfId="0" applyFont="1" applyFill="1"/>
    <xf numFmtId="164" fontId="13" fillId="8" borderId="0" xfId="20" applyNumberFormat="1" applyFont="1" applyFill="1"/>
    <xf numFmtId="166" fontId="13" fillId="0" borderId="0" xfId="3" applyNumberFormat="1" applyFont="1" applyFill="1"/>
    <xf numFmtId="166" fontId="13" fillId="8" borderId="4" xfId="3" applyNumberFormat="1" applyFont="1" applyFill="1" applyBorder="1"/>
    <xf numFmtId="166" fontId="13" fillId="8" borderId="11" xfId="3" applyNumberFormat="1" applyFont="1" applyFill="1" applyBorder="1"/>
    <xf numFmtId="43" fontId="90" fillId="0" borderId="0" xfId="3" applyFont="1" applyFill="1" applyBorder="1"/>
    <xf numFmtId="9" fontId="90" fillId="0" borderId="0" xfId="20" applyFont="1" applyFill="1" applyBorder="1"/>
    <xf numFmtId="0" fontId="2" fillId="0" borderId="0" xfId="19" applyFont="1" applyFill="1" applyBorder="1" applyAlignment="1" applyProtection="1">
      <alignment horizontal="left"/>
    </xf>
    <xf numFmtId="0" fontId="2" fillId="0" borderId="0" xfId="19" applyFont="1" applyFill="1" applyBorder="1" applyAlignment="1">
      <alignment horizontal="center"/>
    </xf>
    <xf numFmtId="0" fontId="3" fillId="0" borderId="0" xfId="19" applyFont="1" applyFill="1" applyBorder="1" applyAlignment="1" applyProtection="1">
      <alignment horizontal="left"/>
    </xf>
    <xf numFmtId="172" fontId="3" fillId="0" borderId="0" xfId="0" applyNumberFormat="1" applyFont="1" applyFill="1" applyBorder="1" applyProtection="1"/>
    <xf numFmtId="38" fontId="8" fillId="8" borderId="0" xfId="3" applyNumberFormat="1" applyFont="1" applyFill="1"/>
    <xf numFmtId="164" fontId="13" fillId="0" borderId="0" xfId="20" applyNumberFormat="1" applyFont="1" applyFill="1"/>
    <xf numFmtId="166" fontId="13" fillId="0" borderId="4" xfId="3" applyNumberFormat="1" applyFont="1" applyFill="1" applyBorder="1"/>
    <xf numFmtId="0" fontId="91" fillId="0" borderId="0" xfId="0" applyFont="1" applyFill="1"/>
    <xf numFmtId="0" fontId="12" fillId="0" borderId="0" xfId="0" applyFont="1" applyFill="1" applyBorder="1"/>
    <xf numFmtId="0" fontId="11" fillId="0" borderId="0" xfId="0" applyFont="1" applyFill="1"/>
    <xf numFmtId="0" fontId="11" fillId="0" borderId="6" xfId="0" applyNumberFormat="1" applyFont="1" applyFill="1" applyBorder="1" applyAlignment="1">
      <alignment horizontal="left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92" fillId="0" borderId="0" xfId="0" applyFont="1" applyFill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Continuous"/>
    </xf>
    <xf numFmtId="0" fontId="12" fillId="0" borderId="0" xfId="0" applyFont="1" applyFill="1" applyBorder="1" applyAlignment="1">
      <alignment horizontal="centerContinuous"/>
    </xf>
    <xf numFmtId="0" fontId="93" fillId="0" borderId="0" xfId="0" applyFont="1" applyFill="1"/>
    <xf numFmtId="0" fontId="12" fillId="0" borderId="0" xfId="0" applyFont="1" applyFill="1" applyAlignment="1">
      <alignment horizontal="left"/>
    </xf>
    <xf numFmtId="38" fontId="12" fillId="8" borderId="0" xfId="0" applyNumberFormat="1" applyFont="1" applyFill="1"/>
    <xf numFmtId="0" fontId="12" fillId="8" borderId="0" xfId="0" applyFont="1" applyFill="1"/>
    <xf numFmtId="0" fontId="11" fillId="8" borderId="0" xfId="0" applyFont="1" applyFill="1" applyBorder="1" applyAlignment="1">
      <alignment horizontal="centerContinuous"/>
    </xf>
    <xf numFmtId="38" fontId="12" fillId="8" borderId="4" xfId="3" applyNumberFormat="1" applyFont="1" applyFill="1" applyBorder="1"/>
    <xf numFmtId="38" fontId="12" fillId="0" borderId="0" xfId="3" applyNumberFormat="1" applyFont="1" applyFill="1"/>
    <xf numFmtId="166" fontId="12" fillId="0" borderId="0" xfId="0" applyNumberFormat="1" applyFont="1" applyFill="1"/>
    <xf numFmtId="38" fontId="11" fillId="0" borderId="0" xfId="0" applyNumberFormat="1" applyFont="1" applyFill="1"/>
    <xf numFmtId="0" fontId="11" fillId="0" borderId="0" xfId="0" applyFont="1" applyFill="1" applyBorder="1"/>
    <xf numFmtId="38" fontId="11" fillId="0" borderId="0" xfId="0" applyNumberFormat="1" applyFont="1" applyFill="1" applyBorder="1"/>
    <xf numFmtId="38" fontId="12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38" fontId="12" fillId="0" borderId="0" xfId="3" applyNumberFormat="1" applyFont="1" applyFill="1" applyBorder="1"/>
    <xf numFmtId="10" fontId="12" fillId="8" borderId="0" xfId="20" applyNumberFormat="1" applyFont="1" applyFill="1" applyAlignment="1">
      <alignment horizontal="center"/>
    </xf>
    <xf numFmtId="10" fontId="12" fillId="0" borderId="0" xfId="20" applyNumberFormat="1" applyFont="1" applyFill="1" applyAlignment="1">
      <alignment horizontal="center"/>
    </xf>
    <xf numFmtId="38" fontId="93" fillId="0" borderId="0" xfId="0" applyNumberFormat="1" applyFont="1" applyFill="1"/>
    <xf numFmtId="166" fontId="12" fillId="8" borderId="0" xfId="3" applyNumberFormat="1" applyFont="1" applyFill="1"/>
    <xf numFmtId="43" fontId="12" fillId="0" borderId="0" xfId="3" applyFont="1" applyFill="1" applyAlignment="1">
      <alignment horizontal="left"/>
    </xf>
    <xf numFmtId="9" fontId="12" fillId="0" borderId="0" xfId="0" applyNumberFormat="1" applyFont="1" applyFill="1"/>
    <xf numFmtId="9" fontId="12" fillId="8" borderId="0" xfId="0" applyNumberFormat="1" applyFont="1" applyFill="1" applyAlignment="1">
      <alignment horizontal="center"/>
    </xf>
    <xf numFmtId="0" fontId="11" fillId="0" borderId="6" xfId="0" applyFont="1" applyFill="1" applyBorder="1" applyAlignment="1">
      <alignment horizontal="left"/>
    </xf>
    <xf numFmtId="43" fontId="11" fillId="0" borderId="0" xfId="3" applyFont="1" applyFill="1" applyAlignment="1">
      <alignment horizontal="left"/>
    </xf>
    <xf numFmtId="166" fontId="34" fillId="8" borderId="0" xfId="3" applyNumberFormat="1" applyFont="1" applyFill="1"/>
    <xf numFmtId="37" fontId="12" fillId="0" borderId="0" xfId="0" applyNumberFormat="1" applyFont="1" applyFill="1"/>
    <xf numFmtId="38" fontId="11" fillId="0" borderId="0" xfId="3" applyNumberFormat="1" applyFont="1" applyFill="1" applyBorder="1"/>
    <xf numFmtId="43" fontId="11" fillId="0" borderId="0" xfId="3" applyFont="1" applyFill="1"/>
    <xf numFmtId="38" fontId="11" fillId="0" borderId="0" xfId="3" applyNumberFormat="1" applyFont="1" applyFill="1"/>
    <xf numFmtId="168" fontId="12" fillId="0" borderId="0" xfId="3" applyNumberFormat="1" applyFont="1" applyFill="1"/>
    <xf numFmtId="43" fontId="12" fillId="0" borderId="0" xfId="3" applyFont="1" applyFill="1" applyBorder="1"/>
    <xf numFmtId="0" fontId="94" fillId="0" borderId="0" xfId="0" applyFont="1" applyFill="1" applyBorder="1" applyAlignment="1">
      <alignment horizontal="center"/>
    </xf>
    <xf numFmtId="0" fontId="95" fillId="0" borderId="0" xfId="0" applyFont="1" applyFill="1" applyBorder="1"/>
    <xf numFmtId="17" fontId="11" fillId="0" borderId="0" xfId="0" applyNumberFormat="1" applyFont="1" applyFill="1" applyBorder="1" applyAlignment="1">
      <alignment horizontal="center"/>
    </xf>
    <xf numFmtId="0" fontId="96" fillId="0" borderId="0" xfId="0" applyFont="1" applyFill="1" applyBorder="1" applyAlignment="1">
      <alignment horizontal="center"/>
    </xf>
    <xf numFmtId="37" fontId="12" fillId="0" borderId="0" xfId="0" applyNumberFormat="1" applyFont="1" applyFill="1" applyBorder="1"/>
    <xf numFmtId="0" fontId="97" fillId="0" borderId="0" xfId="0" applyFont="1" applyFill="1"/>
    <xf numFmtId="0" fontId="36" fillId="0" borderId="6" xfId="0" applyFont="1" applyFill="1" applyBorder="1"/>
    <xf numFmtId="38" fontId="92" fillId="0" borderId="0" xfId="0" applyNumberFormat="1" applyFont="1" applyFill="1"/>
    <xf numFmtId="166" fontId="33" fillId="0" borderId="0" xfId="0" applyNumberFormat="1" applyFont="1" applyFill="1"/>
    <xf numFmtId="166" fontId="98" fillId="0" borderId="0" xfId="0" applyNumberFormat="1" applyFont="1" applyFill="1"/>
    <xf numFmtId="166" fontId="36" fillId="0" borderId="3" xfId="3" applyNumberFormat="1" applyFont="1" applyFill="1" applyBorder="1"/>
    <xf numFmtId="166" fontId="92" fillId="0" borderId="0" xfId="3" applyNumberFormat="1" applyFont="1" applyFill="1"/>
    <xf numFmtId="0" fontId="97" fillId="0" borderId="7" xfId="0" applyFont="1" applyFill="1" applyBorder="1"/>
    <xf numFmtId="0" fontId="92" fillId="0" borderId="8" xfId="0" applyFont="1" applyFill="1" applyBorder="1"/>
    <xf numFmtId="0" fontId="92" fillId="0" borderId="9" xfId="0" applyFont="1" applyFill="1" applyBorder="1"/>
    <xf numFmtId="166" fontId="92" fillId="0" borderId="3" xfId="3" applyNumberFormat="1" applyFont="1" applyFill="1" applyBorder="1"/>
    <xf numFmtId="165" fontId="92" fillId="0" borderId="0" xfId="0" applyNumberFormat="1" applyFont="1" applyFill="1"/>
    <xf numFmtId="0" fontId="92" fillId="0" borderId="10" xfId="0" quotePrefix="1" applyFont="1" applyFill="1" applyBorder="1"/>
    <xf numFmtId="0" fontId="92" fillId="0" borderId="0" xfId="0" applyFont="1" applyFill="1" applyBorder="1"/>
    <xf numFmtId="165" fontId="92" fillId="0" borderId="11" xfId="4" applyNumberFormat="1" applyFont="1" applyFill="1" applyBorder="1"/>
    <xf numFmtId="9" fontId="36" fillId="0" borderId="14" xfId="20" applyFont="1" applyFill="1" applyBorder="1"/>
    <xf numFmtId="0" fontId="92" fillId="0" borderId="10" xfId="0" applyFont="1" applyFill="1" applyBorder="1"/>
    <xf numFmtId="9" fontId="33" fillId="0" borderId="12" xfId="20" applyFont="1" applyFill="1" applyBorder="1"/>
    <xf numFmtId="166" fontId="92" fillId="0" borderId="11" xfId="3" applyNumberFormat="1" applyFont="1" applyFill="1" applyBorder="1"/>
    <xf numFmtId="166" fontId="33" fillId="0" borderId="12" xfId="3" applyNumberFormat="1" applyFont="1" applyFill="1" applyBorder="1"/>
    <xf numFmtId="0" fontId="92" fillId="0" borderId="13" xfId="0" applyFont="1" applyFill="1" applyBorder="1"/>
    <xf numFmtId="0" fontId="92" fillId="0" borderId="6" xfId="0" applyFont="1" applyFill="1" applyBorder="1"/>
    <xf numFmtId="165" fontId="92" fillId="0" borderId="15" xfId="4" applyNumberFormat="1" applyFont="1" applyFill="1" applyBorder="1"/>
    <xf numFmtId="165" fontId="33" fillId="0" borderId="0" xfId="4" applyNumberFormat="1" applyFont="1" applyFill="1"/>
    <xf numFmtId="165" fontId="92" fillId="0" borderId="0" xfId="4" applyNumberFormat="1" applyFont="1" applyFill="1"/>
    <xf numFmtId="9" fontId="33" fillId="0" borderId="0" xfId="20" applyFont="1" applyFill="1"/>
    <xf numFmtId="0" fontId="36" fillId="0" borderId="0" xfId="0" applyFont="1" applyFill="1"/>
    <xf numFmtId="0" fontId="33" fillId="8" borderId="0" xfId="0" applyFont="1" applyFill="1"/>
    <xf numFmtId="37" fontId="92" fillId="0" borderId="0" xfId="0" applyNumberFormat="1" applyFont="1" applyFill="1"/>
    <xf numFmtId="0" fontId="33" fillId="0" borderId="0" xfId="0" applyFont="1" applyFill="1"/>
    <xf numFmtId="164" fontId="92" fillId="0" borderId="0" xfId="0" applyNumberFormat="1" applyFont="1" applyFill="1"/>
    <xf numFmtId="164" fontId="33" fillId="8" borderId="0" xfId="20" applyNumberFormat="1" applyFont="1" applyFill="1"/>
    <xf numFmtId="164" fontId="92" fillId="0" borderId="0" xfId="20" applyNumberFormat="1" applyFont="1" applyFill="1"/>
    <xf numFmtId="43" fontId="92" fillId="0" borderId="0" xfId="0" applyNumberFormat="1" applyFont="1" applyFill="1"/>
    <xf numFmtId="166" fontId="92" fillId="0" borderId="4" xfId="3" applyNumberFormat="1" applyFont="1" applyFill="1" applyBorder="1"/>
    <xf numFmtId="10" fontId="92" fillId="0" borderId="0" xfId="0" applyNumberFormat="1" applyFont="1" applyFill="1"/>
    <xf numFmtId="38" fontId="92" fillId="0" borderId="4" xfId="0" applyNumberFormat="1" applyFont="1" applyFill="1" applyBorder="1"/>
    <xf numFmtId="0" fontId="99" fillId="0" borderId="0" xfId="0" applyFont="1" applyFill="1"/>
    <xf numFmtId="166" fontId="33" fillId="8" borderId="4" xfId="3" applyNumberFormat="1" applyFont="1" applyFill="1" applyBorder="1"/>
    <xf numFmtId="0" fontId="36" fillId="0" borderId="8" xfId="0" applyFont="1" applyFill="1" applyBorder="1"/>
    <xf numFmtId="0" fontId="36" fillId="0" borderId="9" xfId="0" applyFont="1" applyFill="1" applyBorder="1"/>
    <xf numFmtId="0" fontId="33" fillId="0" borderId="10" xfId="0" applyFont="1" applyFill="1" applyBorder="1"/>
    <xf numFmtId="0" fontId="33" fillId="0" borderId="0" xfId="0" applyFont="1" applyFill="1" applyBorder="1"/>
    <xf numFmtId="165" fontId="33" fillId="0" borderId="11" xfId="4" applyNumberFormat="1" applyFont="1" applyFill="1" applyBorder="1"/>
    <xf numFmtId="166" fontId="33" fillId="8" borderId="11" xfId="3" applyNumberFormat="1" applyFont="1" applyFill="1" applyBorder="1"/>
    <xf numFmtId="166" fontId="92" fillId="0" borderId="0" xfId="0" applyNumberFormat="1" applyFont="1" applyFill="1"/>
    <xf numFmtId="166" fontId="33" fillId="0" borderId="12" xfId="0" applyNumberFormat="1" applyFont="1" applyFill="1" applyBorder="1"/>
    <xf numFmtId="0" fontId="36" fillId="0" borderId="13" xfId="0" applyFont="1" applyFill="1" applyBorder="1"/>
    <xf numFmtId="166" fontId="33" fillId="0" borderId="15" xfId="3" applyNumberFormat="1" applyFont="1" applyFill="1" applyBorder="1"/>
    <xf numFmtId="37" fontId="11" fillId="0" borderId="0" xfId="0" applyNumberFormat="1" applyFont="1" applyFill="1" applyBorder="1"/>
    <xf numFmtId="37" fontId="94" fillId="0" borderId="0" xfId="0" applyNumberFormat="1" applyFont="1" applyFill="1" applyBorder="1"/>
    <xf numFmtId="43" fontId="100" fillId="0" borderId="0" xfId="3" applyFont="1" applyFill="1" applyBorder="1"/>
    <xf numFmtId="9" fontId="100" fillId="0" borderId="0" xfId="20" applyFont="1" applyFill="1" applyBorder="1"/>
    <xf numFmtId="0" fontId="101" fillId="0" borderId="0" xfId="0" applyFont="1" applyFill="1" applyBorder="1"/>
    <xf numFmtId="37" fontId="101" fillId="0" borderId="0" xfId="0" applyNumberFormat="1" applyFont="1" applyFill="1" applyBorder="1"/>
    <xf numFmtId="43" fontId="11" fillId="0" borderId="0" xfId="3" applyFont="1" applyFill="1" applyBorder="1" applyAlignment="1">
      <alignment horizontal="left"/>
    </xf>
    <xf numFmtId="43" fontId="11" fillId="0" borderId="0" xfId="3" applyFont="1" applyFill="1" applyBorder="1"/>
    <xf numFmtId="168" fontId="12" fillId="0" borderId="0" xfId="3" applyNumberFormat="1" applyFont="1" applyFill="1" applyBorder="1"/>
    <xf numFmtId="9" fontId="11" fillId="0" borderId="0" xfId="20" applyFont="1" applyFill="1" applyBorder="1" applyAlignment="1">
      <alignment horizontal="right"/>
    </xf>
    <xf numFmtId="10" fontId="12" fillId="0" borderId="0" xfId="0" applyNumberFormat="1" applyFont="1" applyFill="1" applyBorder="1" applyAlignment="1">
      <alignment horizontal="right"/>
    </xf>
    <xf numFmtId="9" fontId="11" fillId="0" borderId="0" xfId="20" applyFont="1" applyFill="1" applyBorder="1"/>
    <xf numFmtId="9" fontId="11" fillId="0" borderId="0" xfId="0" applyNumberFormat="1" applyFont="1" applyFill="1" applyBorder="1"/>
    <xf numFmtId="9" fontId="12" fillId="0" borderId="0" xfId="0" applyNumberFormat="1" applyFont="1" applyFill="1" applyBorder="1"/>
    <xf numFmtId="40" fontId="12" fillId="0" borderId="0" xfId="0" applyNumberFormat="1" applyFont="1" applyFill="1" applyBorder="1"/>
    <xf numFmtId="190" fontId="12" fillId="0" borderId="0" xfId="0" applyNumberFormat="1" applyFont="1" applyFill="1" applyBorder="1"/>
    <xf numFmtId="10" fontId="12" fillId="0" borderId="0" xfId="0" applyNumberFormat="1" applyFont="1" applyFill="1" applyBorder="1"/>
    <xf numFmtId="166" fontId="12" fillId="0" borderId="0" xfId="0" applyNumberFormat="1" applyFont="1" applyFill="1" applyBorder="1"/>
    <xf numFmtId="41" fontId="11" fillId="0" borderId="0" xfId="0" applyNumberFormat="1" applyFont="1" applyFill="1" applyBorder="1"/>
    <xf numFmtId="0" fontId="11" fillId="0" borderId="0" xfId="17" applyFont="1" applyFill="1" applyBorder="1"/>
    <xf numFmtId="0" fontId="12" fillId="0" borderId="0" xfId="17" applyFont="1" applyFill="1" applyBorder="1"/>
    <xf numFmtId="0" fontId="11" fillId="0" borderId="0" xfId="17" applyFont="1" applyFill="1" applyBorder="1" applyAlignment="1">
      <alignment horizontal="center"/>
    </xf>
    <xf numFmtId="0" fontId="11" fillId="0" borderId="0" xfId="18" applyFont="1" applyFill="1" applyBorder="1"/>
    <xf numFmtId="0" fontId="12" fillId="0" borderId="0" xfId="18" applyFont="1" applyFill="1" applyBorder="1"/>
    <xf numFmtId="164" fontId="11" fillId="0" borderId="0" xfId="20" applyNumberFormat="1" applyFont="1" applyFill="1" applyBorder="1"/>
    <xf numFmtId="0" fontId="11" fillId="0" borderId="0" xfId="17" applyFont="1" applyFill="1" applyBorder="1" applyAlignment="1">
      <alignment horizontal="left"/>
    </xf>
    <xf numFmtId="41" fontId="12" fillId="0" borderId="0" xfId="17" applyNumberFormat="1" applyFont="1" applyFill="1" applyBorder="1"/>
    <xf numFmtId="166" fontId="12" fillId="0" borderId="0" xfId="3" applyNumberFormat="1" applyFont="1" applyFill="1" applyBorder="1" applyAlignment="1">
      <alignment horizontal="left"/>
    </xf>
    <xf numFmtId="168" fontId="12" fillId="0" borderId="0" xfId="3" applyNumberFormat="1" applyFont="1" applyFill="1" applyBorder="1" applyAlignment="1">
      <alignment horizontal="left"/>
    </xf>
    <xf numFmtId="37" fontId="12" fillId="0" borderId="0" xfId="17" applyNumberFormat="1" applyFont="1" applyFill="1" applyBorder="1" applyProtection="1"/>
    <xf numFmtId="10" fontId="12" fillId="0" borderId="0" xfId="20" applyNumberFormat="1" applyFont="1" applyFill="1" applyBorder="1"/>
    <xf numFmtId="9" fontId="12" fillId="0" borderId="0" xfId="17" applyNumberFormat="1" applyFont="1" applyFill="1" applyBorder="1"/>
    <xf numFmtId="10" fontId="12" fillId="0" borderId="0" xfId="17" applyNumberFormat="1" applyFont="1" applyFill="1" applyBorder="1"/>
    <xf numFmtId="0" fontId="11" fillId="0" borderId="0" xfId="0" applyFont="1" applyFill="1" applyBorder="1" applyAlignment="1">
      <alignment horizontal="right"/>
    </xf>
    <xf numFmtId="38" fontId="31" fillId="8" borderId="0" xfId="0" applyNumberFormat="1" applyFont="1" applyFill="1"/>
    <xf numFmtId="0" fontId="31" fillId="8" borderId="0" xfId="0" applyFont="1" applyFill="1"/>
    <xf numFmtId="0" fontId="32" fillId="8" borderId="0" xfId="0" applyFont="1" applyFill="1" applyBorder="1" applyAlignment="1">
      <alignment horizontal="centerContinuous"/>
    </xf>
    <xf numFmtId="38" fontId="31" fillId="8" borderId="4" xfId="3" applyNumberFormat="1" applyFont="1" applyFill="1" applyBorder="1"/>
    <xf numFmtId="38" fontId="9" fillId="8" borderId="0" xfId="0" applyNumberFormat="1" applyFont="1" applyFill="1"/>
    <xf numFmtId="10" fontId="9" fillId="8" borderId="0" xfId="20" applyNumberFormat="1" applyFont="1" applyFill="1" applyAlignment="1">
      <alignment horizontal="center"/>
    </xf>
    <xf numFmtId="9" fontId="9" fillId="8" borderId="0" xfId="0" applyNumberFormat="1" applyFont="1" applyFill="1" applyAlignment="1">
      <alignment horizontal="center"/>
    </xf>
    <xf numFmtId="166" fontId="30" fillId="8" borderId="0" xfId="3" applyNumberFormat="1" applyFont="1" applyFill="1"/>
    <xf numFmtId="166" fontId="29" fillId="0" borderId="3" xfId="3" applyNumberFormat="1" applyFont="1" applyFill="1" applyBorder="1"/>
    <xf numFmtId="0" fontId="24" fillId="8" borderId="0" xfId="0" applyFont="1" applyFill="1"/>
    <xf numFmtId="164" fontId="24" fillId="8" borderId="0" xfId="20" applyNumberFormat="1" applyFont="1" applyFill="1"/>
    <xf numFmtId="166" fontId="24" fillId="8" borderId="4" xfId="3" applyNumberFormat="1" applyFont="1" applyFill="1" applyBorder="1"/>
    <xf numFmtId="166" fontId="24" fillId="8" borderId="11" xfId="3" applyNumberFormat="1" applyFont="1" applyFill="1" applyBorder="1"/>
    <xf numFmtId="0" fontId="102" fillId="0" borderId="0" xfId="0" applyFont="1" applyFill="1" applyBorder="1"/>
    <xf numFmtId="0" fontId="102" fillId="0" borderId="0" xfId="0" applyFont="1"/>
    <xf numFmtId="0" fontId="103" fillId="0" borderId="0" xfId="0" applyFont="1" applyFill="1" applyBorder="1" applyAlignment="1">
      <alignment horizontal="center"/>
    </xf>
    <xf numFmtId="0" fontId="103" fillId="0" borderId="0" xfId="0" applyFont="1" applyFill="1" applyBorder="1"/>
    <xf numFmtId="0" fontId="3" fillId="4" borderId="0" xfId="0" applyFont="1" applyFill="1"/>
    <xf numFmtId="164" fontId="3" fillId="0" borderId="0" xfId="20" applyNumberFormat="1" applyFont="1"/>
    <xf numFmtId="0" fontId="2" fillId="0" borderId="0" xfId="0" applyFont="1" applyAlignment="1">
      <alignment horizontal="center"/>
    </xf>
    <xf numFmtId="164" fontId="2" fillId="0" borderId="0" xfId="20" applyNumberFormat="1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center"/>
    </xf>
    <xf numFmtId="0" fontId="104" fillId="4" borderId="0" xfId="0" applyFont="1" applyFill="1" applyAlignment="1">
      <alignment horizontal="center"/>
    </xf>
    <xf numFmtId="164" fontId="104" fillId="0" borderId="0" xfId="20" applyNumberFormat="1" applyFont="1" applyAlignment="1">
      <alignment horizontal="center"/>
    </xf>
    <xf numFmtId="9" fontId="3" fillId="0" borderId="0" xfId="20" applyFont="1"/>
    <xf numFmtId="9" fontId="3" fillId="0" borderId="4" xfId="20" applyFont="1" applyBorder="1"/>
    <xf numFmtId="164" fontId="3" fillId="0" borderId="0" xfId="20" applyNumberFormat="1" applyFont="1" applyAlignment="1">
      <alignment horizontal="center"/>
    </xf>
    <xf numFmtId="37" fontId="2" fillId="0" borderId="0" xfId="0" applyNumberFormat="1" applyFont="1"/>
    <xf numFmtId="37" fontId="3" fillId="0" borderId="0" xfId="0" quotePrefix="1" applyNumberFormat="1" applyFont="1"/>
    <xf numFmtId="37" fontId="3" fillId="4" borderId="0" xfId="0" applyNumberFormat="1" applyFont="1" applyFill="1"/>
    <xf numFmtId="0" fontId="3" fillId="0" borderId="0" xfId="0" quotePrefix="1" applyFont="1"/>
    <xf numFmtId="0" fontId="89" fillId="4" borderId="0" xfId="0" applyFont="1" applyFill="1"/>
    <xf numFmtId="164" fontId="2" fillId="0" borderId="0" xfId="20" applyNumberFormat="1" applyFont="1"/>
    <xf numFmtId="166" fontId="103" fillId="0" borderId="0" xfId="3" applyNumberFormat="1" applyFont="1" applyFill="1"/>
    <xf numFmtId="166" fontId="103" fillId="0" borderId="0" xfId="0" applyNumberFormat="1" applyFont="1" applyFill="1" applyBorder="1"/>
    <xf numFmtId="37" fontId="103" fillId="0" borderId="0" xfId="0" applyNumberFormat="1" applyFont="1"/>
    <xf numFmtId="166" fontId="3" fillId="0" borderId="4" xfId="3" applyNumberFormat="1" applyFont="1" applyFill="1" applyBorder="1"/>
    <xf numFmtId="37" fontId="102" fillId="0" borderId="0" xfId="0" applyNumberFormat="1" applyFont="1"/>
    <xf numFmtId="166" fontId="1" fillId="10" borderId="0" xfId="3" applyNumberFormat="1" applyFont="1" applyFill="1"/>
    <xf numFmtId="166" fontId="92" fillId="10" borderId="0" xfId="3" applyNumberFormat="1" applyFont="1" applyFill="1"/>
    <xf numFmtId="0" fontId="3" fillId="0" borderId="4" xfId="0" applyFont="1" applyBorder="1"/>
    <xf numFmtId="0" fontId="10" fillId="0" borderId="0" xfId="0" applyFont="1"/>
    <xf numFmtId="0" fontId="2" fillId="11" borderId="0" xfId="0" applyFont="1" applyFill="1" applyAlignment="1">
      <alignment horizontal="center"/>
    </xf>
    <xf numFmtId="0" fontId="104" fillId="11" borderId="0" xfId="0" applyFont="1" applyFill="1" applyAlignment="1">
      <alignment horizontal="center"/>
    </xf>
    <xf numFmtId="166" fontId="3" fillId="11" borderId="0" xfId="3" applyNumberFormat="1" applyFont="1" applyFill="1" applyBorder="1"/>
    <xf numFmtId="166" fontId="3" fillId="11" borderId="4" xfId="3" applyNumberFormat="1" applyFont="1" applyFill="1" applyBorder="1"/>
    <xf numFmtId="214" fontId="3" fillId="11" borderId="0" xfId="0" applyNumberFormat="1" applyFont="1" applyFill="1" applyBorder="1"/>
    <xf numFmtId="214" fontId="2" fillId="11" borderId="0" xfId="0" applyNumberFormat="1" applyFont="1" applyFill="1" applyBorder="1"/>
    <xf numFmtId="214" fontId="3" fillId="0" borderId="0" xfId="0" applyNumberFormat="1" applyFont="1" applyFill="1" applyBorder="1"/>
    <xf numFmtId="214" fontId="2" fillId="0" borderId="0" xfId="0" applyNumberFormat="1" applyFont="1" applyFill="1" applyBorder="1"/>
    <xf numFmtId="9" fontId="2" fillId="0" borderId="5" xfId="0" applyNumberFormat="1" applyFont="1" applyBorder="1"/>
    <xf numFmtId="166" fontId="2" fillId="0" borderId="5" xfId="0" applyNumberFormat="1" applyFont="1" applyBorder="1"/>
    <xf numFmtId="0" fontId="3" fillId="11" borderId="0" xfId="0" applyFont="1" applyFill="1"/>
    <xf numFmtId="0" fontId="3" fillId="11" borderId="4" xfId="0" applyFont="1" applyFill="1" applyBorder="1"/>
    <xf numFmtId="37" fontId="3" fillId="11" borderId="0" xfId="0" applyNumberFormat="1" applyFont="1" applyFill="1"/>
    <xf numFmtId="166" fontId="2" fillId="11" borderId="5" xfId="0" applyNumberFormat="1" applyFont="1" applyFill="1" applyBorder="1"/>
    <xf numFmtId="165" fontId="13" fillId="0" borderId="0" xfId="4" applyNumberFormat="1" applyFont="1" applyFill="1" applyBorder="1"/>
    <xf numFmtId="0" fontId="10" fillId="4" borderId="0" xfId="0" applyFont="1" applyFill="1" applyAlignment="1">
      <alignment horizontal="center"/>
    </xf>
    <xf numFmtId="0" fontId="10" fillId="4" borderId="0" xfId="0" applyFont="1" applyFill="1"/>
    <xf numFmtId="164" fontId="10" fillId="0" borderId="0" xfId="20" applyNumberFormat="1" applyFont="1" applyAlignment="1">
      <alignment horizontal="center"/>
    </xf>
    <xf numFmtId="0" fontId="10" fillId="11" borderId="0" xfId="0" applyFont="1" applyFill="1"/>
    <xf numFmtId="164" fontId="3" fillId="0" borderId="4" xfId="20" applyNumberFormat="1" applyFont="1" applyBorder="1"/>
    <xf numFmtId="0" fontId="3" fillId="0" borderId="0" xfId="0" applyFont="1" applyAlignment="1">
      <alignment horizontal="center"/>
    </xf>
    <xf numFmtId="37" fontId="3" fillId="4" borderId="0" xfId="0" applyNumberFormat="1" applyFont="1" applyFill="1" applyAlignment="1">
      <alignment horizontal="right"/>
    </xf>
    <xf numFmtId="164" fontId="3" fillId="0" borderId="4" xfId="20" applyNumberFormat="1" applyFont="1" applyBorder="1" applyAlignment="1">
      <alignment horizontal="center"/>
    </xf>
    <xf numFmtId="38" fontId="3" fillId="11" borderId="0" xfId="0" applyNumberFormat="1" applyFont="1" applyFill="1"/>
    <xf numFmtId="38" fontId="3" fillId="0" borderId="0" xfId="0" applyNumberFormat="1" applyFont="1" applyFill="1" applyAlignment="1">
      <alignment horizontal="right"/>
    </xf>
    <xf numFmtId="166" fontId="8" fillId="11" borderId="0" xfId="3" applyNumberFormat="1" applyFont="1" applyFill="1"/>
    <xf numFmtId="0" fontId="2" fillId="4" borderId="4" xfId="0" applyFont="1" applyFill="1" applyBorder="1" applyAlignment="1">
      <alignment horizontal="centerContinuous"/>
    </xf>
    <xf numFmtId="37" fontId="3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left" indent="1"/>
    </xf>
    <xf numFmtId="0" fontId="3" fillId="0" borderId="0" xfId="0" applyFont="1" applyAlignment="1"/>
    <xf numFmtId="0" fontId="10" fillId="0" borderId="0" xfId="0" applyFont="1" applyAlignment="1"/>
    <xf numFmtId="37" fontId="3" fillId="0" borderId="4" xfId="0" applyNumberFormat="1" applyFont="1" applyBorder="1" applyAlignment="1">
      <alignment horizontal="center"/>
    </xf>
    <xf numFmtId="37" fontId="2" fillId="0" borderId="5" xfId="0" applyNumberFormat="1" applyFont="1" applyBorder="1" applyAlignment="1">
      <alignment horizontal="center"/>
    </xf>
    <xf numFmtId="37" fontId="3" fillId="4" borderId="0" xfId="0" applyNumberFormat="1" applyFont="1" applyFill="1" applyAlignment="1">
      <alignment horizontal="center"/>
    </xf>
    <xf numFmtId="37" fontId="3" fillId="4" borderId="4" xfId="0" applyNumberFormat="1" applyFont="1" applyFill="1" applyBorder="1" applyAlignment="1">
      <alignment horizontal="center"/>
    </xf>
    <xf numFmtId="37" fontId="2" fillId="4" borderId="5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right"/>
    </xf>
    <xf numFmtId="37" fontId="3" fillId="4" borderId="16" xfId="0" applyNumberFormat="1" applyFont="1" applyFill="1" applyBorder="1" applyAlignment="1">
      <alignment horizontal="right"/>
    </xf>
    <xf numFmtId="37" fontId="3" fillId="4" borderId="4" xfId="0" applyNumberFormat="1" applyFont="1" applyFill="1" applyBorder="1" applyAlignment="1">
      <alignment horizontal="right"/>
    </xf>
    <xf numFmtId="37" fontId="12" fillId="4" borderId="0" xfId="0" applyNumberFormat="1" applyFont="1" applyFill="1" applyAlignment="1">
      <alignment horizontal="right"/>
    </xf>
    <xf numFmtId="37" fontId="2" fillId="4" borderId="5" xfId="0" applyNumberFormat="1" applyFont="1" applyFill="1" applyBorder="1" applyAlignment="1">
      <alignment horizontal="right"/>
    </xf>
    <xf numFmtId="359" fontId="102" fillId="0" borderId="0" xfId="4" applyNumberFormat="1" applyFont="1" applyBorder="1" applyAlignment="1">
      <alignment horizontal="right"/>
    </xf>
    <xf numFmtId="359" fontId="102" fillId="0" borderId="4" xfId="4" applyNumberFormat="1" applyFont="1" applyBorder="1" applyAlignment="1">
      <alignment horizontal="right"/>
    </xf>
    <xf numFmtId="37" fontId="102" fillId="0" borderId="0" xfId="0" applyNumberFormat="1" applyFont="1" applyAlignment="1">
      <alignment horizontal="right"/>
    </xf>
    <xf numFmtId="359" fontId="103" fillId="0" borderId="5" xfId="4" applyNumberFormat="1" applyFont="1" applyBorder="1" applyAlignment="1">
      <alignment horizontal="right"/>
    </xf>
    <xf numFmtId="0" fontId="27" fillId="11" borderId="0" xfId="0" applyFont="1" applyFill="1"/>
    <xf numFmtId="166" fontId="27" fillId="11" borderId="0" xfId="0" applyNumberFormat="1" applyFont="1" applyFill="1"/>
    <xf numFmtId="9" fontId="105" fillId="0" borderId="0" xfId="20" applyFont="1" applyFill="1"/>
    <xf numFmtId="0" fontId="105" fillId="0" borderId="0" xfId="0" applyFont="1" applyFill="1"/>
    <xf numFmtId="8" fontId="2" fillId="0" borderId="0" xfId="0" applyNumberFormat="1" applyFont="1" applyFill="1"/>
    <xf numFmtId="40" fontId="2" fillId="0" borderId="0" xfId="0" applyNumberFormat="1" applyFont="1" applyFill="1"/>
    <xf numFmtId="9" fontId="3" fillId="0" borderId="0" xfId="20" applyFont="1" applyFill="1" applyBorder="1"/>
    <xf numFmtId="9" fontId="106" fillId="0" borderId="0" xfId="20" applyFont="1" applyFill="1" applyBorder="1"/>
    <xf numFmtId="38" fontId="106" fillId="0" borderId="0" xfId="3" applyNumberFormat="1" applyFont="1" applyFill="1"/>
    <xf numFmtId="0" fontId="106" fillId="0" borderId="0" xfId="0" applyFont="1" applyFill="1"/>
    <xf numFmtId="166" fontId="106" fillId="0" borderId="0" xfId="3" applyNumberFormat="1" applyFont="1" applyFill="1"/>
    <xf numFmtId="10" fontId="106" fillId="0" borderId="0" xfId="20" applyNumberFormat="1" applyFont="1" applyFill="1"/>
    <xf numFmtId="173" fontId="1" fillId="0" borderId="0" xfId="0" applyNumberFormat="1" applyFont="1" applyFill="1"/>
    <xf numFmtId="191" fontId="1" fillId="0" borderId="0" xfId="0" applyNumberFormat="1" applyFont="1" applyFill="1"/>
    <xf numFmtId="9" fontId="3" fillId="0" borderId="0" xfId="20" applyFont="1" applyFill="1"/>
    <xf numFmtId="9" fontId="106" fillId="0" borderId="0" xfId="20" applyFont="1" applyFill="1"/>
    <xf numFmtId="0" fontId="107" fillId="0" borderId="0" xfId="0" applyFont="1" applyFill="1"/>
    <xf numFmtId="38" fontId="0" fillId="0" borderId="0" xfId="0" applyNumberFormat="1"/>
    <xf numFmtId="9" fontId="0" fillId="0" borderId="0" xfId="0" applyNumberFormat="1"/>
    <xf numFmtId="6" fontId="0" fillId="0" borderId="0" xfId="0" applyNumberFormat="1"/>
    <xf numFmtId="0" fontId="4" fillId="4" borderId="0" xfId="0" applyFont="1" applyFill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IPP Summary" xfId="17"/>
    <cellStyle name="Normal_Summary" xfId="18"/>
    <cellStyle name="Normal_Yuma CE Strategic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PCP_update98&amp;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RE_update98&amp;9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SKYRIVER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SWMesaBa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Vansycle%206-13-0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V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Model_Feb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Mojave%2016-1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WPP899309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WPP90%20Return1231G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rownsville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wpp91%20Return1231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WPP91-2%20JD123199FinalEquity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WPP92%20JD123199FinalEqui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ast%20Origination\CTG%20Models\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CamRid-current%20mod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Greenridge%20acquisition_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e26-21%20Wind/Cerro_Current_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TURBINES"/>
      <sheetName val="ASSUME2"/>
      <sheetName val="ASSUME1"/>
      <sheetName val="Elect_Rev"/>
      <sheetName val="TOD"/>
      <sheetName val="RES_REV2"/>
      <sheetName val="SOURCES"/>
      <sheetName val="FINANCIALS"/>
      <sheetName val="TAX"/>
      <sheetName val="NOLs"/>
      <sheetName val="RETURNS"/>
      <sheetName val="BALANCES"/>
      <sheetName val="PARTNER INCOME"/>
      <sheetName val="DEBT"/>
      <sheetName val="DEPR"/>
      <sheetName val="Module3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19">
          <cell r="F19">
            <v>8200.3985508424812</v>
          </cell>
          <cell r="G19">
            <v>8012.8248163819944</v>
          </cell>
          <cell r="H19">
            <v>7924.1766258111429</v>
          </cell>
          <cell r="I19">
            <v>7911.37089229096</v>
          </cell>
          <cell r="J19">
            <v>7889.566821120573</v>
          </cell>
          <cell r="K19">
            <v>8574.3753651363932</v>
          </cell>
          <cell r="L19">
            <v>8793.47220418078</v>
          </cell>
          <cell r="M19">
            <v>9012.5690432251668</v>
          </cell>
          <cell r="N19">
            <v>9231.6658822695554</v>
          </cell>
          <cell r="O19">
            <v>9450.7627213139422</v>
          </cell>
          <cell r="P19">
            <v>9669.8595603583308</v>
          </cell>
          <cell r="Q19">
            <v>9840.9574805644315</v>
          </cell>
          <cell r="R19">
            <v>10012.055400770529</v>
          </cell>
          <cell r="S19">
            <v>10183.153320976629</v>
          </cell>
          <cell r="T19">
            <v>10354.251241182732</v>
          </cell>
          <cell r="U19">
            <v>8298.1943357861619</v>
          </cell>
          <cell r="V19">
            <v>8789.0417516883754</v>
          </cell>
          <cell r="W19">
            <v>9472.1138400384352</v>
          </cell>
          <cell r="X19">
            <v>9766.0410346447316</v>
          </cell>
          <cell r="Y19">
            <v>5197.4202686593926</v>
          </cell>
          <cell r="Z19">
            <v>0</v>
          </cell>
        </row>
        <row r="22">
          <cell r="F22">
            <v>543.15</v>
          </cell>
          <cell r="G22">
            <v>554.01300000000003</v>
          </cell>
          <cell r="H22">
            <v>565.0932600000001</v>
          </cell>
          <cell r="I22">
            <v>576.39512520000017</v>
          </cell>
          <cell r="J22">
            <v>587.92302770400022</v>
          </cell>
          <cell r="K22">
            <v>599.68148825808021</v>
          </cell>
          <cell r="L22">
            <v>611.67511802324179</v>
          </cell>
          <cell r="M22">
            <v>623.90862038370665</v>
          </cell>
          <cell r="N22">
            <v>636.3867927913808</v>
          </cell>
          <cell r="O22">
            <v>649.11452864720843</v>
          </cell>
          <cell r="P22">
            <v>662.09681922015261</v>
          </cell>
          <cell r="Q22">
            <v>675.33875560455567</v>
          </cell>
          <cell r="R22">
            <v>688.84553071664675</v>
          </cell>
          <cell r="S22">
            <v>702.62244133097965</v>
          </cell>
          <cell r="T22">
            <v>716.67489015759929</v>
          </cell>
          <cell r="U22">
            <v>731.00838796075129</v>
          </cell>
          <cell r="V22">
            <v>745.62855571996636</v>
          </cell>
          <cell r="W22">
            <v>760.54112683436574</v>
          </cell>
          <cell r="X22">
            <v>775.75194937105312</v>
          </cell>
          <cell r="Y22">
            <v>390.21385727267221</v>
          </cell>
          <cell r="Z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F24">
            <v>119.34</v>
          </cell>
          <cell r="G24">
            <v>121.72680000000001</v>
          </cell>
          <cell r="H24">
            <v>124.16133600000002</v>
          </cell>
          <cell r="I24">
            <v>126.64456272000002</v>
          </cell>
          <cell r="J24">
            <v>129.17745397440004</v>
          </cell>
          <cell r="K24">
            <v>131.76100305388803</v>
          </cell>
          <cell r="L24">
            <v>134.39622311496581</v>
          </cell>
          <cell r="M24">
            <v>137.08414757726513</v>
          </cell>
          <cell r="N24">
            <v>139.82583052881043</v>
          </cell>
          <cell r="O24">
            <v>142.62234713938665</v>
          </cell>
          <cell r="P24">
            <v>145.47479408217438</v>
          </cell>
          <cell r="Q24">
            <v>148.38428996381788</v>
          </cell>
          <cell r="R24">
            <v>151.35197576309423</v>
          </cell>
          <cell r="S24">
            <v>154.37901527835612</v>
          </cell>
          <cell r="T24">
            <v>157.46659558392324</v>
          </cell>
          <cell r="U24">
            <v>160.61592749560171</v>
          </cell>
          <cell r="V24">
            <v>163.82824604551374</v>
          </cell>
          <cell r="W24">
            <v>167.10481096642403</v>
          </cell>
          <cell r="X24">
            <v>170.44690718575251</v>
          </cell>
          <cell r="Y24">
            <v>85.737129203573048</v>
          </cell>
          <cell r="Z24">
            <v>0</v>
          </cell>
        </row>
        <row r="25">
          <cell r="F25">
            <v>14.302606291388072</v>
          </cell>
          <cell r="G25">
            <v>14.58150711407014</v>
          </cell>
          <cell r="H25">
            <v>14.865846502794509</v>
          </cell>
          <cell r="I25">
            <v>15.155730509599003</v>
          </cell>
          <cell r="J25">
            <v>15.451267254536187</v>
          </cell>
          <cell r="K25">
            <v>15.752566965999643</v>
          </cell>
          <cell r="L25">
            <v>16.059742021836637</v>
          </cell>
          <cell r="M25">
            <v>16.372906991262454</v>
          </cell>
          <cell r="N25">
            <v>16.692178677592072</v>
          </cell>
          <cell r="O25">
            <v>17.017676161805117</v>
          </cell>
          <cell r="P25">
            <v>17.349520846960321</v>
          </cell>
          <cell r="Q25">
            <v>17.687836503476046</v>
          </cell>
          <cell r="R25">
            <v>18.032749315293831</v>
          </cell>
          <cell r="S25">
            <v>18.384387926942061</v>
          </cell>
          <cell r="T25">
            <v>18.742883491517432</v>
          </cell>
          <cell r="U25">
            <v>19.10836971960202</v>
          </cell>
          <cell r="V25">
            <v>19.480982929134264</v>
          </cell>
          <cell r="W25">
            <v>19.860862096252383</v>
          </cell>
          <cell r="X25">
            <v>20.248148907129309</v>
          </cell>
          <cell r="Y25">
            <v>10.180103577937809</v>
          </cell>
          <cell r="Z25">
            <v>0</v>
          </cell>
        </row>
        <row r="26">
          <cell r="F26">
            <v>453.14005646673496</v>
          </cell>
          <cell r="G26">
            <v>386.95105945473995</v>
          </cell>
          <cell r="H26">
            <v>336.03644636858996</v>
          </cell>
          <cell r="I26">
            <v>290.21329459105493</v>
          </cell>
          <cell r="J26">
            <v>244.39014281351996</v>
          </cell>
          <cell r="K26">
            <v>178.20114580152497</v>
          </cell>
          <cell r="L26">
            <v>157.83530056706499</v>
          </cell>
          <cell r="M26">
            <v>152.74383925844998</v>
          </cell>
          <cell r="N26">
            <v>152.74383925844998</v>
          </cell>
          <cell r="O26">
            <v>152.74383925844998</v>
          </cell>
          <cell r="P26">
            <v>152.74383925844998</v>
          </cell>
          <cell r="Q26">
            <v>152.74383925844998</v>
          </cell>
          <cell r="R26">
            <v>152.74383925844998</v>
          </cell>
          <cell r="S26">
            <v>152.74383925844998</v>
          </cell>
          <cell r="T26">
            <v>152.74383925844998</v>
          </cell>
          <cell r="U26">
            <v>152.74383925844998</v>
          </cell>
          <cell r="V26">
            <v>152.74383925844998</v>
          </cell>
          <cell r="W26">
            <v>152.74383925844998</v>
          </cell>
          <cell r="X26">
            <v>152.74383925844998</v>
          </cell>
          <cell r="Y26">
            <v>75.325728949372589</v>
          </cell>
          <cell r="Z26">
            <v>0</v>
          </cell>
        </row>
        <row r="27">
          <cell r="F27">
            <v>356.51912969870386</v>
          </cell>
          <cell r="G27">
            <v>348.71729606425731</v>
          </cell>
          <cell r="H27">
            <v>345.03011439771007</v>
          </cell>
          <cell r="I27">
            <v>344.49748010976515</v>
          </cell>
          <cell r="J27">
            <v>343.59057415987684</v>
          </cell>
          <cell r="K27">
            <v>372.0741054347979</v>
          </cell>
          <cell r="L27">
            <v>381.18709288463469</v>
          </cell>
          <cell r="M27">
            <v>390.30008033447143</v>
          </cell>
          <cell r="N27">
            <v>399.41306778430817</v>
          </cell>
          <cell r="O27">
            <v>408.52605523414496</v>
          </cell>
          <cell r="P27">
            <v>417.63904268398176</v>
          </cell>
          <cell r="Q27">
            <v>424.75559081097447</v>
          </cell>
          <cell r="R27">
            <v>431.87213893796718</v>
          </cell>
          <cell r="S27">
            <v>438.98868706495989</v>
          </cell>
          <cell r="T27">
            <v>446.10523519195266</v>
          </cell>
          <cell r="U27">
            <v>365.32561485302944</v>
          </cell>
          <cell r="V27">
            <v>386.15064454838097</v>
          </cell>
          <cell r="W27">
            <v>414.56195068870733</v>
          </cell>
          <cell r="X27">
            <v>424.82070651957639</v>
          </cell>
          <cell r="Y27">
            <v>228.54394175541256</v>
          </cell>
          <cell r="Z27">
            <v>0</v>
          </cell>
        </row>
        <row r="28">
          <cell r="F28">
            <v>28.968000000000004</v>
          </cell>
          <cell r="G28">
            <v>29.547360000000005</v>
          </cell>
          <cell r="H28">
            <v>30.138307200000007</v>
          </cell>
          <cell r="I28">
            <v>30.741073344000007</v>
          </cell>
          <cell r="J28">
            <v>31.35589481088001</v>
          </cell>
          <cell r="K28">
            <v>31.983012707097611</v>
          </cell>
          <cell r="L28">
            <v>32.622672961239566</v>
          </cell>
          <cell r="M28">
            <v>33.27512642046436</v>
          </cell>
          <cell r="N28">
            <v>33.940628948873645</v>
          </cell>
          <cell r="O28">
            <v>34.619441527851116</v>
          </cell>
          <cell r="P28">
            <v>35.311830358408137</v>
          </cell>
          <cell r="Q28">
            <v>36.018066965576303</v>
          </cell>
          <cell r="R28">
            <v>36.738428304887826</v>
          </cell>
          <cell r="S28">
            <v>37.473196870985582</v>
          </cell>
          <cell r="T28">
            <v>38.222660808405294</v>
          </cell>
          <cell r="U28">
            <v>38.987114024573401</v>
          </cell>
          <cell r="V28">
            <v>39.76685630506487</v>
          </cell>
          <cell r="W28">
            <v>40.562193431166165</v>
          </cell>
          <cell r="X28">
            <v>41.373437299789487</v>
          </cell>
          <cell r="Y28">
            <v>20.811405721209177</v>
          </cell>
          <cell r="Z28">
            <v>0</v>
          </cell>
        </row>
        <row r="29">
          <cell r="F29">
            <v>130.5651</v>
          </cell>
          <cell r="G29">
            <v>130.5651</v>
          </cell>
          <cell r="H29">
            <v>130.5651</v>
          </cell>
          <cell r="I29">
            <v>130.5651</v>
          </cell>
          <cell r="J29">
            <v>130.5651</v>
          </cell>
          <cell r="K29">
            <v>130.5651</v>
          </cell>
          <cell r="L29">
            <v>130.5651</v>
          </cell>
          <cell r="M29">
            <v>130.5651</v>
          </cell>
          <cell r="N29">
            <v>130.5651</v>
          </cell>
          <cell r="O29">
            <v>130.5651</v>
          </cell>
          <cell r="P29">
            <v>130.5651</v>
          </cell>
          <cell r="Q29">
            <v>130.5651</v>
          </cell>
          <cell r="R29">
            <v>130.5651</v>
          </cell>
          <cell r="S29">
            <v>130.5651</v>
          </cell>
          <cell r="T29">
            <v>130.5651</v>
          </cell>
          <cell r="U29">
            <v>130.5651</v>
          </cell>
          <cell r="V29">
            <v>130.5651</v>
          </cell>
          <cell r="W29">
            <v>130.5651</v>
          </cell>
          <cell r="X29">
            <v>130.5651</v>
          </cell>
          <cell r="Y29">
            <v>64.388268493150676</v>
          </cell>
          <cell r="Z29">
            <v>0</v>
          </cell>
        </row>
        <row r="30">
          <cell r="F30">
            <v>124.4808</v>
          </cell>
          <cell r="G30">
            <v>126.970416</v>
          </cell>
          <cell r="H30">
            <v>129.50982432000001</v>
          </cell>
          <cell r="I30">
            <v>132.10002080640001</v>
          </cell>
          <cell r="J30">
            <v>134.74202122252802</v>
          </cell>
          <cell r="K30">
            <v>137.4368616469786</v>
          </cell>
          <cell r="L30">
            <v>140.18559887991816</v>
          </cell>
          <cell r="M30">
            <v>142.98931085751653</v>
          </cell>
          <cell r="N30">
            <v>145.84909707466687</v>
          </cell>
          <cell r="O30">
            <v>148.76607901616021</v>
          </cell>
          <cell r="P30">
            <v>151.7414005964834</v>
          </cell>
          <cell r="Q30">
            <v>154.77622860841308</v>
          </cell>
          <cell r="R30">
            <v>157.87175318058135</v>
          </cell>
          <cell r="S30">
            <v>161.02918824419299</v>
          </cell>
          <cell r="T30">
            <v>164.24977200907685</v>
          </cell>
          <cell r="U30">
            <v>167.5347674492584</v>
          </cell>
          <cell r="V30">
            <v>170.88546279824357</v>
          </cell>
          <cell r="W30">
            <v>174.30317205420843</v>
          </cell>
          <cell r="X30">
            <v>177.78923549529262</v>
          </cell>
          <cell r="Y30">
            <v>89.430420923111569</v>
          </cell>
          <cell r="Z30">
            <v>0</v>
          </cell>
        </row>
        <row r="32">
          <cell r="F32">
            <v>0</v>
          </cell>
          <cell r="G32">
            <v>54.121608000000002</v>
          </cell>
          <cell r="H32">
            <v>55.204040159999998</v>
          </cell>
          <cell r="I32">
            <v>56.308120963200004</v>
          </cell>
          <cell r="J32">
            <v>57.434283382464002</v>
          </cell>
          <cell r="K32">
            <v>58.582969050113284</v>
          </cell>
          <cell r="L32">
            <v>59.754628431115556</v>
          </cell>
          <cell r="M32">
            <v>60.949720999737863</v>
          </cell>
          <cell r="N32">
            <v>62.168715419732621</v>
          </cell>
          <cell r="O32">
            <v>63.412089728127278</v>
          </cell>
          <cell r="P32">
            <v>64.680331522689812</v>
          </cell>
          <cell r="Q32">
            <v>65.973938153143621</v>
          </cell>
          <cell r="R32">
            <v>67.293416916206496</v>
          </cell>
          <cell r="S32">
            <v>68.63928525453062</v>
          </cell>
          <cell r="T32">
            <v>70.012070959621241</v>
          </cell>
          <cell r="U32">
            <v>71.412312378813667</v>
          </cell>
          <cell r="V32">
            <v>72.840558626389935</v>
          </cell>
          <cell r="W32">
            <v>74.297369798917742</v>
          </cell>
          <cell r="X32">
            <v>75.7833171948961</v>
          </cell>
          <cell r="Y32">
            <v>38.120046676665545</v>
          </cell>
          <cell r="Z32">
            <v>0</v>
          </cell>
        </row>
        <row r="33">
          <cell r="F33">
            <v>51</v>
          </cell>
          <cell r="G33">
            <v>52.02</v>
          </cell>
          <cell r="H33">
            <v>53.060400000000001</v>
          </cell>
          <cell r="I33">
            <v>54.121608000000002</v>
          </cell>
          <cell r="J33">
            <v>55.204040160000005</v>
          </cell>
          <cell r="K33">
            <v>56.308120963200004</v>
          </cell>
          <cell r="L33">
            <v>57.434283382464002</v>
          </cell>
          <cell r="M33">
            <v>58.582969050113284</v>
          </cell>
          <cell r="N33">
            <v>59.754628431115549</v>
          </cell>
          <cell r="O33">
            <v>60.949720999737863</v>
          </cell>
          <cell r="P33">
            <v>62.168715419732621</v>
          </cell>
          <cell r="Q33">
            <v>63.412089728127278</v>
          </cell>
          <cell r="R33">
            <v>64.680331522689826</v>
          </cell>
          <cell r="S33">
            <v>65.973938153143621</v>
          </cell>
          <cell r="T33">
            <v>67.293416916206496</v>
          </cell>
          <cell r="U33">
            <v>68.639285254530634</v>
          </cell>
          <cell r="V33">
            <v>70.012070959621255</v>
          </cell>
          <cell r="W33">
            <v>71.412312378813681</v>
          </cell>
          <cell r="X33">
            <v>72.840558626389949</v>
          </cell>
          <cell r="Y33">
            <v>36.639798804945741</v>
          </cell>
          <cell r="Z33">
            <v>0</v>
          </cell>
        </row>
        <row r="34">
          <cell r="F34">
            <v>9.18</v>
          </cell>
          <cell r="G34">
            <v>9.3635999999999999</v>
          </cell>
          <cell r="H34">
            <v>9.550872</v>
          </cell>
          <cell r="I34">
            <v>9.7418894399999996</v>
          </cell>
          <cell r="J34">
            <v>9.9367272288000006</v>
          </cell>
          <cell r="K34">
            <v>10.135461773376001</v>
          </cell>
          <cell r="L34">
            <v>10.338171008843521</v>
          </cell>
          <cell r="M34">
            <v>10.54493442902039</v>
          </cell>
          <cell r="N34">
            <v>10.755833117600798</v>
          </cell>
          <cell r="O34">
            <v>10.970949779952814</v>
          </cell>
          <cell r="P34">
            <v>11.190368775551871</v>
          </cell>
          <cell r="Q34">
            <v>11.414176151062909</v>
          </cell>
          <cell r="R34">
            <v>11.642459674084167</v>
          </cell>
          <cell r="S34">
            <v>11.875308867565851</v>
          </cell>
          <cell r="T34">
            <v>12.112815044917168</v>
          </cell>
          <cell r="U34">
            <v>12.355071345815512</v>
          </cell>
          <cell r="V34">
            <v>12.602172772731823</v>
          </cell>
          <cell r="W34">
            <v>12.854216228186459</v>
          </cell>
          <cell r="X34">
            <v>13.111300552750189</v>
          </cell>
          <cell r="Y34">
            <v>6.5951637848902314</v>
          </cell>
          <cell r="Z34">
            <v>0</v>
          </cell>
        </row>
        <row r="35">
          <cell r="F35">
            <v>48.96</v>
          </cell>
          <cell r="G35">
            <v>49.9392</v>
          </cell>
          <cell r="H35">
            <v>50.937984</v>
          </cell>
          <cell r="I35">
            <v>51.956743680000002</v>
          </cell>
          <cell r="J35">
            <v>52.995878553600001</v>
          </cell>
          <cell r="K35">
            <v>54.055796124672</v>
          </cell>
          <cell r="L35">
            <v>55.136912047165438</v>
          </cell>
          <cell r="M35">
            <v>56.239650288108749</v>
          </cell>
          <cell r="N35">
            <v>57.364443293870927</v>
          </cell>
          <cell r="O35">
            <v>58.511732159748348</v>
          </cell>
          <cell r="P35">
            <v>59.681966802943315</v>
          </cell>
          <cell r="Q35">
            <v>60.87560613900218</v>
          </cell>
          <cell r="R35">
            <v>62.093118261782223</v>
          </cell>
          <cell r="S35">
            <v>63.33498062701787</v>
          </cell>
          <cell r="T35">
            <v>64.601680239558235</v>
          </cell>
          <cell r="U35">
            <v>65.893713844349406</v>
          </cell>
          <cell r="V35">
            <v>67.211588121236389</v>
          </cell>
          <cell r="W35">
            <v>68.555819883661115</v>
          </cell>
          <cell r="X35">
            <v>69.926936281334335</v>
          </cell>
          <cell r="Y35">
            <v>35.174206852747901</v>
          </cell>
          <cell r="Z35">
            <v>0</v>
          </cell>
        </row>
        <row r="36">
          <cell r="F36">
            <v>26.552883297546899</v>
          </cell>
          <cell r="G36">
            <v>25.942909681599911</v>
          </cell>
          <cell r="H36">
            <v>25.654633407178068</v>
          </cell>
          <cell r="I36">
            <v>25.612990265601631</v>
          </cell>
          <cell r="J36">
            <v>25.542085305627246</v>
          </cell>
          <cell r="K36">
            <v>27.769023661501986</v>
          </cell>
          <cell r="L36">
            <v>28.481507696320907</v>
          </cell>
          <cell r="M36">
            <v>29.193991731139828</v>
          </cell>
          <cell r="N36">
            <v>29.906475765958749</v>
          </cell>
          <cell r="O36">
            <v>30.618959800777674</v>
          </cell>
          <cell r="P36">
            <v>31.331443835596591</v>
          </cell>
          <cell r="Q36">
            <v>31.887839523773863</v>
          </cell>
          <cell r="R36">
            <v>32.444235211951131</v>
          </cell>
          <cell r="S36">
            <v>33.000630900128407</v>
          </cell>
          <cell r="T36">
            <v>33.557026588305682</v>
          </cell>
          <cell r="U36">
            <v>35.018777999298372</v>
          </cell>
          <cell r="V36">
            <v>37.37428623478884</v>
          </cell>
          <cell r="W36">
            <v>39.595577786517893</v>
          </cell>
          <cell r="X36">
            <v>41.816869338246939</v>
          </cell>
          <cell r="Y36">
            <v>0</v>
          </cell>
          <cell r="Z36">
            <v>0</v>
          </cell>
        </row>
        <row r="45">
          <cell r="F45">
            <v>-3655.0680000000002</v>
          </cell>
          <cell r="G45">
            <v>-3077.3979260422766</v>
          </cell>
          <cell r="H45">
            <v>-2963.355741487303</v>
          </cell>
          <cell r="I45">
            <v>-2844.9961273829613</v>
          </cell>
          <cell r="J45">
            <v>-2723.1928893651061</v>
          </cell>
          <cell r="K45">
            <v>-2587.1852308457719</v>
          </cell>
          <cell r="L45">
            <v>-2416.2688557591014</v>
          </cell>
          <cell r="M45">
            <v>-2223.4507765974458</v>
          </cell>
          <cell r="N45">
            <v>-2007.527086991096</v>
          </cell>
          <cell r="O45">
            <v>-1763.5801863829652</v>
          </cell>
          <cell r="P45">
            <v>-1489.6326991433295</v>
          </cell>
          <cell r="Q45">
            <v>-1183.4974930920691</v>
          </cell>
          <cell r="R45">
            <v>-844.58295014468354</v>
          </cell>
          <cell r="S45">
            <v>-469.38974159033165</v>
          </cell>
          <cell r="T45">
            <v>-88.572263177126729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117">
          <cell r="G117">
            <v>11579.01076520103</v>
          </cell>
        </row>
      </sheetData>
      <sheetData sheetId="10">
        <row r="50">
          <cell r="F50">
            <v>2883.8402773199996</v>
          </cell>
          <cell r="G50">
            <v>2883.8402773199996</v>
          </cell>
          <cell r="H50">
            <v>2883.8402773199996</v>
          </cell>
          <cell r="I50">
            <v>3044.0536260599997</v>
          </cell>
          <cell r="J50">
            <v>3044.0536260599997</v>
          </cell>
          <cell r="K50">
            <v>3044.0536260599997</v>
          </cell>
          <cell r="L50">
            <v>3204.2669747999994</v>
          </cell>
          <cell r="M50">
            <v>3204.2669747999994</v>
          </cell>
          <cell r="N50">
            <v>3364.48032354</v>
          </cell>
          <cell r="O50">
            <v>2159.4862486441625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37">
          <cell r="F37">
            <v>38702.225140916002</v>
          </cell>
        </row>
        <row r="55">
          <cell r="E55">
            <v>49795</v>
          </cell>
        </row>
        <row r="60">
          <cell r="E60">
            <v>3655.0680000000002</v>
          </cell>
          <cell r="F60">
            <v>3077.3979260422766</v>
          </cell>
          <cell r="G60">
            <v>2963.355741487303</v>
          </cell>
          <cell r="H60">
            <v>2844.9961273829613</v>
          </cell>
          <cell r="I60">
            <v>2723.1928893651061</v>
          </cell>
          <cell r="J60">
            <v>2587.1852308457719</v>
          </cell>
          <cell r="K60">
            <v>2416.2688557591014</v>
          </cell>
          <cell r="L60">
            <v>2223.4507765974458</v>
          </cell>
          <cell r="M60">
            <v>2007.527086991096</v>
          </cell>
          <cell r="N60">
            <v>1763.5801863829652</v>
          </cell>
          <cell r="O60">
            <v>1489.6326991433295</v>
          </cell>
          <cell r="P60">
            <v>1183.4974930920691</v>
          </cell>
          <cell r="Q60">
            <v>844.58295014468354</v>
          </cell>
          <cell r="R60">
            <v>469.38974159033165</v>
          </cell>
          <cell r="S60">
            <v>88.572263177126729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E61">
            <v>1884</v>
          </cell>
          <cell r="F61">
            <v>1418.43337874077</v>
          </cell>
          <cell r="G61">
            <v>1475.6396729027495</v>
          </cell>
          <cell r="H61">
            <v>1510.6365867342629</v>
          </cell>
          <cell r="I61">
            <v>1595.1561502040327</v>
          </cell>
          <cell r="J61">
            <v>2073.5312142083794</v>
          </cell>
          <cell r="K61">
            <v>2349.6676382090845</v>
          </cell>
          <cell r="L61">
            <v>2611.5983533490098</v>
          </cell>
          <cell r="M61">
            <v>2922.7085284491945</v>
          </cell>
          <cell r="N61">
            <v>3290.1939136460842</v>
          </cell>
          <cell r="O61">
            <v>3688.069792050379</v>
          </cell>
          <cell r="P61">
            <v>4090.440646575069</v>
          </cell>
          <cell r="Q61">
            <v>4522.7577982736357</v>
          </cell>
          <cell r="R61">
            <v>4990.8453649067924</v>
          </cell>
          <cell r="S61">
            <v>2162.5461026665685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</sheetData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Alloc"/>
      <sheetName val="ASSUME1"/>
      <sheetName val="ASSUME2"/>
      <sheetName val="TURBINES"/>
      <sheetName val="TOD"/>
      <sheetName val="Leases"/>
      <sheetName val="SOURCES"/>
      <sheetName val="FIN"/>
      <sheetName val="TAX"/>
      <sheetName val="Credits"/>
      <sheetName val="NOLs"/>
      <sheetName val="BALANCES"/>
      <sheetName val="E &amp; P"/>
      <sheetName val="RETURNS"/>
      <sheetName val="DEBT"/>
      <sheetName val="DEPR"/>
      <sheetName val="1998 DEPR"/>
      <sheetName val="PARTNER INCOME"/>
      <sheetName val="MISC CALC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1">
          <cell r="G21">
            <v>4207.1055704930832</v>
          </cell>
          <cell r="H21">
            <v>4111.4911006658358</v>
          </cell>
          <cell r="I21">
            <v>4066.303272172916</v>
          </cell>
          <cell r="J21">
            <v>4059.7756342560033</v>
          </cell>
          <cell r="K21">
            <v>4048.6611532705465</v>
          </cell>
          <cell r="L21">
            <v>4397.7377766985219</v>
          </cell>
          <cell r="M21">
            <v>4509.4209404757403</v>
          </cell>
          <cell r="N21">
            <v>4621.1041042529596</v>
          </cell>
          <cell r="O21">
            <v>4732.787268030178</v>
          </cell>
          <cell r="P21">
            <v>4844.4704318073973</v>
          </cell>
          <cell r="Q21">
            <v>4956.1535955846157</v>
          </cell>
          <cell r="R21">
            <v>5043.3696281283273</v>
          </cell>
          <cell r="S21">
            <v>5130.5856606720372</v>
          </cell>
          <cell r="T21">
            <v>5217.801693215747</v>
          </cell>
          <cell r="U21">
            <v>5305.0177257594578</v>
          </cell>
          <cell r="V21">
            <v>3434.3443341534526</v>
          </cell>
          <cell r="W21">
            <v>3468.9075073938129</v>
          </cell>
          <cell r="X21">
            <v>3672.3991086417909</v>
          </cell>
          <cell r="Y21">
            <v>2697.4157513699129</v>
          </cell>
          <cell r="Z21">
            <v>0</v>
          </cell>
          <cell r="AA21">
            <v>0</v>
          </cell>
        </row>
        <row r="22">
          <cell r="G22">
            <v>51.503189927399397</v>
          </cell>
          <cell r="H22">
            <v>50.251785091379503</v>
          </cell>
          <cell r="I22">
            <v>49.660365537336652</v>
          </cell>
          <cell r="J22">
            <v>49.574931631027574</v>
          </cell>
          <cell r="K22">
            <v>49.429464995274841</v>
          </cell>
          <cell r="L22">
            <v>53.998189535488436</v>
          </cell>
          <cell r="M22">
            <v>55.459901884103942</v>
          </cell>
          <cell r="N22">
            <v>56.921614232719435</v>
          </cell>
          <cell r="O22">
            <v>58.38332658133492</v>
          </cell>
          <cell r="P22">
            <v>59.845038929950427</v>
          </cell>
          <cell r="Q22">
            <v>61.306751278565933</v>
          </cell>
          <cell r="R22">
            <v>62.448237134220001</v>
          </cell>
          <cell r="S22">
            <v>63.589722989874055</v>
          </cell>
          <cell r="T22">
            <v>64.73120884552813</v>
          </cell>
          <cell r="U22">
            <v>65.872694701182226</v>
          </cell>
          <cell r="V22">
            <v>3.9258373228161694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G23">
            <v>20.109790216091866</v>
          </cell>
          <cell r="H23">
            <v>19.621170214821326</v>
          </cell>
          <cell r="I23">
            <v>19.390246204517073</v>
          </cell>
          <cell r="J23">
            <v>19.356887922522532</v>
          </cell>
          <cell r="K23">
            <v>19.300089430379586</v>
          </cell>
          <cell r="L23">
            <v>21.083980723099856</v>
          </cell>
          <cell r="M23">
            <v>21.654716802328434</v>
          </cell>
          <cell r="N23">
            <v>22.225452881557004</v>
          </cell>
          <cell r="O23">
            <v>22.796188960785582</v>
          </cell>
          <cell r="P23">
            <v>23.366925040014156</v>
          </cell>
          <cell r="Q23">
            <v>23.937661119242737</v>
          </cell>
          <cell r="R23">
            <v>24.383362465590363</v>
          </cell>
          <cell r="S23">
            <v>24.829063811937989</v>
          </cell>
          <cell r="T23">
            <v>25.274765158285614</v>
          </cell>
          <cell r="U23">
            <v>25.720466504633247</v>
          </cell>
          <cell r="V23">
            <v>1.5328713638053151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G24">
            <v>124.4808</v>
          </cell>
          <cell r="H24">
            <v>126.970416</v>
          </cell>
          <cell r="I24">
            <v>129.50982432000001</v>
          </cell>
          <cell r="J24">
            <v>132.10002080640001</v>
          </cell>
          <cell r="K24">
            <v>134.74202122252802</v>
          </cell>
          <cell r="L24">
            <v>137.4368616469786</v>
          </cell>
          <cell r="M24">
            <v>140.18559887991816</v>
          </cell>
          <cell r="N24">
            <v>142.98931085751653</v>
          </cell>
          <cell r="O24">
            <v>145.84909707466687</v>
          </cell>
          <cell r="P24">
            <v>148.76607901616021</v>
          </cell>
          <cell r="Q24">
            <v>151.7414005964834</v>
          </cell>
          <cell r="R24">
            <v>154.77622860841308</v>
          </cell>
          <cell r="S24">
            <v>157.87175318058135</v>
          </cell>
          <cell r="T24">
            <v>161.02918824419299</v>
          </cell>
          <cell r="U24">
            <v>164.24977200907685</v>
          </cell>
          <cell r="V24">
            <v>167.5347674492584</v>
          </cell>
          <cell r="W24">
            <v>170.88546279824357</v>
          </cell>
          <cell r="X24">
            <v>174.30317205420843</v>
          </cell>
          <cell r="Y24">
            <v>177.78923549529262</v>
          </cell>
          <cell r="Z24">
            <v>89.430420923111569</v>
          </cell>
          <cell r="AA24">
            <v>0</v>
          </cell>
        </row>
        <row r="25">
          <cell r="G25">
            <v>340.79999999999995</v>
          </cell>
          <cell r="H25">
            <v>340.79999999999995</v>
          </cell>
          <cell r="I25">
            <v>340.79999999999995</v>
          </cell>
          <cell r="J25">
            <v>340.79999999999995</v>
          </cell>
          <cell r="K25">
            <v>340.79999999999995</v>
          </cell>
          <cell r="L25">
            <v>340.79999999999995</v>
          </cell>
          <cell r="M25">
            <v>340.79999999999995</v>
          </cell>
          <cell r="N25">
            <v>340.79999999999995</v>
          </cell>
          <cell r="O25">
            <v>340.79999999999995</v>
          </cell>
          <cell r="P25">
            <v>340.79999999999995</v>
          </cell>
          <cell r="Q25">
            <v>340.79999999999995</v>
          </cell>
          <cell r="R25">
            <v>340.79999999999995</v>
          </cell>
          <cell r="S25">
            <v>340.79999999999995</v>
          </cell>
          <cell r="T25">
            <v>340.79999999999995</v>
          </cell>
          <cell r="U25">
            <v>340.79999999999995</v>
          </cell>
          <cell r="V25">
            <v>340.79999999999995</v>
          </cell>
          <cell r="W25">
            <v>340.79999999999995</v>
          </cell>
          <cell r="X25">
            <v>340.79999999999995</v>
          </cell>
          <cell r="Y25">
            <v>340.79999999999995</v>
          </cell>
          <cell r="Z25">
            <v>340.79999999999995</v>
          </cell>
          <cell r="AA25">
            <v>0</v>
          </cell>
        </row>
        <row r="45">
          <cell r="G45">
            <v>51</v>
          </cell>
          <cell r="H45">
            <v>52.02</v>
          </cell>
          <cell r="I45">
            <v>53.060400000000001</v>
          </cell>
          <cell r="J45">
            <v>54.121608000000002</v>
          </cell>
          <cell r="K45">
            <v>55.204040160000005</v>
          </cell>
          <cell r="L45">
            <v>56.308120963200004</v>
          </cell>
          <cell r="M45">
            <v>57.434283382464002</v>
          </cell>
          <cell r="N45">
            <v>58.582969050113284</v>
          </cell>
          <cell r="O45">
            <v>59.754628431115549</v>
          </cell>
          <cell r="P45">
            <v>60.949720999737863</v>
          </cell>
          <cell r="Q45">
            <v>62.168715419732621</v>
          </cell>
          <cell r="R45">
            <v>63.412089728127278</v>
          </cell>
          <cell r="S45">
            <v>64.680331522689826</v>
          </cell>
          <cell r="T45">
            <v>65.973938153143621</v>
          </cell>
          <cell r="U45">
            <v>67.293416916206496</v>
          </cell>
          <cell r="V45">
            <v>68.639285254530634</v>
          </cell>
          <cell r="W45">
            <v>70.012070959621255</v>
          </cell>
          <cell r="X45">
            <v>71.412312378813681</v>
          </cell>
          <cell r="Y45">
            <v>50.489483102675777</v>
          </cell>
          <cell r="Z45">
            <v>0</v>
          </cell>
          <cell r="AA45">
            <v>0</v>
          </cell>
        </row>
        <row r="49">
          <cell r="G49">
            <v>2434.1836349854916</v>
          </cell>
          <cell r="H49">
            <v>2478.8305523737185</v>
          </cell>
          <cell r="I49">
            <v>2441.6833989852885</v>
          </cell>
          <cell r="J49">
            <v>2468.2501286879174</v>
          </cell>
          <cell r="K49">
            <v>2494.0870426586953</v>
          </cell>
          <cell r="L49">
            <v>2622.3675841644795</v>
          </cell>
          <cell r="M49">
            <v>2684.1016293972871</v>
          </cell>
          <cell r="N49">
            <v>2746.4377296152679</v>
          </cell>
          <cell r="O49">
            <v>2809.3879078195691</v>
          </cell>
          <cell r="P49">
            <v>2872.9644271184379</v>
          </cell>
          <cell r="Q49">
            <v>2937.1797955224829</v>
          </cell>
          <cell r="R49">
            <v>2995.1272709912455</v>
          </cell>
          <cell r="S49">
            <v>3053.7393659552931</v>
          </cell>
          <cell r="T49">
            <v>3113.0293528711909</v>
          </cell>
          <cell r="U49">
            <v>3173.0107692559345</v>
          </cell>
          <cell r="V49">
            <v>1997.1822847165859</v>
          </cell>
          <cell r="W49">
            <v>1916.433704355964</v>
          </cell>
          <cell r="X49">
            <v>1955.705004931875</v>
          </cell>
          <cell r="Y49">
            <v>1409.4412567230579</v>
          </cell>
          <cell r="Z49">
            <v>0</v>
          </cell>
          <cell r="AA49">
            <v>0</v>
          </cell>
        </row>
      </sheetData>
      <sheetData sheetId="10">
        <row r="53">
          <cell r="G53">
            <v>774.05973898681611</v>
          </cell>
          <cell r="H53">
            <v>774.05973898681611</v>
          </cell>
          <cell r="I53">
            <v>817.06305781941705</v>
          </cell>
          <cell r="J53">
            <v>817.06305781941705</v>
          </cell>
          <cell r="K53">
            <v>264.53132942686148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VER"/>
      <sheetName val="TURBINES"/>
      <sheetName val="ASSUME1"/>
      <sheetName val="ASSUME2"/>
      <sheetName val="TOD Alloc"/>
      <sheetName val="2001"/>
      <sheetName val="Revenue"/>
      <sheetName val="ANNUALREV2"/>
      <sheetName val="MNTHCF"/>
      <sheetName val="FINANCIALS"/>
      <sheetName val="DEPR2"/>
      <sheetName val="TAX"/>
      <sheetName val="ADDL CONTRA"/>
      <sheetName val="DEBT"/>
      <sheetName val="NOLs"/>
      <sheetName val="RETURNS"/>
      <sheetName val="BALANCES"/>
      <sheetName val="PARTNER INCOME"/>
      <sheetName val="FERC"/>
      <sheetName val="CONSTRUCT"/>
      <sheetName val="SOURCES"/>
      <sheetName val="SENSITIVITY"/>
      <sheetName val="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">
          <cell r="N9">
            <v>38348</v>
          </cell>
          <cell r="O9">
            <v>23304</v>
          </cell>
          <cell r="P9">
            <v>10501</v>
          </cell>
          <cell r="Q9">
            <v>10653</v>
          </cell>
          <cell r="R9">
            <v>10804</v>
          </cell>
          <cell r="S9">
            <v>12755.477905752216</v>
          </cell>
          <cell r="T9">
            <v>13289.84523425847</v>
          </cell>
          <cell r="U9">
            <v>13557.028898511593</v>
          </cell>
          <cell r="V9">
            <v>13777.887025901135</v>
          </cell>
          <cell r="W9">
            <v>14004.708322730199</v>
          </cell>
          <cell r="X9">
            <v>14237.653794573645</v>
          </cell>
          <cell r="Y9">
            <v>14485.749349696986</v>
          </cell>
          <cell r="Z9">
            <v>14740.791580363777</v>
          </cell>
          <cell r="AA9">
            <v>15002.974993489242</v>
          </cell>
          <cell r="AB9">
            <v>15272.499542182219</v>
          </cell>
          <cell r="AC9">
            <v>15549.570778238598</v>
          </cell>
          <cell r="AD9">
            <v>15834.400008904558</v>
          </cell>
          <cell r="AE9">
            <v>16127.204458029162</v>
          </cell>
          <cell r="AF9">
            <v>16428.207431729257</v>
          </cell>
          <cell r="AG9">
            <v>16737.638488692952</v>
          </cell>
          <cell r="AH9">
            <v>17055.733615251633</v>
          </cell>
        </row>
        <row r="14">
          <cell r="N14">
            <v>1972</v>
          </cell>
          <cell r="O14">
            <v>1949</v>
          </cell>
          <cell r="P14">
            <v>1934</v>
          </cell>
          <cell r="Q14">
            <v>2029</v>
          </cell>
          <cell r="R14">
            <v>2019</v>
          </cell>
          <cell r="S14">
            <v>2073.5129999999999</v>
          </cell>
          <cell r="T14">
            <v>2129.4978509999996</v>
          </cell>
          <cell r="U14">
            <v>2186.9942929769995</v>
          </cell>
          <cell r="V14">
            <v>2246.0431388873785</v>
          </cell>
          <cell r="W14">
            <v>2306.6863036373375</v>
          </cell>
          <cell r="X14">
            <v>2368.9668338355455</v>
          </cell>
          <cell r="Y14">
            <v>2435.2979051829407</v>
          </cell>
          <cell r="Z14">
            <v>2503.486246528063</v>
          </cell>
          <cell r="AA14">
            <v>2573.5838614308486</v>
          </cell>
          <cell r="AB14">
            <v>2645.6442095509124</v>
          </cell>
          <cell r="AC14">
            <v>2719.7222474183382</v>
          </cell>
          <cell r="AD14">
            <v>2795.8744703460516</v>
          </cell>
          <cell r="AE14">
            <v>2874.1589555157411</v>
          </cell>
          <cell r="AF14">
            <v>2954.6354062701821</v>
          </cell>
          <cell r="AG14">
            <v>3037.3651976457472</v>
          </cell>
          <cell r="AH14">
            <v>3122.411423179828</v>
          </cell>
        </row>
        <row r="15">
          <cell r="N15">
            <v>544</v>
          </cell>
          <cell r="O15">
            <v>522</v>
          </cell>
          <cell r="P15">
            <v>483</v>
          </cell>
          <cell r="Q15">
            <v>459</v>
          </cell>
          <cell r="R15">
            <v>416</v>
          </cell>
          <cell r="S15">
            <v>200.12879699999996</v>
          </cell>
          <cell r="T15">
            <v>200.12879699999996</v>
          </cell>
          <cell r="U15">
            <v>200.12879699999996</v>
          </cell>
          <cell r="V15">
            <v>200.12879699999996</v>
          </cell>
          <cell r="W15">
            <v>200.12879699999996</v>
          </cell>
          <cell r="X15">
            <v>200.12879699999996</v>
          </cell>
          <cell r="Y15">
            <v>200.12879699999996</v>
          </cell>
          <cell r="Z15">
            <v>200.12879699999996</v>
          </cell>
          <cell r="AA15">
            <v>200.12879699999996</v>
          </cell>
          <cell r="AB15">
            <v>200.12879699999996</v>
          </cell>
          <cell r="AC15">
            <v>200.12879699999996</v>
          </cell>
          <cell r="AD15">
            <v>200.12879699999996</v>
          </cell>
          <cell r="AE15">
            <v>200.12879699999996</v>
          </cell>
          <cell r="AF15">
            <v>200.12879699999996</v>
          </cell>
          <cell r="AG15">
            <v>200.12879699999996</v>
          </cell>
          <cell r="AH15">
            <v>200.12879699999996</v>
          </cell>
        </row>
        <row r="16">
          <cell r="N16">
            <v>575</v>
          </cell>
          <cell r="O16">
            <v>298</v>
          </cell>
          <cell r="P16">
            <v>109</v>
          </cell>
          <cell r="Q16">
            <v>106</v>
          </cell>
          <cell r="R16">
            <v>107</v>
          </cell>
          <cell r="S16">
            <v>153.9</v>
          </cell>
          <cell r="T16">
            <v>153.9</v>
          </cell>
          <cell r="U16">
            <v>153.9</v>
          </cell>
          <cell r="V16">
            <v>153.9</v>
          </cell>
          <cell r="W16">
            <v>153.9</v>
          </cell>
          <cell r="X16">
            <v>153.9</v>
          </cell>
          <cell r="Y16">
            <v>153.9</v>
          </cell>
          <cell r="Z16">
            <v>153.9</v>
          </cell>
          <cell r="AA16">
            <v>153.9</v>
          </cell>
          <cell r="AB16">
            <v>153.9</v>
          </cell>
          <cell r="AC16">
            <v>155.49570778238598</v>
          </cell>
          <cell r="AD16">
            <v>158.34400008904558</v>
          </cell>
          <cell r="AE16">
            <v>161.27204458029163</v>
          </cell>
          <cell r="AF16">
            <v>164.28207431729257</v>
          </cell>
          <cell r="AG16">
            <v>167.37638488692951</v>
          </cell>
          <cell r="AH16">
            <v>170.55733615251634</v>
          </cell>
        </row>
        <row r="18">
          <cell r="N18">
            <v>168</v>
          </cell>
          <cell r="O18">
            <v>172</v>
          </cell>
          <cell r="P18">
            <v>176</v>
          </cell>
          <cell r="Q18">
            <v>180</v>
          </cell>
          <cell r="R18">
            <v>180</v>
          </cell>
          <cell r="S18">
            <v>184.85999999999999</v>
          </cell>
          <cell r="T18">
            <v>189.85121999999996</v>
          </cell>
          <cell r="U18">
            <v>194.97720293999993</v>
          </cell>
          <cell r="V18">
            <v>200.2415874193799</v>
          </cell>
          <cell r="W18">
            <v>205.64811027970313</v>
          </cell>
          <cell r="X18">
            <v>211.20060925725511</v>
          </cell>
          <cell r="Y18">
            <v>217.11422631645826</v>
          </cell>
          <cell r="Z18">
            <v>223.19342465331908</v>
          </cell>
          <cell r="AA18">
            <v>229.44284054361202</v>
          </cell>
          <cell r="AB18">
            <v>235.86724007883316</v>
          </cell>
          <cell r="AC18">
            <v>242.47152280104049</v>
          </cell>
          <cell r="AD18">
            <v>249.26072543946964</v>
          </cell>
          <cell r="AE18">
            <v>256.24002575177479</v>
          </cell>
          <cell r="AF18">
            <v>263.4147464728245</v>
          </cell>
          <cell r="AG18">
            <v>270.7903593740636</v>
          </cell>
          <cell r="AH18">
            <v>278.37248943653736</v>
          </cell>
        </row>
        <row r="19">
          <cell r="N19">
            <v>107</v>
          </cell>
          <cell r="O19">
            <v>148</v>
          </cell>
          <cell r="P19">
            <v>111</v>
          </cell>
          <cell r="Q19">
            <v>115</v>
          </cell>
          <cell r="R19">
            <v>118</v>
          </cell>
          <cell r="S19">
            <v>121.18599999999999</v>
          </cell>
          <cell r="T19">
            <v>124.45802199999999</v>
          </cell>
          <cell r="U19">
            <v>127.81838859399997</v>
          </cell>
          <cell r="V19">
            <v>131.26948508603795</v>
          </cell>
          <cell r="W19">
            <v>134.81376118336095</v>
          </cell>
          <cell r="X19">
            <v>138.45373273531169</v>
          </cell>
          <cell r="Y19">
            <v>142.33043725190041</v>
          </cell>
          <cell r="Z19">
            <v>146.31568949495363</v>
          </cell>
          <cell r="AA19">
            <v>150.41252880081234</v>
          </cell>
          <cell r="AB19">
            <v>154.62407960723507</v>
          </cell>
          <cell r="AC19">
            <v>158.95355383623766</v>
          </cell>
          <cell r="AD19">
            <v>163.40425334365233</v>
          </cell>
          <cell r="AE19">
            <v>167.97957243727458</v>
          </cell>
          <cell r="AF19">
            <v>172.68300046551829</v>
          </cell>
          <cell r="AG19">
            <v>177.51812447855281</v>
          </cell>
          <cell r="AH19">
            <v>182.48863196395229</v>
          </cell>
        </row>
        <row r="20"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N21">
            <v>300</v>
          </cell>
          <cell r="O21">
            <v>307</v>
          </cell>
          <cell r="P21">
            <v>314</v>
          </cell>
          <cell r="Q21">
            <v>321</v>
          </cell>
          <cell r="R21">
            <v>329</v>
          </cell>
          <cell r="S21">
            <v>337.88299999999998</v>
          </cell>
          <cell r="T21">
            <v>347.00584099999998</v>
          </cell>
          <cell r="U21">
            <v>356.37499870699992</v>
          </cell>
          <cell r="V21">
            <v>365.99712367208889</v>
          </cell>
          <cell r="W21">
            <v>375.87904601123523</v>
          </cell>
          <cell r="X21">
            <v>386.02778025353854</v>
          </cell>
          <cell r="Y21">
            <v>396.8365581006376</v>
          </cell>
          <cell r="Z21">
            <v>407.94798172745544</v>
          </cell>
          <cell r="AA21">
            <v>419.37052521582422</v>
          </cell>
          <cell r="AB21">
            <v>431.11289992186732</v>
          </cell>
          <cell r="AC21">
            <v>443.1840611196796</v>
          </cell>
          <cell r="AD21">
            <v>455.59321483103065</v>
          </cell>
          <cell r="AE21">
            <v>468.3498248462995</v>
          </cell>
          <cell r="AF21">
            <v>481.46361994199589</v>
          </cell>
          <cell r="AG21">
            <v>494.9446013003718</v>
          </cell>
          <cell r="AH21">
            <v>508.80305013678225</v>
          </cell>
        </row>
        <row r="22">
          <cell r="N22">
            <v>75</v>
          </cell>
          <cell r="O22">
            <v>175</v>
          </cell>
          <cell r="P22">
            <v>75</v>
          </cell>
          <cell r="Q22">
            <v>75</v>
          </cell>
          <cell r="R22">
            <v>75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4">
          <cell r="N24">
            <v>9</v>
          </cell>
          <cell r="O24">
            <v>9</v>
          </cell>
          <cell r="P24">
            <v>9</v>
          </cell>
          <cell r="Q24">
            <v>9</v>
          </cell>
          <cell r="R24">
            <v>9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64">
          <cell r="N64">
            <v>16679.998820000001</v>
          </cell>
        </row>
        <row r="70">
          <cell r="N70">
            <v>48622.002860000001</v>
          </cell>
        </row>
      </sheetData>
      <sheetData sheetId="11" refreshError="1"/>
      <sheetData sheetId="12" refreshError="1"/>
      <sheetData sheetId="13" refreshError="1"/>
      <sheetData sheetId="14">
        <row r="86">
          <cell r="L86">
            <v>7002</v>
          </cell>
        </row>
      </sheetData>
      <sheetData sheetId="15" refreshError="1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eturns"/>
      <sheetName val="Financials"/>
      <sheetName val="ASSUME1"/>
      <sheetName val="ASSUME2"/>
      <sheetName val="Turbines"/>
      <sheetName val="Debt"/>
      <sheetName val="Sources"/>
      <sheetName val="Tax"/>
      <sheetName val="NOLs"/>
      <sheetName val="Balances"/>
      <sheetName val="Income"/>
      <sheetName val="Depr"/>
      <sheetName val="Construct"/>
      <sheetName val="LC Sched"/>
      <sheetName val="CSWFORM"/>
      <sheetName val="Price"/>
      <sheetName val="Buyout"/>
      <sheetName val="BUY_ANAL"/>
    </sheetNames>
    <sheetDataSet>
      <sheetData sheetId="0" refreshError="1"/>
      <sheetData sheetId="1"/>
      <sheetData sheetId="2" refreshError="1"/>
      <sheetData sheetId="3">
        <row r="11">
          <cell r="F11">
            <v>7887.7039230034952</v>
          </cell>
          <cell r="G11">
            <v>7887.7039230034952</v>
          </cell>
          <cell r="H11">
            <v>7887.7039230034952</v>
          </cell>
          <cell r="I11">
            <v>7887.7039230034952</v>
          </cell>
          <cell r="J11">
            <v>7887.7039230034952</v>
          </cell>
          <cell r="K11">
            <v>7887.7039230034952</v>
          </cell>
          <cell r="L11">
            <v>7887.7039230034952</v>
          </cell>
          <cell r="M11">
            <v>7887.7039230034952</v>
          </cell>
          <cell r="N11">
            <v>7887.7039230034952</v>
          </cell>
          <cell r="O11">
            <v>7887.7039230034952</v>
          </cell>
          <cell r="P11">
            <v>7887.7039230034952</v>
          </cell>
          <cell r="Q11">
            <v>7887.7039230034952</v>
          </cell>
          <cell r="R11">
            <v>7887.7039230034952</v>
          </cell>
          <cell r="S11">
            <v>7887.7039230034952</v>
          </cell>
          <cell r="T11">
            <v>7887.7039230034952</v>
          </cell>
          <cell r="U11">
            <v>7887.7039230034952</v>
          </cell>
          <cell r="V11">
            <v>7887.7039230034952</v>
          </cell>
          <cell r="W11">
            <v>7887.7039230034952</v>
          </cell>
          <cell r="X11">
            <v>7887.7039230034952</v>
          </cell>
          <cell r="Y11">
            <v>3911.4367399003631</v>
          </cell>
        </row>
        <row r="14">
          <cell r="F14">
            <v>654.84</v>
          </cell>
          <cell r="G14">
            <v>782.17000000000007</v>
          </cell>
          <cell r="H14">
            <v>873.12</v>
          </cell>
          <cell r="I14">
            <v>890.58240000000001</v>
          </cell>
          <cell r="J14">
            <v>908.394048</v>
          </cell>
          <cell r="K14">
            <v>926.56192896000005</v>
          </cell>
          <cell r="L14">
            <v>945.09316753920007</v>
          </cell>
          <cell r="M14">
            <v>963.99503088998404</v>
          </cell>
          <cell r="N14">
            <v>983.27493150778378</v>
          </cell>
          <cell r="O14">
            <v>1002.9404301379394</v>
          </cell>
          <cell r="P14">
            <v>1022.9992387406983</v>
          </cell>
          <cell r="Q14">
            <v>1043.4592235155123</v>
          </cell>
          <cell r="R14">
            <v>1064.3284079858227</v>
          </cell>
          <cell r="S14">
            <v>1085.6149761455392</v>
          </cell>
          <cell r="T14">
            <v>1107.3272756684501</v>
          </cell>
          <cell r="U14">
            <v>1129.4738211818192</v>
          </cell>
          <cell r="V14">
            <v>1152.0632976054555</v>
          </cell>
          <cell r="W14">
            <v>1175.1045635575647</v>
          </cell>
          <cell r="X14">
            <v>1198.606654828716</v>
          </cell>
          <cell r="Y14">
            <v>606.26509757391113</v>
          </cell>
        </row>
        <row r="15">
          <cell r="F15">
            <v>690.83100139663145</v>
          </cell>
          <cell r="G15">
            <v>886.86923439410748</v>
          </cell>
          <cell r="H15">
            <v>877.80467317729426</v>
          </cell>
          <cell r="I15">
            <v>807.67946593346528</v>
          </cell>
          <cell r="J15">
            <v>1051.07719579011</v>
          </cell>
          <cell r="K15">
            <v>975.83416170030864</v>
          </cell>
          <cell r="L15">
            <v>877.21946219874621</v>
          </cell>
          <cell r="M15">
            <v>775.91354638111875</v>
          </cell>
          <cell r="N15">
            <v>669.68288014120481</v>
          </cell>
          <cell r="O15">
            <v>677.28907528784657</v>
          </cell>
          <cell r="P15">
            <v>587.14949253974191</v>
          </cell>
          <cell r="Q15">
            <v>544.80002444308423</v>
          </cell>
          <cell r="R15">
            <v>539.76509437772245</v>
          </cell>
          <cell r="S15">
            <v>535.69296973017526</v>
          </cell>
          <cell r="T15">
            <v>532.05622947890674</v>
          </cell>
          <cell r="U15">
            <v>528.64998684919738</v>
          </cell>
          <cell r="V15">
            <v>525.37179845368769</v>
          </cell>
          <cell r="W15">
            <v>522.22166429237757</v>
          </cell>
          <cell r="X15">
            <v>519.19958436526713</v>
          </cell>
          <cell r="Y15">
            <v>390.77354269660418</v>
          </cell>
        </row>
        <row r="16">
          <cell r="F16">
            <v>262.89649787319911</v>
          </cell>
          <cell r="G16">
            <v>262.89649787319911</v>
          </cell>
          <cell r="H16">
            <v>262.89649787319911</v>
          </cell>
          <cell r="I16">
            <v>262.89649787319911</v>
          </cell>
          <cell r="J16">
            <v>262.89649787319911</v>
          </cell>
          <cell r="K16">
            <v>262.89649787319911</v>
          </cell>
          <cell r="L16">
            <v>262.89649787319911</v>
          </cell>
          <cell r="M16">
            <v>262.89649787319911</v>
          </cell>
          <cell r="N16">
            <v>262.89649787319911</v>
          </cell>
          <cell r="O16">
            <v>262.89649787319911</v>
          </cell>
          <cell r="P16">
            <v>262.89649787319911</v>
          </cell>
          <cell r="Q16">
            <v>262.89649787319911</v>
          </cell>
          <cell r="R16">
            <v>262.89649787319911</v>
          </cell>
          <cell r="S16">
            <v>262.89649787319911</v>
          </cell>
          <cell r="T16">
            <v>262.89649787319911</v>
          </cell>
          <cell r="U16">
            <v>262.89649787319911</v>
          </cell>
          <cell r="V16">
            <v>262.89649787319911</v>
          </cell>
          <cell r="W16">
            <v>262.89649787319911</v>
          </cell>
          <cell r="X16">
            <v>262.89649787319911</v>
          </cell>
          <cell r="Y16">
            <v>116.64854800955194</v>
          </cell>
        </row>
        <row r="17">
          <cell r="F17">
            <v>35.700000000000003</v>
          </cell>
          <cell r="G17">
            <v>36.414000000000001</v>
          </cell>
          <cell r="H17">
            <v>37.14228</v>
          </cell>
          <cell r="I17">
            <v>37.885125600000002</v>
          </cell>
          <cell r="J17">
            <v>38.642828112000004</v>
          </cell>
          <cell r="K17">
            <v>39.415684674240005</v>
          </cell>
          <cell r="L17">
            <v>40.203998367724807</v>
          </cell>
          <cell r="M17">
            <v>41.008078335079304</v>
          </cell>
          <cell r="N17">
            <v>41.82823990178089</v>
          </cell>
          <cell r="O17">
            <v>42.664804699816507</v>
          </cell>
          <cell r="P17">
            <v>43.518100793812835</v>
          </cell>
          <cell r="Q17">
            <v>44.388462809689095</v>
          </cell>
          <cell r="R17">
            <v>45.27623206588288</v>
          </cell>
          <cell r="S17">
            <v>46.181756707200542</v>
          </cell>
          <cell r="T17">
            <v>47.105391841344556</v>
          </cell>
          <cell r="U17">
            <v>48.047499678171448</v>
          </cell>
          <cell r="V17">
            <v>49.00844967173488</v>
          </cell>
          <cell r="W17">
            <v>49.988618665169575</v>
          </cell>
          <cell r="X17">
            <v>50.988391038472969</v>
          </cell>
          <cell r="Y17">
            <v>25.790347269925697</v>
          </cell>
        </row>
        <row r="18">
          <cell r="F18">
            <v>218.28</v>
          </cell>
          <cell r="G18">
            <v>222.6456</v>
          </cell>
          <cell r="H18">
            <v>227.098512</v>
          </cell>
          <cell r="I18">
            <v>231.64048224000001</v>
          </cell>
          <cell r="J18">
            <v>236.27329188480002</v>
          </cell>
          <cell r="K18">
            <v>240.99875772249601</v>
          </cell>
          <cell r="L18">
            <v>245.81873287694594</v>
          </cell>
          <cell r="M18">
            <v>250.73510753448485</v>
          </cell>
          <cell r="N18">
            <v>255.74980968517457</v>
          </cell>
          <cell r="O18">
            <v>260.86480587887809</v>
          </cell>
          <cell r="P18">
            <v>266.08210199645566</v>
          </cell>
          <cell r="Q18">
            <v>271.40374403638481</v>
          </cell>
          <cell r="R18">
            <v>276.83181891711251</v>
          </cell>
          <cell r="S18">
            <v>282.36845529545479</v>
          </cell>
          <cell r="T18">
            <v>288.01582440136389</v>
          </cell>
          <cell r="U18">
            <v>293.77614088939117</v>
          </cell>
          <cell r="V18">
            <v>299.65166370717901</v>
          </cell>
          <cell r="W18">
            <v>305.64469698132262</v>
          </cell>
          <cell r="X18">
            <v>311.7575909209491</v>
          </cell>
          <cell r="Y18">
            <v>157.6895518789743</v>
          </cell>
        </row>
        <row r="19">
          <cell r="F19">
            <v>40.799999999999997</v>
          </cell>
          <cell r="G19">
            <v>41.616</v>
          </cell>
          <cell r="H19">
            <v>42.448320000000002</v>
          </cell>
          <cell r="I19">
            <v>43.297286400000004</v>
          </cell>
          <cell r="J19">
            <v>44.163232128000004</v>
          </cell>
          <cell r="K19">
            <v>45.046496770560005</v>
          </cell>
          <cell r="L19">
            <v>45.947426705971203</v>
          </cell>
          <cell r="M19">
            <v>46.866375240090626</v>
          </cell>
          <cell r="N19">
            <v>47.803702744892441</v>
          </cell>
          <cell r="O19">
            <v>48.759776799790288</v>
          </cell>
          <cell r="P19">
            <v>49.734972335786097</v>
          </cell>
          <cell r="Q19">
            <v>50.729671782501818</v>
          </cell>
          <cell r="R19">
            <v>51.744265218151853</v>
          </cell>
          <cell r="S19">
            <v>52.77915052251489</v>
          </cell>
          <cell r="T19">
            <v>53.834733532965188</v>
          </cell>
          <cell r="U19">
            <v>54.911428203624496</v>
          </cell>
          <cell r="V19">
            <v>56.009656767696988</v>
          </cell>
          <cell r="W19">
            <v>57.129849903050932</v>
          </cell>
          <cell r="X19">
            <v>58.272446901111948</v>
          </cell>
          <cell r="Y19">
            <v>29.474682594200786</v>
          </cell>
        </row>
        <row r="21"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  <cell r="P21">
            <v>50</v>
          </cell>
          <cell r="Q21">
            <v>50</v>
          </cell>
          <cell r="R21">
            <v>50</v>
          </cell>
          <cell r="S21">
            <v>50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F22">
            <v>102</v>
          </cell>
          <cell r="G22">
            <v>104.04</v>
          </cell>
          <cell r="H22">
            <v>106.1208</v>
          </cell>
          <cell r="I22">
            <v>108.243216</v>
          </cell>
          <cell r="J22">
            <v>110.40808032000001</v>
          </cell>
          <cell r="K22">
            <v>112.61624192640001</v>
          </cell>
          <cell r="L22">
            <v>114.868566764928</v>
          </cell>
          <cell r="M22">
            <v>117.16593810022657</v>
          </cell>
          <cell r="N22">
            <v>119.5092568622311</v>
          </cell>
          <cell r="O22">
            <v>121.89944199947573</v>
          </cell>
          <cell r="P22">
            <v>124.33743083946524</v>
          </cell>
          <cell r="Q22">
            <v>126.82417945625456</v>
          </cell>
          <cell r="R22">
            <v>129.36066304537965</v>
          </cell>
          <cell r="S22">
            <v>131.94787630628724</v>
          </cell>
          <cell r="T22">
            <v>134.58683383241299</v>
          </cell>
          <cell r="U22">
            <v>137.27857050906127</v>
          </cell>
          <cell r="V22">
            <v>140.02414191924251</v>
          </cell>
          <cell r="W22">
            <v>142.82462475762736</v>
          </cell>
          <cell r="X22">
            <v>145.6811172527799</v>
          </cell>
          <cell r="Y22">
            <v>73.686706485501986</v>
          </cell>
        </row>
        <row r="23">
          <cell r="F23">
            <v>2</v>
          </cell>
          <cell r="G23">
            <v>2.04</v>
          </cell>
          <cell r="H23">
            <v>2.0808</v>
          </cell>
          <cell r="I23">
            <v>2.1224159999999999</v>
          </cell>
          <cell r="J23">
            <v>2.16486432</v>
          </cell>
          <cell r="K23">
            <v>2.2081616064</v>
          </cell>
          <cell r="L23">
            <v>2.2523248385280001</v>
          </cell>
          <cell r="M23">
            <v>2.2973713352985601</v>
          </cell>
          <cell r="N23">
            <v>2.3433187620045315</v>
          </cell>
          <cell r="O23">
            <v>2.3901851372446221</v>
          </cell>
          <cell r="P23">
            <v>2.4379888399895147</v>
          </cell>
          <cell r="Q23">
            <v>2.4867486167893049</v>
          </cell>
          <cell r="R23">
            <v>2.536483589125091</v>
          </cell>
          <cell r="S23">
            <v>2.5872132609075926</v>
          </cell>
          <cell r="T23">
            <v>2.6389575261257447</v>
          </cell>
          <cell r="U23">
            <v>2.6917366766482598</v>
          </cell>
          <cell r="V23">
            <v>2.745571410181225</v>
          </cell>
          <cell r="W23">
            <v>2.8004828383848497</v>
          </cell>
          <cell r="X23">
            <v>2.8564924951525468</v>
          </cell>
          <cell r="Y23">
            <v>2.9136223450555976</v>
          </cell>
        </row>
        <row r="26">
          <cell r="F26">
            <v>7.49</v>
          </cell>
          <cell r="G26">
            <v>9.3625000000000007</v>
          </cell>
          <cell r="H26">
            <v>9.3625000000000007</v>
          </cell>
          <cell r="I26">
            <v>11.234999999999999</v>
          </cell>
          <cell r="J26">
            <v>11.234999999999999</v>
          </cell>
          <cell r="K26">
            <v>11.234999999999999</v>
          </cell>
          <cell r="L26">
            <v>11.234999999999999</v>
          </cell>
          <cell r="M26">
            <v>11.234999999999999</v>
          </cell>
          <cell r="N26">
            <v>11.234999999999999</v>
          </cell>
          <cell r="O26">
            <v>11.234999999999999</v>
          </cell>
          <cell r="P26">
            <v>11.234999999999999</v>
          </cell>
          <cell r="Q26">
            <v>11.234999999999999</v>
          </cell>
          <cell r="R26">
            <v>11.234999999999999</v>
          </cell>
          <cell r="S26">
            <v>11.234999999999999</v>
          </cell>
          <cell r="T26">
            <v>11.234999999999999</v>
          </cell>
          <cell r="U26">
            <v>11.234999999999999</v>
          </cell>
          <cell r="V26">
            <v>11.234999999999999</v>
          </cell>
          <cell r="W26">
            <v>11.234999999999999</v>
          </cell>
          <cell r="X26">
            <v>11.234999999999999</v>
          </cell>
          <cell r="Y26">
            <v>11.234999999999999</v>
          </cell>
        </row>
        <row r="34">
          <cell r="F34">
            <v>-3333.2306249999997</v>
          </cell>
          <cell r="G34">
            <v>-3164.484375</v>
          </cell>
          <cell r="H34">
            <v>-3010.0791666666664</v>
          </cell>
          <cell r="I34">
            <v>-2848.0216666666665</v>
          </cell>
          <cell r="J34">
            <v>-2679.4631250000002</v>
          </cell>
          <cell r="K34">
            <v>-2491.4495833333331</v>
          </cell>
          <cell r="L34">
            <v>-2291.5235416666665</v>
          </cell>
          <cell r="M34">
            <v>-2072.6241666666665</v>
          </cell>
          <cell r="N34">
            <v>-1837.2437500000001</v>
          </cell>
          <cell r="O34">
            <v>-1584.3795833333331</v>
          </cell>
          <cell r="P34">
            <v>-1384.3679166666666</v>
          </cell>
          <cell r="Q34">
            <v>-1198.1310416666665</v>
          </cell>
          <cell r="R34">
            <v>-998.64625000000001</v>
          </cell>
          <cell r="S34">
            <v>-777.1810416666666</v>
          </cell>
          <cell r="T34">
            <v>-543</v>
          </cell>
          <cell r="U34">
            <v>-292.46916666666664</v>
          </cell>
          <cell r="V34">
            <v>-47.008124999999993</v>
          </cell>
          <cell r="W34">
            <v>0</v>
          </cell>
          <cell r="X34">
            <v>0</v>
          </cell>
          <cell r="Y34">
            <v>0</v>
          </cell>
        </row>
        <row r="64">
          <cell r="F64">
            <v>2018</v>
          </cell>
        </row>
        <row r="70">
          <cell r="F70">
            <v>40096</v>
          </cell>
        </row>
        <row r="100">
          <cell r="F100">
            <v>-2121</v>
          </cell>
          <cell r="G100">
            <v>-2018</v>
          </cell>
          <cell r="H100">
            <v>-2070</v>
          </cell>
          <cell r="I100">
            <v>-2319</v>
          </cell>
          <cell r="J100">
            <v>-2309</v>
          </cell>
          <cell r="K100">
            <v>-2569</v>
          </cell>
          <cell r="L100">
            <v>-2814</v>
          </cell>
          <cell r="M100">
            <v>-3077</v>
          </cell>
          <cell r="N100">
            <v>-3435</v>
          </cell>
          <cell r="O100">
            <v>-2707</v>
          </cell>
          <cell r="P100">
            <v>-2397</v>
          </cell>
          <cell r="Q100">
            <v>-2609</v>
          </cell>
          <cell r="R100">
            <v>-2824</v>
          </cell>
          <cell r="S100">
            <v>-3028</v>
          </cell>
          <cell r="T100">
            <v>-3239</v>
          </cell>
          <cell r="U100">
            <v>-3466</v>
          </cell>
          <cell r="V100">
            <v>-1233</v>
          </cell>
          <cell r="W100">
            <v>0</v>
          </cell>
          <cell r="X100">
            <v>0</v>
          </cell>
          <cell r="Y100">
            <v>0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>
        <row r="46">
          <cell r="F46">
            <v>5095.8548903890269</v>
          </cell>
          <cell r="G46">
            <v>5095.8548903890269</v>
          </cell>
          <cell r="H46">
            <v>5095.8548903890269</v>
          </cell>
          <cell r="I46">
            <v>5378.9579398550841</v>
          </cell>
          <cell r="J46">
            <v>5378.9579398550841</v>
          </cell>
          <cell r="K46">
            <v>5662.0609893211413</v>
          </cell>
          <cell r="L46">
            <v>5662.0609893211413</v>
          </cell>
          <cell r="M46">
            <v>5662.0609893211413</v>
          </cell>
          <cell r="N46">
            <v>5945.1640387871985</v>
          </cell>
          <cell r="O46">
            <v>646.04208491955399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TURBINES"/>
      <sheetName val="ASSUME1"/>
      <sheetName val="ASSUME2"/>
      <sheetName val="SOURCES"/>
      <sheetName val="FINANCIALS"/>
      <sheetName val="TAX"/>
      <sheetName val="NOLs"/>
      <sheetName val="RETURNS"/>
      <sheetName val="BALANCES"/>
      <sheetName val="PARTNER INCOME"/>
      <sheetName val="DEBT"/>
      <sheetName val="DEPR"/>
      <sheetName val="CONSTRUCT"/>
      <sheetName val="FERC"/>
      <sheetName val="SENSITIVITY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>
        <row r="13">
          <cell r="F13">
            <v>3197.2978340962591</v>
          </cell>
          <cell r="G13">
            <v>3300.7019208362417</v>
          </cell>
          <cell r="H13">
            <v>3384.6204094740006</v>
          </cell>
          <cell r="I13">
            <v>3489.2109929116446</v>
          </cell>
          <cell r="J13">
            <v>3596.7481362676526</v>
          </cell>
          <cell r="K13">
            <v>3707.056061458441</v>
          </cell>
          <cell r="L13">
            <v>3820.3532600728986</v>
          </cell>
          <cell r="M13">
            <v>3936.7062620664465</v>
          </cell>
          <cell r="N13">
            <v>4056.1975176814053</v>
          </cell>
          <cell r="O13">
            <v>4178.911849066988</v>
          </cell>
          <cell r="P13">
            <v>4304.936220038493</v>
          </cell>
          <cell r="Q13">
            <v>4439.1897426553523</v>
          </cell>
          <cell r="R13">
            <v>4577.181857526848</v>
          </cell>
          <cell r="S13">
            <v>4719.0167261237384</v>
          </cell>
          <cell r="T13">
            <v>4864.8014172636731</v>
          </cell>
          <cell r="U13">
            <v>5014.6639427856971</v>
          </cell>
          <cell r="V13">
            <v>5168.7184068341212</v>
          </cell>
          <cell r="W13">
            <v>5327.0821028883001</v>
          </cell>
          <cell r="X13">
            <v>5489.8756157206499</v>
          </cell>
          <cell r="Y13">
            <v>5657.2229008054101</v>
          </cell>
          <cell r="Z13">
            <v>5829.2513829265354</v>
          </cell>
        </row>
        <row r="16">
          <cell r="F16">
            <v>232.91519360000001</v>
          </cell>
          <cell r="G16">
            <v>239.43681902080002</v>
          </cell>
          <cell r="H16">
            <v>473.86194560000001</v>
          </cell>
          <cell r="I16">
            <v>486.65621813119998</v>
          </cell>
          <cell r="J16">
            <v>499.79593602074232</v>
          </cell>
          <cell r="K16">
            <v>513.29042629330229</v>
          </cell>
          <cell r="L16">
            <v>527.14926780322139</v>
          </cell>
          <cell r="M16">
            <v>541.38229803390834</v>
          </cell>
          <cell r="N16">
            <v>555.99962008082377</v>
          </cell>
          <cell r="O16">
            <v>571.01160982300598</v>
          </cell>
          <cell r="P16">
            <v>586.42892328822711</v>
          </cell>
          <cell r="Q16">
            <v>602.8489331402975</v>
          </cell>
          <cell r="R16">
            <v>619.7287032682259</v>
          </cell>
          <cell r="S16">
            <v>637.08110695973619</v>
          </cell>
          <cell r="T16">
            <v>654.91937795460876</v>
          </cell>
          <cell r="U16">
            <v>673.25712053733787</v>
          </cell>
          <cell r="V16">
            <v>692.10831991238331</v>
          </cell>
          <cell r="W16">
            <v>711.48735286993008</v>
          </cell>
          <cell r="X16">
            <v>731.40899875028811</v>
          </cell>
          <cell r="Y16">
            <v>751.88845071529624</v>
          </cell>
          <cell r="Z16">
            <v>772.94132733532456</v>
          </cell>
        </row>
        <row r="17">
          <cell r="F17">
            <v>319.45292808495759</v>
          </cell>
          <cell r="G17">
            <v>283.62000898507762</v>
          </cell>
          <cell r="H17">
            <v>247.78708988519759</v>
          </cell>
          <cell r="I17">
            <v>211.95417078531756</v>
          </cell>
          <cell r="J17">
            <v>176.12125168543758</v>
          </cell>
          <cell r="K17">
            <v>140.28833258555758</v>
          </cell>
          <cell r="L17">
            <v>104.45541348567757</v>
          </cell>
          <cell r="M17">
            <v>71.665838199760003</v>
          </cell>
          <cell r="N17">
            <v>71.665838199760003</v>
          </cell>
          <cell r="O17">
            <v>71.665838199760003</v>
          </cell>
          <cell r="P17">
            <v>71.665838199760003</v>
          </cell>
          <cell r="Q17">
            <v>71.665838199760003</v>
          </cell>
          <cell r="R17">
            <v>71.665838199760003</v>
          </cell>
          <cell r="S17">
            <v>71.665838199760003</v>
          </cell>
          <cell r="T17">
            <v>71.665838199760003</v>
          </cell>
          <cell r="U17">
            <v>71.665838199760003</v>
          </cell>
          <cell r="V17">
            <v>71.665838199760003</v>
          </cell>
          <cell r="W17">
            <v>71.665838199760003</v>
          </cell>
          <cell r="X17">
            <v>71.665838199760003</v>
          </cell>
          <cell r="Y17">
            <v>71.665838199760003</v>
          </cell>
          <cell r="Z17">
            <v>71.665838199760003</v>
          </cell>
        </row>
        <row r="18">
          <cell r="F18">
            <v>63.945956681925175</v>
          </cell>
          <cell r="G18">
            <v>66.014038416724816</v>
          </cell>
          <cell r="H18">
            <v>67.692408189480005</v>
          </cell>
          <cell r="I18">
            <v>69.784219858232888</v>
          </cell>
          <cell r="J18">
            <v>71.93496272535306</v>
          </cell>
          <cell r="K18">
            <v>74.141121229168817</v>
          </cell>
          <cell r="L18">
            <v>76.407065201457968</v>
          </cell>
          <cell r="M18">
            <v>78.734125241328925</v>
          </cell>
          <cell r="N18">
            <v>121.68592553044215</v>
          </cell>
          <cell r="O18">
            <v>125.36735547200962</v>
          </cell>
          <cell r="P18">
            <v>129.14808660115477</v>
          </cell>
          <cell r="Q18">
            <v>133.17569227966055</v>
          </cell>
          <cell r="R18">
            <v>137.31545572580541</v>
          </cell>
          <cell r="S18">
            <v>188.76066904494951</v>
          </cell>
          <cell r="T18">
            <v>194.59205669054694</v>
          </cell>
          <cell r="U18">
            <v>200.58655771142787</v>
          </cell>
          <cell r="V18">
            <v>206.74873627336484</v>
          </cell>
          <cell r="W18">
            <v>213.08328411553202</v>
          </cell>
          <cell r="X18">
            <v>219.595024628826</v>
          </cell>
          <cell r="Y18">
            <v>226.28891603221641</v>
          </cell>
          <cell r="Z18">
            <v>233.17005531706138</v>
          </cell>
        </row>
        <row r="19">
          <cell r="F19">
            <v>33.438783999999998</v>
          </cell>
          <cell r="G19">
            <v>34.375069951999997</v>
          </cell>
          <cell r="H19">
            <v>35.337571910655996</v>
          </cell>
          <cell r="I19">
            <v>36.291686352243701</v>
          </cell>
          <cell r="J19">
            <v>37.271561883754281</v>
          </cell>
          <cell r="K19">
            <v>38.277894054615643</v>
          </cell>
          <cell r="L19">
            <v>39.311397194090262</v>
          </cell>
          <cell r="M19">
            <v>40.372804918330694</v>
          </cell>
          <cell r="N19">
            <v>41.46287065112562</v>
          </cell>
          <cell r="O19">
            <v>42.582368158706011</v>
          </cell>
          <cell r="P19">
            <v>43.732092098991068</v>
          </cell>
          <cell r="Q19">
            <v>44.956590677762819</v>
          </cell>
          <cell r="R19">
            <v>46.215375216740178</v>
          </cell>
          <cell r="S19">
            <v>47.509405722808907</v>
          </cell>
          <cell r="T19">
            <v>48.839669083047561</v>
          </cell>
          <cell r="U19">
            <v>50.207179817372896</v>
          </cell>
          <cell r="V19">
            <v>51.612980852259341</v>
          </cell>
          <cell r="W19">
            <v>53.058144316122601</v>
          </cell>
          <cell r="X19">
            <v>54.543772356974031</v>
          </cell>
          <cell r="Y19">
            <v>56.070997982969303</v>
          </cell>
          <cell r="Z19">
            <v>57.640985926492448</v>
          </cell>
        </row>
        <row r="20">
          <cell r="F20">
            <v>65.943116000000003</v>
          </cell>
          <cell r="G20">
            <v>67.789523248000009</v>
          </cell>
          <cell r="H20">
            <v>69.68762989894401</v>
          </cell>
          <cell r="I20">
            <v>71.569195906215498</v>
          </cell>
          <cell r="J20">
            <v>73.501564195683315</v>
          </cell>
          <cell r="K20">
            <v>75.486106428966764</v>
          </cell>
          <cell r="L20">
            <v>77.524231302548856</v>
          </cell>
          <cell r="M20">
            <v>79.617385547717674</v>
          </cell>
          <cell r="N20">
            <v>81.767054957506048</v>
          </cell>
          <cell r="O20">
            <v>83.974765441358699</v>
          </cell>
          <cell r="P20">
            <v>86.242084108275378</v>
          </cell>
          <cell r="Q20">
            <v>88.656862463307093</v>
          </cell>
          <cell r="R20">
            <v>91.1392546122797</v>
          </cell>
          <cell r="S20">
            <v>93.691153741423534</v>
          </cell>
          <cell r="T20">
            <v>96.314506046183396</v>
          </cell>
          <cell r="U20">
            <v>99.011312215476536</v>
          </cell>
          <cell r="V20">
            <v>101.78362895750988</v>
          </cell>
          <cell r="W20">
            <v>104.63357056832015</v>
          </cell>
          <cell r="X20">
            <v>107.56331054423312</v>
          </cell>
          <cell r="Y20">
            <v>110.57508323947165</v>
          </cell>
          <cell r="Z20">
            <v>113.67118557017686</v>
          </cell>
        </row>
        <row r="21">
          <cell r="F21">
            <v>42.271360000000008</v>
          </cell>
          <cell r="G21">
            <v>43.454958080000011</v>
          </cell>
          <cell r="H21">
            <v>44.671696906240015</v>
          </cell>
          <cell r="I21">
            <v>45.87783272270849</v>
          </cell>
          <cell r="J21">
            <v>47.116534206221615</v>
          </cell>
          <cell r="K21">
            <v>48.388680629789597</v>
          </cell>
          <cell r="L21">
            <v>49.69517500679391</v>
          </cell>
          <cell r="M21">
            <v>51.036944731977343</v>
          </cell>
          <cell r="N21">
            <v>52.414942239740725</v>
          </cell>
          <cell r="O21">
            <v>53.830145680213718</v>
          </cell>
          <cell r="P21">
            <v>55.283559613579484</v>
          </cell>
          <cell r="Q21">
            <v>56.831499282759708</v>
          </cell>
          <cell r="R21">
            <v>58.422781262676985</v>
          </cell>
          <cell r="S21">
            <v>60.058619138031943</v>
          </cell>
          <cell r="T21">
            <v>61.740260473896839</v>
          </cell>
          <cell r="U21">
            <v>63.468987767165949</v>
          </cell>
          <cell r="V21">
            <v>65.246119424646594</v>
          </cell>
          <cell r="W21">
            <v>67.073010768536705</v>
          </cell>
          <cell r="X21">
            <v>68.95105507005573</v>
          </cell>
          <cell r="Y21">
            <v>70.881684612017295</v>
          </cell>
          <cell r="Z21">
            <v>72.866371781153788</v>
          </cell>
        </row>
        <row r="23">
          <cell r="F23">
            <v>42.148000000000003</v>
          </cell>
          <cell r="G23">
            <v>43.328144000000002</v>
          </cell>
          <cell r="H23">
            <v>44.541332032</v>
          </cell>
          <cell r="I23">
            <v>45.788489328895999</v>
          </cell>
          <cell r="J23">
            <v>47.02477854077619</v>
          </cell>
          <cell r="K23">
            <v>48.29444756137714</v>
          </cell>
          <cell r="L23">
            <v>49.59839764553432</v>
          </cell>
          <cell r="M23">
            <v>50.937554381963743</v>
          </cell>
          <cell r="N23">
            <v>52.312868350276759</v>
          </cell>
          <cell r="O23">
            <v>53.725315795734225</v>
          </cell>
          <cell r="P23">
            <v>55.175899322219045</v>
          </cell>
          <cell r="Q23">
            <v>56.665648603918953</v>
          </cell>
          <cell r="R23">
            <v>58.252286764828682</v>
          </cell>
          <cell r="S23">
            <v>59.883350794243889</v>
          </cell>
          <cell r="T23">
            <v>61.560084616482719</v>
          </cell>
          <cell r="U23">
            <v>63.283766985744236</v>
          </cell>
          <cell r="V23">
            <v>65.055712461345081</v>
          </cell>
          <cell r="W23">
            <v>66.877272410262748</v>
          </cell>
          <cell r="X23">
            <v>68.7498360377501</v>
          </cell>
          <cell r="Y23">
            <v>70.674831446807104</v>
          </cell>
          <cell r="Z23">
            <v>72.653726727317704</v>
          </cell>
        </row>
        <row r="24">
          <cell r="F24">
            <v>10.224487999999999</v>
          </cell>
          <cell r="G24">
            <v>10.510773664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</sheetData>
      <sheetData sheetId="7">
        <row r="46">
          <cell r="F46">
            <v>1369.0800000009774</v>
          </cell>
          <cell r="G46">
            <v>1445.1400000010319</v>
          </cell>
          <cell r="H46">
            <v>1445.1400000010319</v>
          </cell>
          <cell r="I46">
            <v>1521.2000000010862</v>
          </cell>
          <cell r="J46">
            <v>1521.2000000010862</v>
          </cell>
          <cell r="K46">
            <v>1597.2600000011405</v>
          </cell>
          <cell r="L46">
            <v>1673.3200000011948</v>
          </cell>
          <cell r="M46">
            <v>1673.3200000011948</v>
          </cell>
          <cell r="N46">
            <v>1279.6033089260518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ASSUME1"/>
      <sheetName val="ASSUME2"/>
      <sheetName val="SOURCES"/>
      <sheetName val="FINANCIALS"/>
      <sheetName val="TAX"/>
      <sheetName val="BALANCES"/>
      <sheetName val="RETURNS"/>
      <sheetName val="PARTNER INCOME"/>
      <sheetName val="TURBINES"/>
      <sheetName val="Elect_Rev"/>
      <sheetName val="CLIFF REV"/>
      <sheetName val="TOD"/>
      <sheetName val="DEBT"/>
      <sheetName val="DEPR"/>
      <sheetName val="NOLs"/>
      <sheetName val="Hi_Lo"/>
      <sheetName val="RES_REV2"/>
      <sheetName val="Module3"/>
    </sheetNames>
    <sheetDataSet>
      <sheetData sheetId="0"/>
      <sheetData sheetId="1"/>
      <sheetData sheetId="2"/>
      <sheetData sheetId="3"/>
      <sheetData sheetId="4"/>
      <sheetData sheetId="5">
        <row r="9">
          <cell r="O9">
            <v>2387.657403807867</v>
          </cell>
          <cell r="P9">
            <v>1707.7233345322834</v>
          </cell>
          <cell r="Q9">
            <v>1737.018565581556</v>
          </cell>
          <cell r="R9">
            <v>1766.8025165389868</v>
          </cell>
          <cell r="S9">
            <v>1797.0830181084818</v>
          </cell>
          <cell r="T9">
            <v>1827.8680187341408</v>
          </cell>
          <cell r="U9">
            <v>1834.3143942170811</v>
          </cell>
          <cell r="V9">
            <v>1840.2874775118464</v>
          </cell>
          <cell r="W9">
            <v>1845.7657583807147</v>
          </cell>
          <cell r="X9">
            <v>1850.7270554933336</v>
          </cell>
          <cell r="Y9">
            <v>1887.7415966032002</v>
          </cell>
          <cell r="Z9">
            <v>1925.4964285352639</v>
          </cell>
          <cell r="AA9">
            <v>1964.00635710597</v>
          </cell>
          <cell r="AB9">
            <v>2003.2864842480892</v>
          </cell>
          <cell r="AC9">
            <v>2003.2864842480892</v>
          </cell>
          <cell r="AD9">
            <v>0</v>
          </cell>
        </row>
        <row r="10">
          <cell r="O10">
            <v>1279.9470614521595</v>
          </cell>
          <cell r="P10">
            <v>1279.9470614521595</v>
          </cell>
          <cell r="Q10">
            <v>1279.9470614521595</v>
          </cell>
          <cell r="R10">
            <v>1279.9470614521595</v>
          </cell>
          <cell r="S10">
            <v>1279.9470614521595</v>
          </cell>
          <cell r="T10">
            <v>1279.9470614521595</v>
          </cell>
          <cell r="U10">
            <v>1279.9470614521595</v>
          </cell>
          <cell r="V10">
            <v>1279.9470614521595</v>
          </cell>
          <cell r="W10">
            <v>1279.9470614521595</v>
          </cell>
          <cell r="X10">
            <v>1279.9470614521595</v>
          </cell>
          <cell r="Y10">
            <v>1279.9470614521595</v>
          </cell>
          <cell r="Z10">
            <v>1279.9470614521595</v>
          </cell>
          <cell r="AA10">
            <v>1279.9470614521595</v>
          </cell>
          <cell r="AB10">
            <v>1279.9470614521595</v>
          </cell>
          <cell r="AC10">
            <v>1279.9470614521595</v>
          </cell>
          <cell r="AD10">
            <v>0</v>
          </cell>
        </row>
        <row r="14">
          <cell r="O14">
            <v>483.48</v>
          </cell>
          <cell r="P14">
            <v>493.14960000000002</v>
          </cell>
          <cell r="Q14">
            <v>503.01259200000004</v>
          </cell>
          <cell r="R14">
            <v>513.07284384000002</v>
          </cell>
          <cell r="S14">
            <v>523.33430071680004</v>
          </cell>
          <cell r="T14">
            <v>533.80098673113605</v>
          </cell>
          <cell r="U14">
            <v>544.47700646575879</v>
          </cell>
          <cell r="V14">
            <v>555.36654659507394</v>
          </cell>
          <cell r="W14">
            <v>566.47387752697546</v>
          </cell>
          <cell r="X14">
            <v>577.80335507751499</v>
          </cell>
          <cell r="Y14">
            <v>589.35942217906529</v>
          </cell>
          <cell r="Z14">
            <v>601.14661062264656</v>
          </cell>
          <cell r="AA14">
            <v>613.16954283509949</v>
          </cell>
          <cell r="AB14">
            <v>625.43293369180151</v>
          </cell>
          <cell r="AC14">
            <v>637.94159236563758</v>
          </cell>
          <cell r="AD14">
            <v>0</v>
          </cell>
        </row>
        <row r="17">
          <cell r="O17">
            <v>91.869657079348826</v>
          </cell>
          <cell r="P17">
            <v>92.049241111414872</v>
          </cell>
          <cell r="Q17">
            <v>92.232327032106213</v>
          </cell>
          <cell r="R17">
            <v>92.418983128251028</v>
          </cell>
          <cell r="S17">
            <v>92.609279018270684</v>
          </cell>
          <cell r="T17">
            <v>92.803285678145713</v>
          </cell>
          <cell r="U17">
            <v>93.001075467888299</v>
          </cell>
          <cell r="V17">
            <v>93.202722158530875</v>
          </cell>
          <cell r="W17">
            <v>93.408300959640982</v>
          </cell>
          <cell r="X17">
            <v>93.617888547372729</v>
          </cell>
          <cell r="Y17">
            <v>93.831563093065256</v>
          </cell>
          <cell r="Z17">
            <v>94.049404292398776</v>
          </cell>
          <cell r="AA17">
            <v>94.271493395119293</v>
          </cell>
          <cell r="AB17">
            <v>94.497913235342878</v>
          </cell>
          <cell r="AC17">
            <v>94.728748262450807</v>
          </cell>
          <cell r="AD17">
            <v>0</v>
          </cell>
        </row>
        <row r="18">
          <cell r="O18">
            <v>82.660219537499998</v>
          </cell>
          <cell r="P18">
            <v>82.660219537499998</v>
          </cell>
          <cell r="Q18">
            <v>82.660219537499998</v>
          </cell>
          <cell r="R18">
            <v>82.660219537499998</v>
          </cell>
          <cell r="S18">
            <v>82.660219537499998</v>
          </cell>
          <cell r="T18">
            <v>82.660219537499998</v>
          </cell>
          <cell r="U18">
            <v>82.660219537499998</v>
          </cell>
          <cell r="V18">
            <v>82.660219537499998</v>
          </cell>
          <cell r="W18">
            <v>82.660219537499998</v>
          </cell>
          <cell r="X18">
            <v>82.660219537499998</v>
          </cell>
          <cell r="Y18">
            <v>82.660219537499998</v>
          </cell>
          <cell r="Z18">
            <v>82.660219537499998</v>
          </cell>
          <cell r="AA18">
            <v>82.660219537499998</v>
          </cell>
          <cell r="AB18">
            <v>82.660219537499998</v>
          </cell>
          <cell r="AC18">
            <v>82.660219537499998</v>
          </cell>
          <cell r="AD18">
            <v>0</v>
          </cell>
        </row>
        <row r="19">
          <cell r="O19">
            <v>80.110800000000012</v>
          </cell>
          <cell r="P19">
            <v>81.71301600000001</v>
          </cell>
          <cell r="Q19">
            <v>83.347276320000006</v>
          </cell>
          <cell r="R19">
            <v>85.014221846400005</v>
          </cell>
          <cell r="S19">
            <v>86.714506283328006</v>
          </cell>
          <cell r="T19">
            <v>88.448796408994568</v>
          </cell>
          <cell r="U19">
            <v>90.217772337174466</v>
          </cell>
          <cell r="V19">
            <v>92.022127783917952</v>
          </cell>
          <cell r="W19">
            <v>93.862570339596317</v>
          </cell>
          <cell r="X19">
            <v>95.739821746388245</v>
          </cell>
          <cell r="Y19">
            <v>97.65461818131601</v>
          </cell>
          <cell r="Z19">
            <v>99.607710544942336</v>
          </cell>
          <cell r="AA19">
            <v>101.59986475584118</v>
          </cell>
          <cell r="AB19">
            <v>103.63186205095801</v>
          </cell>
          <cell r="AC19">
            <v>105.70449929197717</v>
          </cell>
          <cell r="AD19">
            <v>0</v>
          </cell>
        </row>
        <row r="20">
          <cell r="O20">
            <v>19.38</v>
          </cell>
          <cell r="P20">
            <v>19.767599999999998</v>
          </cell>
          <cell r="Q20">
            <v>20.162951999999997</v>
          </cell>
          <cell r="R20">
            <v>20.566211039999999</v>
          </cell>
          <cell r="S20">
            <v>20.9775352608</v>
          </cell>
          <cell r="T20">
            <v>21.397085966016</v>
          </cell>
          <cell r="U20">
            <v>21.82502768533632</v>
          </cell>
          <cell r="V20">
            <v>22.261528239043045</v>
          </cell>
          <cell r="W20">
            <v>22.706758803823906</v>
          </cell>
          <cell r="X20">
            <v>23.160893979900383</v>
          </cell>
          <cell r="Y20">
            <v>23.624111859498392</v>
          </cell>
          <cell r="Z20">
            <v>24.09659409668836</v>
          </cell>
          <cell r="AA20">
            <v>24.578525978622128</v>
          </cell>
          <cell r="AB20">
            <v>25.07009649819457</v>
          </cell>
          <cell r="AC20">
            <v>25.57149842815846</v>
          </cell>
          <cell r="AD20">
            <v>0</v>
          </cell>
        </row>
        <row r="21"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9">
          <cell r="O29">
            <v>-304.85887499999984</v>
          </cell>
        </row>
        <row r="92">
          <cell r="O92">
            <v>3006.5392500000003</v>
          </cell>
        </row>
        <row r="104">
          <cell r="O104">
            <v>-5606.6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 &amp; A"/>
      <sheetName val="SUMMARY"/>
      <sheetName val="BID_PRICE"/>
      <sheetName val="ASSUME2"/>
      <sheetName val="ASSUME1"/>
      <sheetName val="SOURCES"/>
      <sheetName val="RETURNS"/>
      <sheetName val="DEPR"/>
      <sheetName val="PPA"/>
      <sheetName val="FINANCIALS"/>
      <sheetName val="TURBINES"/>
      <sheetName val="ROYALTIES"/>
      <sheetName val="Elect_Rev"/>
      <sheetName val="TOD"/>
      <sheetName val="Hi_Lo"/>
      <sheetName val="RES_REV2"/>
      <sheetName val="TAX"/>
      <sheetName val="NOLs"/>
      <sheetName val="BALANCES"/>
      <sheetName val="PARTNER INCOME"/>
      <sheetName val="DEBT"/>
      <sheetName val="1999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3">
          <cell r="E13">
            <v>4031.7425350920244</v>
          </cell>
          <cell r="F13">
            <v>3821.9619123665011</v>
          </cell>
          <cell r="G13">
            <v>3506.0822011237019</v>
          </cell>
          <cell r="H13">
            <v>3501.3279438987151</v>
          </cell>
          <cell r="I13">
            <v>3496.2660929267263</v>
          </cell>
          <cell r="J13">
            <v>3662.3441560469028</v>
          </cell>
          <cell r="K13">
            <v>3767.8703385789968</v>
          </cell>
          <cell r="L13">
            <v>3873.3965211110904</v>
          </cell>
          <cell r="M13">
            <v>3978.9227036431839</v>
          </cell>
          <cell r="N13">
            <v>4084.4488861752775</v>
          </cell>
          <cell r="O13">
            <v>4189.975068707372</v>
          </cell>
          <cell r="P13">
            <v>2751.0359995538279</v>
          </cell>
          <cell r="Q13">
            <v>2776.2962134599779</v>
          </cell>
          <cell r="R13">
            <v>2801.556427366128</v>
          </cell>
          <cell r="S13">
            <v>2826.8166412722776</v>
          </cell>
          <cell r="T13">
            <v>2852.0768551784286</v>
          </cell>
          <cell r="U13">
            <v>3191.6321851165262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40">
          <cell r="E40">
            <v>1634.5427474109215</v>
          </cell>
          <cell r="F40">
            <v>1895.3479507491838</v>
          </cell>
          <cell r="G40">
            <v>1889.0406804384447</v>
          </cell>
          <cell r="H40">
            <v>1546.0399492102065</v>
          </cell>
          <cell r="I40">
            <v>1550.651077990146</v>
          </cell>
          <cell r="J40">
            <v>1610.6485631966166</v>
          </cell>
          <cell r="K40">
            <v>1631.0245756171671</v>
          </cell>
          <cell r="L40">
            <v>1656.3376951481036</v>
          </cell>
          <cell r="M40">
            <v>1684.3133814185974</v>
          </cell>
          <cell r="N40">
            <v>1712.4833990165678</v>
          </cell>
          <cell r="O40">
            <v>1775.4211667378574</v>
          </cell>
          <cell r="P40">
            <v>1208.9049913021058</v>
          </cell>
          <cell r="Q40">
            <v>1222.4970661425741</v>
          </cell>
          <cell r="R40">
            <v>1233.5381384319064</v>
          </cell>
          <cell r="S40">
            <v>1252.793261349693</v>
          </cell>
          <cell r="T40">
            <v>1176.693418800329</v>
          </cell>
          <cell r="U40">
            <v>1219.6583655045913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48">
          <cell r="E48">
            <v>718.96848799999987</v>
          </cell>
          <cell r="F48">
            <v>835.63199999999983</v>
          </cell>
          <cell r="G48">
            <v>835.63199999999983</v>
          </cell>
          <cell r="H48">
            <v>835.63199999999983</v>
          </cell>
          <cell r="I48">
            <v>882.05600000000004</v>
          </cell>
          <cell r="J48">
            <v>882.05600000000004</v>
          </cell>
          <cell r="K48">
            <v>882.05600000000004</v>
          </cell>
          <cell r="L48">
            <v>928.48</v>
          </cell>
          <cell r="M48">
            <v>928.48</v>
          </cell>
          <cell r="N48">
            <v>487.45200000000006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urns"/>
      <sheetName val="Financials"/>
      <sheetName val="Support"/>
      <sheetName val="Tax"/>
      <sheetName val="NOLs"/>
      <sheetName val="Depr"/>
      <sheetName val="Debt"/>
      <sheetName val="Balances"/>
      <sheetName val="LD"/>
      <sheetName val="Scenarios"/>
      <sheetName val="Hi_Lo"/>
      <sheetName val="RES_REV2"/>
      <sheetName val="TOD"/>
      <sheetName val="Assume"/>
      <sheetName val="ASSUME2"/>
    </sheetNames>
    <sheetDataSet>
      <sheetData sheetId="0" refreshError="1"/>
      <sheetData sheetId="1"/>
      <sheetData sheetId="2">
        <row r="9">
          <cell r="G9">
            <v>707.2048957035023</v>
          </cell>
          <cell r="H9">
            <v>597.30291572800024</v>
          </cell>
          <cell r="I9">
            <v>528.75237614330433</v>
          </cell>
          <cell r="J9">
            <v>565.47134776456653</v>
          </cell>
          <cell r="K9">
            <v>603.22248694309133</v>
          </cell>
          <cell r="L9">
            <v>642.70387286842356</v>
          </cell>
          <cell r="M9">
            <v>641.74544024711099</v>
          </cell>
          <cell r="N9">
            <v>661.35645943467921</v>
          </cell>
          <cell r="O9">
            <v>680.78616134066147</v>
          </cell>
          <cell r="P9">
            <v>700.21396888180789</v>
          </cell>
          <cell r="Q9">
            <v>744.89181525160325</v>
          </cell>
          <cell r="R9">
            <v>782.67595417400662</v>
          </cell>
          <cell r="S9">
            <v>821.27668333570887</v>
          </cell>
          <cell r="T9">
            <v>860.91765340854363</v>
          </cell>
          <cell r="U9">
            <v>876.27534073652839</v>
          </cell>
          <cell r="V9">
            <v>896.90004066823292</v>
          </cell>
          <cell r="W9">
            <v>917.51732381257307</v>
          </cell>
          <cell r="X9">
            <v>937.88690333196575</v>
          </cell>
          <cell r="Y9">
            <v>987.8484658200133</v>
          </cell>
          <cell r="Z9">
            <v>393.88751704856207</v>
          </cell>
        </row>
        <row r="10">
          <cell r="G10">
            <v>266.41748555507894</v>
          </cell>
          <cell r="H10">
            <v>280.2111685716099</v>
          </cell>
          <cell r="I10">
            <v>294.08234418935746</v>
          </cell>
          <cell r="J10">
            <v>308.10850500953813</v>
          </cell>
          <cell r="K10">
            <v>321.74720282363626</v>
          </cell>
          <cell r="L10">
            <v>335.54088584016716</v>
          </cell>
          <cell r="M10">
            <v>349.41206145791477</v>
          </cell>
          <cell r="N10">
            <v>363.2832370756625</v>
          </cell>
          <cell r="O10">
            <v>377.07692009219363</v>
          </cell>
          <cell r="P10">
            <v>390.94809570994113</v>
          </cell>
          <cell r="Q10">
            <v>404.74177872647215</v>
          </cell>
          <cell r="R10">
            <v>418.61295434421965</v>
          </cell>
          <cell r="S10">
            <v>432.40663736075084</v>
          </cell>
          <cell r="T10">
            <v>446.27781297849839</v>
          </cell>
          <cell r="U10">
            <v>460.14898859624611</v>
          </cell>
          <cell r="V10">
            <v>473.9426716127773</v>
          </cell>
          <cell r="W10">
            <v>487.81384723052474</v>
          </cell>
          <cell r="X10">
            <v>501.60753024705582</v>
          </cell>
          <cell r="Y10">
            <v>515.47870586480337</v>
          </cell>
          <cell r="Z10">
            <v>162.40687001290263</v>
          </cell>
        </row>
        <row r="11">
          <cell r="H11">
            <v>65.715594499999995</v>
          </cell>
        </row>
        <row r="36">
          <cell r="G36">
            <v>-130.45211946325585</v>
          </cell>
          <cell r="H36">
            <v>-138.151751328188</v>
          </cell>
          <cell r="I36">
            <v>-144.71416121741419</v>
          </cell>
          <cell r="J36">
            <v>-143.67478260923752</v>
          </cell>
          <cell r="K36">
            <v>-138.16697195043037</v>
          </cell>
          <cell r="L36">
            <v>-114.7929114309451</v>
          </cell>
          <cell r="M36">
            <v>-112.19981389578714</v>
          </cell>
          <cell r="N36">
            <v>-107.35081327581602</v>
          </cell>
          <cell r="O36">
            <v>-101.59562901744702</v>
          </cell>
          <cell r="P36">
            <v>39.434505804669172</v>
          </cell>
          <cell r="Q36">
            <v>87.474548982533335</v>
          </cell>
          <cell r="R36">
            <v>100.31083801489234</v>
          </cell>
          <cell r="S36">
            <v>114.31221637861938</v>
          </cell>
          <cell r="T36">
            <v>129.69198088747166</v>
          </cell>
          <cell r="U36">
            <v>143.62614165028637</v>
          </cell>
          <cell r="V36">
            <v>159.57484193100984</v>
          </cell>
          <cell r="W36">
            <v>179.63260413500834</v>
          </cell>
          <cell r="X36">
            <v>200.52582661834487</v>
          </cell>
          <cell r="Y36">
            <v>224.34858276205213</v>
          </cell>
          <cell r="Z36">
            <v>185.92222732602235</v>
          </cell>
        </row>
      </sheetData>
      <sheetData sheetId="3" refreshError="1"/>
      <sheetData sheetId="4">
        <row r="46">
          <cell r="G46">
            <v>800.12778000000003</v>
          </cell>
          <cell r="H46">
            <v>847.19411999999988</v>
          </cell>
          <cell r="I46">
            <v>847.19411999999988</v>
          </cell>
          <cell r="J46">
            <v>847.19411999999988</v>
          </cell>
          <cell r="K46">
            <v>894.26045999999997</v>
          </cell>
          <cell r="L46">
            <v>894.26045999999997</v>
          </cell>
          <cell r="M46">
            <v>941.32679999999993</v>
          </cell>
          <cell r="N46">
            <v>941.32679999999993</v>
          </cell>
          <cell r="O46">
            <v>941.32679999999993</v>
          </cell>
          <cell r="P46">
            <v>494.19657000000001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SSUMP"/>
      <sheetName val="Sources"/>
      <sheetName val="Debt"/>
      <sheetName val="Financials"/>
      <sheetName val="Revenue"/>
      <sheetName val="Expense"/>
      <sheetName val="Taxes"/>
      <sheetName val="Depreciation"/>
      <sheetName val="NOLS"/>
      <sheetName val="Returns"/>
      <sheetName val="Partner Income"/>
      <sheetName val="Balance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H10">
            <v>1968.1034151492802</v>
          </cell>
          <cell r="I10">
            <v>2821.6059986958726</v>
          </cell>
          <cell r="J10">
            <v>2893.6673400081454</v>
          </cell>
          <cell r="K10">
            <v>3024.6332678715535</v>
          </cell>
          <cell r="L10">
            <v>3130.1794909550044</v>
          </cell>
          <cell r="M10">
            <v>3276.5028044477385</v>
          </cell>
          <cell r="N10">
            <v>3409.7418824920778</v>
          </cell>
          <cell r="O10">
            <v>3547.6758216808621</v>
          </cell>
          <cell r="P10">
            <v>3726.4028818467368</v>
          </cell>
          <cell r="Q10">
            <v>3858.6492669020272</v>
          </cell>
          <cell r="R10">
            <v>3996.2565938131265</v>
          </cell>
          <cell r="S10">
            <v>4137.4999511861133</v>
          </cell>
          <cell r="T10">
            <v>4342.9021080755738</v>
          </cell>
          <cell r="U10">
            <v>4445.3798365067851</v>
          </cell>
          <cell r="V10">
            <v>4551.062582422328</v>
          </cell>
          <cell r="W10">
            <v>4658.034894260205</v>
          </cell>
          <cell r="X10">
            <v>4768.1421270123392</v>
          </cell>
          <cell r="Y10">
            <v>4906.418248695697</v>
          </cell>
          <cell r="Z10">
            <v>5048.7043779078722</v>
          </cell>
          <cell r="AA10">
            <v>5195.1168048671989</v>
          </cell>
        </row>
        <row r="11">
          <cell r="H11">
            <v>2118.4114910989865</v>
          </cell>
          <cell r="I11">
            <v>2942.2381820819255</v>
          </cell>
          <cell r="J11">
            <v>2942.2381820819255</v>
          </cell>
          <cell r="K11">
            <v>2942.2381820819255</v>
          </cell>
          <cell r="L11">
            <v>2942.2381820819255</v>
          </cell>
          <cell r="M11">
            <v>2942.2381820819255</v>
          </cell>
          <cell r="N11">
            <v>2942.2381820819255</v>
          </cell>
          <cell r="O11">
            <v>2942.2381820819255</v>
          </cell>
          <cell r="P11">
            <v>2942.2381820819255</v>
          </cell>
          <cell r="Q11">
            <v>2942.2381820819255</v>
          </cell>
          <cell r="R11">
            <v>2942.2381820819255</v>
          </cell>
          <cell r="S11">
            <v>2942.2381820819255</v>
          </cell>
          <cell r="T11">
            <v>2942.2381820819255</v>
          </cell>
          <cell r="U11">
            <v>2942.2381820819255</v>
          </cell>
          <cell r="V11">
            <v>2942.2381820819255</v>
          </cell>
          <cell r="W11">
            <v>2942.2381820819255</v>
          </cell>
          <cell r="X11">
            <v>2942.2381820819255</v>
          </cell>
          <cell r="Y11">
            <v>2942.2381820819255</v>
          </cell>
          <cell r="Z11">
            <v>2942.2381820819255</v>
          </cell>
          <cell r="AA11">
            <v>2942.2381820819255</v>
          </cell>
        </row>
        <row r="13">
          <cell r="H13">
            <v>422.4384</v>
          </cell>
          <cell r="I13">
            <v>433.714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29">
          <cell r="H29">
            <v>2578.8772338268359</v>
          </cell>
          <cell r="I29">
            <v>3790.3554669401146</v>
          </cell>
          <cell r="J29">
            <v>3831.7675267739783</v>
          </cell>
          <cell r="K29">
            <v>3923.4437288440904</v>
          </cell>
          <cell r="L29">
            <v>4014.7764995625389</v>
          </cell>
          <cell r="M29">
            <v>4111.718094194106</v>
          </cell>
          <cell r="N29">
            <v>4210.7479378162834</v>
          </cell>
          <cell r="O29">
            <v>4312.9551070487523</v>
          </cell>
          <cell r="P29">
            <v>4422.8977661390381</v>
          </cell>
          <cell r="Q29">
            <v>4531.9935212586988</v>
          </cell>
          <cell r="R29">
            <v>4645.4716235188389</v>
          </cell>
          <cell r="S29">
            <v>4763.5060533654969</v>
          </cell>
          <cell r="T29">
            <v>4892.9867297704141</v>
          </cell>
          <cell r="U29">
            <v>5017.7697048489235</v>
          </cell>
          <cell r="V29">
            <v>5148.5023856663774</v>
          </cell>
          <cell r="W29">
            <v>5285.6363357801347</v>
          </cell>
          <cell r="X29">
            <v>5430.0938523327613</v>
          </cell>
          <cell r="Y29">
            <v>5468.7656981480341</v>
          </cell>
          <cell r="Z29">
            <v>5508.5300274919518</v>
          </cell>
          <cell r="AA29">
            <v>5549.4185223868399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SSUMP"/>
      <sheetName val="Sources"/>
      <sheetName val="Purchase"/>
      <sheetName val="Financials"/>
      <sheetName val="Depreciation"/>
      <sheetName val="Debt"/>
      <sheetName val="Revenue"/>
      <sheetName val="Expense"/>
      <sheetName val="Taxes"/>
      <sheetName val="NOLS"/>
      <sheetName val="Returns"/>
      <sheetName val="Partner Income"/>
      <sheetName val="Balance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H10">
            <v>4527.9030380711856</v>
          </cell>
          <cell r="I10">
            <v>851.51817392503017</v>
          </cell>
          <cell r="J10">
            <v>879.21674329530924</v>
          </cell>
          <cell r="K10">
            <v>917.7635974898127</v>
          </cell>
          <cell r="L10">
            <v>948.51988771596189</v>
          </cell>
          <cell r="M10">
            <v>991.56794194279439</v>
          </cell>
          <cell r="N10">
            <v>1030.5712830835241</v>
          </cell>
          <cell r="O10">
            <v>1070.9480255620813</v>
          </cell>
          <cell r="P10">
            <v>1123.5389866351238</v>
          </cell>
          <cell r="Q10">
            <v>1162.9460817401275</v>
          </cell>
          <cell r="R10">
            <v>1203.9590746318556</v>
          </cell>
          <cell r="S10">
            <v>1246.0245201647926</v>
          </cell>
          <cell r="T10">
            <v>1307.3852191836463</v>
          </cell>
          <cell r="U10">
            <v>1339.9686033276209</v>
          </cell>
          <cell r="V10">
            <v>1373.5780828940133</v>
          </cell>
          <cell r="W10">
            <v>1407.6980001910026</v>
          </cell>
          <cell r="X10">
            <v>1442.8779323807516</v>
          </cell>
          <cell r="Y10">
            <v>1478.8315728665627</v>
          </cell>
          <cell r="Z10">
            <v>1552.0484782320038</v>
          </cell>
        </row>
        <row r="11">
          <cell r="H11">
            <v>716.09760667062505</v>
          </cell>
          <cell r="I11">
            <v>716.09760667062505</v>
          </cell>
          <cell r="J11">
            <v>716.09760667062505</v>
          </cell>
          <cell r="K11">
            <v>716.09760667062505</v>
          </cell>
          <cell r="L11">
            <v>716.09760667062505</v>
          </cell>
          <cell r="M11">
            <v>716.09760667062505</v>
          </cell>
          <cell r="N11">
            <v>716.09760667062505</v>
          </cell>
          <cell r="O11">
            <v>716.09760667062505</v>
          </cell>
          <cell r="P11">
            <v>716.09760667062505</v>
          </cell>
          <cell r="Q11">
            <v>716.09760667062505</v>
          </cell>
          <cell r="R11">
            <v>716.09760667062505</v>
          </cell>
          <cell r="S11">
            <v>716.09760667062505</v>
          </cell>
          <cell r="T11">
            <v>716.09760667062505</v>
          </cell>
          <cell r="U11">
            <v>716.09760667062505</v>
          </cell>
          <cell r="V11">
            <v>716.09760667062505</v>
          </cell>
          <cell r="W11">
            <v>716.09760667062505</v>
          </cell>
          <cell r="X11">
            <v>716.09760667062505</v>
          </cell>
          <cell r="Y11">
            <v>716.09760667062505</v>
          </cell>
          <cell r="Z11">
            <v>716.09760667062505</v>
          </cell>
        </row>
        <row r="12">
          <cell r="H12">
            <v>1053.2670000000001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27">
          <cell r="H27">
            <v>1433.3695101949716</v>
          </cell>
          <cell r="I27">
            <v>1083.3964013074901</v>
          </cell>
          <cell r="J27">
            <v>1092.503110889952</v>
          </cell>
          <cell r="K27">
            <v>1118.9254578600107</v>
          </cell>
          <cell r="L27">
            <v>1144.8022924707864</v>
          </cell>
          <cell r="M27">
            <v>1172.9533110029063</v>
          </cell>
          <cell r="N27">
            <v>1224.5878751074733</v>
          </cell>
          <cell r="O27">
            <v>1259.4880749682752</v>
          </cell>
          <cell r="P27">
            <v>1292.0004481686763</v>
          </cell>
          <cell r="Q27">
            <v>1323.9746285298595</v>
          </cell>
          <cell r="R27">
            <v>1356.8706365678177</v>
          </cell>
          <cell r="S27">
            <v>1391.924530428146</v>
          </cell>
          <cell r="T27">
            <v>1430.860019098383</v>
          </cell>
          <cell r="U27">
            <v>1467.9504441591382</v>
          </cell>
          <cell r="V27">
            <v>1506.1243928021267</v>
          </cell>
          <cell r="W27">
            <v>1545.3602002038845</v>
          </cell>
          <cell r="X27">
            <v>1585.7407116499642</v>
          </cell>
          <cell r="Y27">
            <v>1613.7682643135367</v>
          </cell>
          <cell r="Z27">
            <v>1660.025588643425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SSUMP"/>
      <sheetName val="Sources"/>
      <sheetName val="Financials"/>
      <sheetName val="Purchase"/>
      <sheetName val="Debt"/>
      <sheetName val="Depreciation"/>
      <sheetName val="Revenue PG&amp;E"/>
      <sheetName val="Revenue SCE"/>
      <sheetName val="EXPENSE"/>
      <sheetName val="Taxes"/>
      <sheetName val="NOLS"/>
      <sheetName val="Returns"/>
      <sheetName val="Balances"/>
      <sheetName val="Partner Income"/>
      <sheetName val="Comparison"/>
    </sheetNames>
    <sheetDataSet>
      <sheetData sheetId="0" refreshError="1"/>
      <sheetData sheetId="1" refreshError="1"/>
      <sheetData sheetId="2" refreshError="1"/>
      <sheetData sheetId="3">
        <row r="10">
          <cell r="I10">
            <v>1103.2615219337627</v>
          </cell>
          <cell r="J10">
            <v>1158.5114881326163</v>
          </cell>
          <cell r="K10">
            <v>1205.6193574728043</v>
          </cell>
          <cell r="L10">
            <v>1253.2755191987576</v>
          </cell>
          <cell r="M10">
            <v>1295.483344564554</v>
          </cell>
          <cell r="N10">
            <v>1347.6765183245484</v>
          </cell>
          <cell r="O10">
            <v>1397.7247253136813</v>
          </cell>
          <cell r="P10">
            <v>1431.4274055468609</v>
          </cell>
          <cell r="Q10">
            <v>1474.2327229966461</v>
          </cell>
          <cell r="R10">
            <v>1507.5152897666999</v>
          </cell>
          <cell r="S10">
            <v>1541.7061832320469</v>
          </cell>
          <cell r="T10">
            <v>1585.2727342651851</v>
          </cell>
          <cell r="U10">
            <v>1643.4372439347449</v>
          </cell>
          <cell r="V10">
            <v>1681.3172392615011</v>
          </cell>
          <cell r="W10">
            <v>1720.1871979609155</v>
          </cell>
          <cell r="X10">
            <v>1755.644356420748</v>
          </cell>
          <cell r="Y10">
            <v>770.22405249321855</v>
          </cell>
          <cell r="Z10">
            <v>781.68182340124542</v>
          </cell>
          <cell r="AA10">
            <v>793.15638659379101</v>
          </cell>
        </row>
        <row r="11">
          <cell r="I11">
            <v>1082.7186504627193</v>
          </cell>
          <cell r="J11">
            <v>1082.7186504627193</v>
          </cell>
          <cell r="K11">
            <v>1082.7186504627193</v>
          </cell>
          <cell r="L11">
            <v>1082.7186504627193</v>
          </cell>
          <cell r="M11">
            <v>1082.7186504627193</v>
          </cell>
          <cell r="N11">
            <v>1082.7186504627193</v>
          </cell>
          <cell r="O11">
            <v>1082.7186504627193</v>
          </cell>
          <cell r="P11">
            <v>1082.7186504627193</v>
          </cell>
          <cell r="Q11">
            <v>1082.7186504627193</v>
          </cell>
          <cell r="R11">
            <v>1082.7186504627193</v>
          </cell>
          <cell r="S11">
            <v>1082.7186504627193</v>
          </cell>
          <cell r="T11">
            <v>1082.7186504627193</v>
          </cell>
          <cell r="U11">
            <v>1082.7186504627193</v>
          </cell>
          <cell r="V11">
            <v>1082.7186504627193</v>
          </cell>
          <cell r="W11">
            <v>1082.7186504627193</v>
          </cell>
          <cell r="X11">
            <v>1082.7186504627193</v>
          </cell>
          <cell r="Y11">
            <v>601.92301996924971</v>
          </cell>
          <cell r="Z11">
            <v>601.92301996924971</v>
          </cell>
          <cell r="AA11">
            <v>601.92301996924971</v>
          </cell>
        </row>
        <row r="12">
          <cell r="I12">
            <v>2124.41491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I13">
            <v>213.887</v>
          </cell>
          <cell r="J13">
            <v>169.452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28">
          <cell r="I28">
            <v>1413.5194761367984</v>
          </cell>
          <cell r="J28">
            <v>1330.7224389198302</v>
          </cell>
          <cell r="K28">
            <v>1497.7590364368414</v>
          </cell>
          <cell r="L28">
            <v>1534.9906889718054</v>
          </cell>
          <cell r="M28">
            <v>1572.4349945805318</v>
          </cell>
          <cell r="N28">
            <v>1611.7818264236321</v>
          </cell>
          <cell r="O28">
            <v>1651.756854480258</v>
          </cell>
          <cell r="P28">
            <v>1691.3657654599465</v>
          </cell>
          <cell r="Q28">
            <v>1733.0553096809772</v>
          </cell>
          <cell r="R28">
            <v>1774.8803511833632</v>
          </cell>
          <cell r="S28">
            <v>1817.8909353303895</v>
          </cell>
          <cell r="T28">
            <v>1862.9409270886092</v>
          </cell>
          <cell r="U28">
            <v>1911.1228349254236</v>
          </cell>
          <cell r="V28">
            <v>1958.4131195771838</v>
          </cell>
          <cell r="W28">
            <v>2007.1578368346634</v>
          </cell>
          <cell r="X28">
            <v>2017.1350406728309</v>
          </cell>
          <cell r="Y28">
            <v>1243.1579456902814</v>
          </cell>
          <cell r="Z28">
            <v>1272.9207946959607</v>
          </cell>
          <cell r="AA28">
            <v>1303.5303267656238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SSUMP"/>
      <sheetName val="Sources"/>
      <sheetName val="Financials"/>
      <sheetName val="Revenue"/>
      <sheetName val="Expense"/>
      <sheetName val="Taxes"/>
      <sheetName val="Debt"/>
      <sheetName val="Depreciation"/>
      <sheetName val="NOLS"/>
      <sheetName val="Returns"/>
      <sheetName val="Partner Income"/>
      <sheetName val="Balances"/>
      <sheetName val="Offline"/>
      <sheetName val="Comparison"/>
    </sheetNames>
    <sheetDataSet>
      <sheetData sheetId="0" refreshError="1"/>
      <sheetData sheetId="1" refreshError="1"/>
      <sheetData sheetId="2" refreshError="1"/>
      <sheetData sheetId="3">
        <row r="11">
          <cell r="I11">
            <v>1113.8547403606206</v>
          </cell>
          <cell r="J11">
            <v>1149.5497628794933</v>
          </cell>
          <cell r="K11">
            <v>1186.4521151667414</v>
          </cell>
          <cell r="L11">
            <v>1238.6040851395196</v>
          </cell>
          <cell r="M11">
            <v>1280.2654902167205</v>
          </cell>
          <cell r="N11">
            <v>1338.5097694145841</v>
          </cell>
          <cell r="O11">
            <v>1391.3172466868486</v>
          </cell>
          <cell r="P11">
            <v>1445.970516389018</v>
          </cell>
          <cell r="Q11">
            <v>1517.1567860397329</v>
          </cell>
          <cell r="R11">
            <v>1570.8237684121859</v>
          </cell>
          <cell r="S11">
            <v>1626.7031522829116</v>
          </cell>
          <cell r="T11">
            <v>1684.0272641785534</v>
          </cell>
          <cell r="U11">
            <v>1767.4786798062516</v>
          </cell>
          <cell r="V11">
            <v>1810.5949561583554</v>
          </cell>
          <cell r="W11">
            <v>1855.1171151377259</v>
          </cell>
          <cell r="X11">
            <v>1900.2254949426429</v>
          </cell>
        </row>
        <row r="12">
          <cell r="I12">
            <v>998.92509052597745</v>
          </cell>
          <cell r="J12">
            <v>998.92509052597745</v>
          </cell>
          <cell r="K12">
            <v>998.92509052597745</v>
          </cell>
          <cell r="L12">
            <v>998.92509052597745</v>
          </cell>
          <cell r="M12">
            <v>998.92509052597745</v>
          </cell>
          <cell r="N12">
            <v>998.92509052597745</v>
          </cell>
          <cell r="O12">
            <v>998.92509052597745</v>
          </cell>
          <cell r="P12">
            <v>998.92509052597745</v>
          </cell>
          <cell r="Q12">
            <v>998.92509052597745</v>
          </cell>
          <cell r="R12">
            <v>998.92509052597745</v>
          </cell>
          <cell r="S12">
            <v>998.92509052597745</v>
          </cell>
          <cell r="T12">
            <v>998.92509052597745</v>
          </cell>
          <cell r="U12">
            <v>998.92509052597745</v>
          </cell>
          <cell r="V12">
            <v>998.92509052597745</v>
          </cell>
          <cell r="W12">
            <v>998.92509052597745</v>
          </cell>
          <cell r="X12">
            <v>998.92509052597745</v>
          </cell>
        </row>
        <row r="14">
          <cell r="I14">
            <v>236.303</v>
          </cell>
          <cell r="J14">
            <v>174.95099999999999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29">
          <cell r="I29">
            <v>1535.3408315220188</v>
          </cell>
          <cell r="J29">
            <v>1511.1912284038124</v>
          </cell>
          <cell r="K29">
            <v>1565.4476488299572</v>
          </cell>
          <cell r="L29">
            <v>1607.439990999804</v>
          </cell>
          <cell r="M29">
            <v>1649.1659578132894</v>
          </cell>
          <cell r="N29">
            <v>1693.2092551831279</v>
          </cell>
          <cell r="O29">
            <v>1774.6130146935409</v>
          </cell>
          <cell r="P29">
            <v>1829.533330473344</v>
          </cell>
          <cell r="Q29">
            <v>1879.8908208853074</v>
          </cell>
          <cell r="R29">
            <v>1929.7226553626986</v>
          </cell>
          <cell r="S29">
            <v>1981.0370280424411</v>
          </cell>
          <cell r="T29">
            <v>2033.7932029887761</v>
          </cell>
          <cell r="U29">
            <v>2091.0951375411291</v>
          </cell>
          <cell r="V29">
            <v>2145.7702079963533</v>
          </cell>
          <cell r="W29">
            <v>2202.033202903704</v>
          </cell>
          <cell r="X29">
            <v>2259.8440253436379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SSUMP"/>
      <sheetName val="Sources"/>
      <sheetName val="Financials"/>
      <sheetName val="Revenue"/>
      <sheetName val="Expense"/>
      <sheetName val="Taxes"/>
      <sheetName val="Debt"/>
      <sheetName val="Depreciation"/>
      <sheetName val="NOLS"/>
      <sheetName val="Returns"/>
      <sheetName val="Partner Income"/>
      <sheetName val="Balances"/>
      <sheetName val="Offline"/>
    </sheetNames>
    <sheetDataSet>
      <sheetData sheetId="0"/>
      <sheetData sheetId="1"/>
      <sheetData sheetId="2"/>
      <sheetData sheetId="3">
        <row r="10">
          <cell r="H10">
            <v>1427.749719808352</v>
          </cell>
          <cell r="I10">
            <v>1473.9342677544223</v>
          </cell>
          <cell r="J10">
            <v>1521.4808661614434</v>
          </cell>
          <cell r="K10">
            <v>1588.2957614894608</v>
          </cell>
          <cell r="L10">
            <v>1641.6472551929776</v>
          </cell>
          <cell r="M10">
            <v>1716.2662270253923</v>
          </cell>
          <cell r="N10">
            <v>1783.903127576943</v>
          </cell>
          <cell r="O10">
            <v>1853.9105804438902</v>
          </cell>
          <cell r="P10">
            <v>1945.0957623240306</v>
          </cell>
          <cell r="Q10">
            <v>2013.6866942290026</v>
          </cell>
          <cell r="R10">
            <v>2085.0934134332656</v>
          </cell>
          <cell r="S10">
            <v>2158.3412816457976</v>
          </cell>
          <cell r="T10">
            <v>2265.052110865327</v>
          </cell>
          <cell r="U10">
            <v>2320.7452488778408</v>
          </cell>
          <cell r="V10">
            <v>2378.2312649852011</v>
          </cell>
          <cell r="W10">
            <v>2436.5173472622819</v>
          </cell>
          <cell r="X10">
            <v>2496.6074715585328</v>
          </cell>
        </row>
        <row r="11">
          <cell r="H11">
            <v>1430.0730071548808</v>
          </cell>
          <cell r="I11">
            <v>1430.0730071548808</v>
          </cell>
          <cell r="J11">
            <v>1430.0730071548808</v>
          </cell>
          <cell r="K11">
            <v>1430.0730071548808</v>
          </cell>
          <cell r="L11">
            <v>1430.0730071548808</v>
          </cell>
          <cell r="M11">
            <v>1430.0730071548808</v>
          </cell>
          <cell r="N11">
            <v>1430.0730071548808</v>
          </cell>
          <cell r="O11">
            <v>1430.0730071548808</v>
          </cell>
          <cell r="P11">
            <v>1430.0730071548808</v>
          </cell>
          <cell r="Q11">
            <v>1430.0730071548808</v>
          </cell>
          <cell r="R11">
            <v>1430.0730071548808</v>
          </cell>
          <cell r="S11">
            <v>1430.0730071548808</v>
          </cell>
          <cell r="T11">
            <v>1430.0730071548808</v>
          </cell>
          <cell r="U11">
            <v>1430.0730071548808</v>
          </cell>
          <cell r="V11">
            <v>1430.0730071548808</v>
          </cell>
          <cell r="W11">
            <v>1430.0730071548808</v>
          </cell>
          <cell r="X11">
            <v>1430.0730071548808</v>
          </cell>
        </row>
        <row r="12">
          <cell r="H12">
            <v>341.83800000000002</v>
          </cell>
          <cell r="I12">
            <v>254.4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27">
          <cell r="H27">
            <v>1823.2836077496688</v>
          </cell>
          <cell r="I27">
            <v>1798.5163995160199</v>
          </cell>
          <cell r="J27">
            <v>1818.4569545385643</v>
          </cell>
          <cell r="K27">
            <v>1866.6436598296154</v>
          </cell>
          <cell r="L27">
            <v>1914.1457260423892</v>
          </cell>
          <cell r="M27">
            <v>1964.8157080052229</v>
          </cell>
          <cell r="N27">
            <v>2015.9952078975898</v>
          </cell>
          <cell r="O27">
            <v>2068.6535442794529</v>
          </cell>
          <cell r="P27">
            <v>2125.2749521916589</v>
          </cell>
          <cell r="Q27">
            <v>2180.9810259235637</v>
          </cell>
          <cell r="R27">
            <v>2238.3511014229989</v>
          </cell>
          <cell r="S27">
            <v>2297.3271472090551</v>
          </cell>
          <cell r="T27">
            <v>2361.746798172429</v>
          </cell>
          <cell r="U27">
            <v>2422.6050170401118</v>
          </cell>
          <cell r="V27">
            <v>2485.2273348130416</v>
          </cell>
          <cell r="W27">
            <v>2549.5602358669662</v>
          </cell>
          <cell r="X27">
            <v>2615.7512125237104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Scenarios"/>
      <sheetName val="COVER"/>
      <sheetName val="SUMMARY"/>
      <sheetName val="TURBINES"/>
      <sheetName val="ASSUME1"/>
      <sheetName val="ASSUME2"/>
      <sheetName val="18mw"/>
      <sheetName val="TOD"/>
      <sheetName val="Hi_Lo"/>
      <sheetName val="RES_REV2"/>
      <sheetName val="SOURCES"/>
      <sheetName val="FINANCIALS"/>
      <sheetName val="TAX"/>
      <sheetName val="NOLs"/>
      <sheetName val="RETURNS"/>
      <sheetName val="BALANCES"/>
      <sheetName val="PARTNER INCOME"/>
      <sheetName val="DEBT"/>
      <sheetName val="DEPR"/>
      <sheetName val="1999"/>
      <sheetName val="CONSTRUCT"/>
      <sheetName val="PPA Valu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35">
          <cell r="F35">
            <v>3670.9667854619702</v>
          </cell>
          <cell r="G35">
            <v>3670.9667854619702</v>
          </cell>
          <cell r="H35">
            <v>3670.9667854619702</v>
          </cell>
          <cell r="I35">
            <v>3670.9667854619702</v>
          </cell>
          <cell r="J35">
            <v>3670.9667854619702</v>
          </cell>
          <cell r="K35">
            <v>3670.9667854619702</v>
          </cell>
          <cell r="L35">
            <v>3670.9667854619702</v>
          </cell>
          <cell r="M35">
            <v>3670.9667854619702</v>
          </cell>
          <cell r="N35">
            <v>3670.9667854619702</v>
          </cell>
          <cell r="O35">
            <v>3670.9667854619702</v>
          </cell>
          <cell r="P35">
            <v>3670.9667854619702</v>
          </cell>
          <cell r="Q35">
            <v>3670.9667854619702</v>
          </cell>
          <cell r="R35">
            <v>3670.9667854619702</v>
          </cell>
          <cell r="S35">
            <v>3670.9667854619702</v>
          </cell>
          <cell r="T35">
            <v>3670.9667854619702</v>
          </cell>
          <cell r="U35">
            <v>3145.4366894851851</v>
          </cell>
          <cell r="V35">
            <v>61.326747271944015</v>
          </cell>
        </row>
        <row r="36">
          <cell r="F36">
            <v>5897.1771012570371</v>
          </cell>
          <cell r="G36">
            <v>5716.3961435057472</v>
          </cell>
          <cell r="H36">
            <v>5539.4873773973986</v>
          </cell>
          <cell r="I36">
            <v>5733.6275785143134</v>
          </cell>
          <cell r="J36">
            <v>5934.0126100762009</v>
          </cell>
          <cell r="K36">
            <v>6140.8333759796124</v>
          </cell>
          <cell r="L36">
            <v>6354.2864222968956</v>
          </cell>
          <cell r="M36">
            <v>6399.1116936862609</v>
          </cell>
          <cell r="N36">
            <v>6442.206799631158</v>
          </cell>
          <cell r="O36">
            <v>6483.4572160647449</v>
          </cell>
          <cell r="P36">
            <v>6522.7437740702435</v>
          </cell>
          <cell r="Q36">
            <v>6659.2024722344167</v>
          </cell>
          <cell r="R36">
            <v>6798.4073904480074</v>
          </cell>
          <cell r="S36">
            <v>6940.4105530271327</v>
          </cell>
          <cell r="T36">
            <v>7085.2648691161812</v>
          </cell>
          <cell r="U36">
            <v>7144.8328686362729</v>
          </cell>
          <cell r="V36">
            <v>7202.9509775891702</v>
          </cell>
          <cell r="W36">
            <v>7202.9509775891702</v>
          </cell>
          <cell r="X36">
            <v>7314.3940456363507</v>
          </cell>
          <cell r="Y36">
            <v>7497.2538967772571</v>
          </cell>
          <cell r="Z36">
            <v>7684.6852441966885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4">
          <cell r="F14">
            <v>777.52763296717956</v>
          </cell>
          <cell r="G14">
            <v>891.84082379135896</v>
          </cell>
          <cell r="H14">
            <v>932.02434438614296</v>
          </cell>
          <cell r="I14">
            <v>951.84995299579646</v>
          </cell>
          <cell r="J14">
            <v>991.27120182069132</v>
          </cell>
          <cell r="K14">
            <v>992.76953655370846</v>
          </cell>
          <cell r="L14">
            <v>1094.429024967551</v>
          </cell>
          <cell r="M14">
            <v>1055.7457630917399</v>
          </cell>
          <cell r="N14">
            <v>1059.176266187588</v>
          </cell>
          <cell r="O14">
            <v>1082.8608641235278</v>
          </cell>
          <cell r="P14">
            <v>1126.2715865719281</v>
          </cell>
          <cell r="Q14">
            <v>1211.8389442469702</v>
          </cell>
          <cell r="R14">
            <v>1157.7625742851017</v>
          </cell>
          <cell r="S14">
            <v>1203.489427895784</v>
          </cell>
          <cell r="T14">
            <v>1211.4229108244374</v>
          </cell>
          <cell r="U14">
            <v>1269.8251962470927</v>
          </cell>
          <cell r="V14">
            <v>1368.1171244379161</v>
          </cell>
          <cell r="W14">
            <v>1298.6738724188424</v>
          </cell>
          <cell r="X14">
            <v>1329.823575588136</v>
          </cell>
          <cell r="Y14">
            <v>1380.9599141546034</v>
          </cell>
          <cell r="Z14">
            <v>1394.4286931216441</v>
          </cell>
        </row>
        <row r="15">
          <cell r="F15">
            <v>45.94595985828748</v>
          </cell>
          <cell r="G15">
            <v>46.841906075524093</v>
          </cell>
          <cell r="H15">
            <v>47.75532324399682</v>
          </cell>
          <cell r="I15">
            <v>48.686552047254757</v>
          </cell>
          <cell r="J15">
            <v>49.635939812176233</v>
          </cell>
          <cell r="K15">
            <v>50.603840638513674</v>
          </cell>
          <cell r="L15">
            <v>51.590615530964698</v>
          </cell>
          <cell r="M15">
            <v>52.596632533818514</v>
          </cell>
          <cell r="N15">
            <v>53.622266868227975</v>
          </cell>
          <cell r="O15">
            <v>54.667901072158422</v>
          </cell>
          <cell r="P15">
            <v>55.733925143065512</v>
          </cell>
          <cell r="Q15">
            <v>56.820736683355292</v>
          </cell>
          <cell r="R15">
            <v>57.928741048680727</v>
          </cell>
          <cell r="S15">
            <v>59.058351499130005</v>
          </cell>
          <cell r="T15">
            <v>60.209989353363035</v>
          </cell>
          <cell r="U15">
            <v>61.384084145753619</v>
          </cell>
          <cell r="V15">
            <v>62.581073786595823</v>
          </cell>
          <cell r="W15">
            <v>63.801404725434452</v>
          </cell>
          <cell r="X15">
            <v>65.045532117580436</v>
          </cell>
          <cell r="Y15">
            <v>66.313919993873256</v>
          </cell>
          <cell r="Z15">
            <v>67.607041433753778</v>
          </cell>
        </row>
        <row r="16">
          <cell r="F16">
            <v>414.34960600000005</v>
          </cell>
          <cell r="G16">
            <v>359.82992100000007</v>
          </cell>
          <cell r="H16">
            <v>310.7622045</v>
          </cell>
          <cell r="I16">
            <v>261.69448800000004</v>
          </cell>
          <cell r="J16">
            <v>218.07874000000004</v>
          </cell>
          <cell r="K16">
            <v>190.81889749999999</v>
          </cell>
          <cell r="L16">
            <v>169.01102350000002</v>
          </cell>
          <cell r="M16">
            <v>163.559055</v>
          </cell>
          <cell r="N16">
            <v>163.559055</v>
          </cell>
          <cell r="O16">
            <v>163.559055</v>
          </cell>
          <cell r="P16">
            <v>163.559055</v>
          </cell>
          <cell r="Q16">
            <v>163.559055</v>
          </cell>
          <cell r="R16">
            <v>163.559055</v>
          </cell>
          <cell r="S16">
            <v>163.559055</v>
          </cell>
          <cell r="T16">
            <v>163.559055</v>
          </cell>
          <cell r="U16">
            <v>163.559055</v>
          </cell>
          <cell r="V16">
            <v>163.559055</v>
          </cell>
          <cell r="W16">
            <v>163.559055</v>
          </cell>
          <cell r="X16">
            <v>163.559055</v>
          </cell>
          <cell r="Y16">
            <v>163.559055</v>
          </cell>
          <cell r="Z16">
            <v>163.559055</v>
          </cell>
        </row>
        <row r="17">
          <cell r="F17">
            <v>437.74258281739458</v>
          </cell>
          <cell r="G17">
            <v>429.47185400027303</v>
          </cell>
          <cell r="H17">
            <v>421.37827795081608</v>
          </cell>
          <cell r="I17">
            <v>430.26019215191496</v>
          </cell>
          <cell r="J17">
            <v>439.42780734587132</v>
          </cell>
          <cell r="K17">
            <v>448.88985738595238</v>
          </cell>
          <cell r="L17">
            <v>458.65533425496807</v>
          </cell>
          <cell r="M17">
            <v>460.70609042103149</v>
          </cell>
          <cell r="N17">
            <v>462.67769151801059</v>
          </cell>
          <cell r="O17">
            <v>464.56489806984712</v>
          </cell>
          <cell r="P17">
            <v>466.36225809859877</v>
          </cell>
          <cell r="Q17">
            <v>472.60524353960966</v>
          </cell>
          <cell r="R17">
            <v>478.97386854788147</v>
          </cell>
          <cell r="S17">
            <v>485.47051323587641</v>
          </cell>
          <cell r="T17">
            <v>492.09759819695034</v>
          </cell>
          <cell r="U17">
            <v>470.77983228405657</v>
          </cell>
          <cell r="V17">
            <v>332.34070591239595</v>
          </cell>
          <cell r="W17">
            <v>329.53500722470449</v>
          </cell>
          <cell r="X17">
            <v>334.633527587863</v>
          </cell>
          <cell r="Y17">
            <v>342.99936577755943</v>
          </cell>
          <cell r="Z17">
            <v>351.57434992199848</v>
          </cell>
        </row>
        <row r="18">
          <cell r="F18">
            <v>16.053549999999998</v>
          </cell>
          <cell r="G18">
            <v>16.454888749999999</v>
          </cell>
          <cell r="H18">
            <v>16.866260968749994</v>
          </cell>
          <cell r="I18">
            <v>17.287917492968745</v>
          </cell>
          <cell r="J18">
            <v>17.72011543029296</v>
          </cell>
          <cell r="K18">
            <v>18.163118316050284</v>
          </cell>
          <cell r="L18">
            <v>18.617196273951539</v>
          </cell>
          <cell r="M18">
            <v>19.082626180800325</v>
          </cell>
          <cell r="N18">
            <v>19.559691835320329</v>
          </cell>
          <cell r="O18">
            <v>20.048684131203338</v>
          </cell>
          <cell r="P18">
            <v>20.549901234483418</v>
          </cell>
          <cell r="Q18">
            <v>21.063648765345505</v>
          </cell>
          <cell r="R18">
            <v>21.590239984479137</v>
          </cell>
          <cell r="S18">
            <v>22.129995984091114</v>
          </cell>
          <cell r="T18">
            <v>22.683245883693392</v>
          </cell>
          <cell r="U18">
            <v>23.250327030785723</v>
          </cell>
          <cell r="V18">
            <v>23.831585206555363</v>
          </cell>
          <cell r="W18">
            <v>24.427374836719245</v>
          </cell>
          <cell r="X18">
            <v>25.038059207637222</v>
          </cell>
          <cell r="Y18">
            <v>25.664010687828149</v>
          </cell>
          <cell r="Z18">
            <v>26.305610955023852</v>
          </cell>
        </row>
        <row r="19">
          <cell r="F19">
            <v>103.3815</v>
          </cell>
          <cell r="G19">
            <v>105.9660375</v>
          </cell>
          <cell r="H19">
            <v>108.61518843749998</v>
          </cell>
          <cell r="I19">
            <v>111.33056814843748</v>
          </cell>
          <cell r="J19">
            <v>114.11383235214841</v>
          </cell>
          <cell r="K19">
            <v>116.9666781609521</v>
          </cell>
          <cell r="L19">
            <v>119.89084511497589</v>
          </cell>
          <cell r="M19">
            <v>122.88811624285026</v>
          </cell>
          <cell r="N19">
            <v>125.9603191489215</v>
          </cell>
          <cell r="O19">
            <v>129.10932712764455</v>
          </cell>
          <cell r="P19">
            <v>132.33706030583565</v>
          </cell>
          <cell r="Q19">
            <v>135.64548681348154</v>
          </cell>
          <cell r="R19">
            <v>139.03662398381854</v>
          </cell>
          <cell r="S19">
            <v>142.512539583414</v>
          </cell>
          <cell r="T19">
            <v>146.07535307299932</v>
          </cell>
          <cell r="U19">
            <v>149.72723689982431</v>
          </cell>
          <cell r="V19">
            <v>153.47041782231989</v>
          </cell>
          <cell r="W19">
            <v>157.30717826787787</v>
          </cell>
          <cell r="X19">
            <v>161.23985772457479</v>
          </cell>
          <cell r="Y19">
            <v>165.27085416768915</v>
          </cell>
          <cell r="Z19">
            <v>169.40262552188136</v>
          </cell>
        </row>
        <row r="20">
          <cell r="F20">
            <v>26.265624999999996</v>
          </cell>
          <cell r="G20">
            <v>26.922265624999998</v>
          </cell>
          <cell r="H20">
            <v>27.595322265624993</v>
          </cell>
          <cell r="I20">
            <v>28.285205322265618</v>
          </cell>
          <cell r="J20">
            <v>28.992335455322255</v>
          </cell>
          <cell r="K20">
            <v>29.717143841705308</v>
          </cell>
          <cell r="L20">
            <v>30.460072437747936</v>
          </cell>
          <cell r="M20">
            <v>31.221574248691631</v>
          </cell>
          <cell r="N20">
            <v>32.002113604908914</v>
          </cell>
          <cell r="O20">
            <v>32.802166445031638</v>
          </cell>
          <cell r="P20">
            <v>33.622220606157427</v>
          </cell>
          <cell r="Q20">
            <v>34.462776121311364</v>
          </cell>
          <cell r="R20">
            <v>35.324345524344139</v>
          </cell>
          <cell r="S20">
            <v>36.207454162452741</v>
          </cell>
          <cell r="T20">
            <v>37.112640516514055</v>
          </cell>
          <cell r="U20">
            <v>38.040456529426905</v>
          </cell>
          <cell r="V20">
            <v>38.991467942662574</v>
          </cell>
          <cell r="W20">
            <v>39.966254641229135</v>
          </cell>
          <cell r="X20">
            <v>40.965411007259853</v>
          </cell>
          <cell r="Y20">
            <v>41.989546282441346</v>
          </cell>
          <cell r="Z20">
            <v>43.039284939502373</v>
          </cell>
        </row>
        <row r="22">
          <cell r="F22">
            <v>52.531249999999993</v>
          </cell>
          <cell r="G22">
            <v>53.844531249999996</v>
          </cell>
          <cell r="H22">
            <v>55.190644531249987</v>
          </cell>
          <cell r="I22">
            <v>56.570410644531236</v>
          </cell>
          <cell r="J22">
            <v>57.98467091064451</v>
          </cell>
          <cell r="K22">
            <v>59.434287683410616</v>
          </cell>
          <cell r="L22">
            <v>60.920144875495872</v>
          </cell>
          <cell r="M22">
            <v>62.443148497383262</v>
          </cell>
          <cell r="N22">
            <v>64.004227209817827</v>
          </cell>
          <cell r="O22">
            <v>65.604332890063276</v>
          </cell>
          <cell r="P22">
            <v>67.244441212314854</v>
          </cell>
          <cell r="Q22">
            <v>68.925552242622729</v>
          </cell>
          <cell r="R22">
            <v>70.648691048688278</v>
          </cell>
          <cell r="S22">
            <v>72.414908324905483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F23">
            <v>105.06249999999999</v>
          </cell>
          <cell r="G23">
            <v>107.68906249999999</v>
          </cell>
          <cell r="H23">
            <v>110.38128906249997</v>
          </cell>
          <cell r="I23">
            <v>113.14082128906247</v>
          </cell>
          <cell r="J23">
            <v>115.96934182128902</v>
          </cell>
          <cell r="K23">
            <v>118.86857536682123</v>
          </cell>
          <cell r="L23">
            <v>121.84028975099174</v>
          </cell>
          <cell r="M23">
            <v>124.88629699476652</v>
          </cell>
          <cell r="N23">
            <v>128.00845441963565</v>
          </cell>
          <cell r="O23">
            <v>131.20866578012655</v>
          </cell>
          <cell r="P23">
            <v>134.48888242462971</v>
          </cell>
          <cell r="Q23">
            <v>137.85110448524546</v>
          </cell>
          <cell r="R23">
            <v>141.29738209737656</v>
          </cell>
          <cell r="S23">
            <v>144.82981664981097</v>
          </cell>
          <cell r="T23">
            <v>148.45056206605622</v>
          </cell>
          <cell r="U23">
            <v>152.16182611770762</v>
          </cell>
          <cell r="V23">
            <v>155.9658717706503</v>
          </cell>
          <cell r="W23">
            <v>159.86501856491654</v>
          </cell>
          <cell r="X23">
            <v>163.86164402903941</v>
          </cell>
          <cell r="Y23">
            <v>167.95818512976538</v>
          </cell>
          <cell r="Z23">
            <v>172.15713975800949</v>
          </cell>
        </row>
        <row r="66">
          <cell r="F66">
            <v>1771.4400815274421</v>
          </cell>
        </row>
        <row r="72">
          <cell r="F72">
            <v>45885.559918472558</v>
          </cell>
        </row>
        <row r="105">
          <cell r="G105">
            <v>-1771.4400815274421</v>
          </cell>
          <cell r="H105">
            <v>-1771.7607326048746</v>
          </cell>
          <cell r="I105">
            <v>-1953.493217776806</v>
          </cell>
          <cell r="J105">
            <v>-2184.1840346476092</v>
          </cell>
          <cell r="K105">
            <v>-2429.5115825202884</v>
          </cell>
          <cell r="L105">
            <v>-2643.1405239786764</v>
          </cell>
          <cell r="M105">
            <v>-2842.978150984949</v>
          </cell>
          <cell r="N105">
            <v>-3030.4019875094054</v>
          </cell>
          <cell r="O105">
            <v>-3262.572081607108</v>
          </cell>
          <cell r="P105">
            <v>-3503.1430392851689</v>
          </cell>
          <cell r="Q105">
            <v>-3793.6660394920436</v>
          </cell>
          <cell r="R105">
            <v>-4197.7569333359424</v>
          </cell>
          <cell r="S105">
            <v>-4581.3917859359099</v>
          </cell>
          <cell r="T105">
            <v>-4587.7946708012769</v>
          </cell>
          <cell r="U105">
            <v>-5103.7651379924991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</row>
      </sheetData>
      <sheetData sheetId="13">
        <row r="48">
          <cell r="F48">
            <v>3339.3664960110004</v>
          </cell>
          <cell r="G48">
            <v>3339.3664960110004</v>
          </cell>
          <cell r="H48">
            <v>3524.8868569005012</v>
          </cell>
          <cell r="I48">
            <v>3524.8868569005012</v>
          </cell>
          <cell r="J48">
            <v>3710.4072177900011</v>
          </cell>
          <cell r="K48">
            <v>3710.4072177900011</v>
          </cell>
          <cell r="L48">
            <v>3895.9275786795015</v>
          </cell>
          <cell r="M48">
            <v>3895.9275786795015</v>
          </cell>
          <cell r="N48">
            <v>4081.4479395690009</v>
          </cell>
          <cell r="O48">
            <v>808.30090451036233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>
        <row r="63">
          <cell r="E63">
            <v>3362.8696449915892</v>
          </cell>
          <cell r="F63">
            <v>3552.4897520869531</v>
          </cell>
          <cell r="G63">
            <v>3419.7275944280414</v>
          </cell>
          <cell r="H63">
            <v>3284.6952090822588</v>
          </cell>
          <cell r="I63">
            <v>3134.2773323352994</v>
          </cell>
          <cell r="J63">
            <v>2966.1762839473731</v>
          </cell>
          <cell r="K63">
            <v>2780.1942843947613</v>
          </cell>
          <cell r="L63">
            <v>2578.3740809037599</v>
          </cell>
          <cell r="M63">
            <v>2361.831855939115</v>
          </cell>
          <cell r="N63">
            <v>2128.0003808909228</v>
          </cell>
          <cell r="O63">
            <v>1876.5635225468654</v>
          </cell>
          <cell r="P63">
            <v>1605.9351463126261</v>
          </cell>
          <cell r="Q63">
            <v>1311.3613407268317</v>
          </cell>
          <cell r="R63">
            <v>986.04622206887143</v>
          </cell>
          <cell r="S63">
            <v>1203.4802596007044</v>
          </cell>
          <cell r="T63">
            <v>282.48193740516564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ssume1"/>
      <sheetName val="Turbines"/>
      <sheetName val="Assume2"/>
      <sheetName val="PPA Summary"/>
      <sheetName val="Financials"/>
      <sheetName val="Debt"/>
      <sheetName val="NOLs"/>
      <sheetName val="Sources"/>
      <sheetName val="Returns"/>
      <sheetName val="Tax"/>
      <sheetName val="Balances"/>
      <sheetName val="Income"/>
      <sheetName val="Depr"/>
      <sheetName val="FER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13">
          <cell r="I13">
            <v>6510.4640269834763</v>
          </cell>
          <cell r="J13">
            <v>6585.9324047872169</v>
          </cell>
          <cell r="K13">
            <v>6688.3438920187346</v>
          </cell>
          <cell r="L13">
            <v>7371.3983890953104</v>
          </cell>
          <cell r="M13">
            <v>8054.4528861718863</v>
          </cell>
          <cell r="N13">
            <v>8737.5073832484632</v>
          </cell>
          <cell r="O13">
            <v>9420.56188032504</v>
          </cell>
          <cell r="P13">
            <v>10103.616377401615</v>
          </cell>
          <cell r="Q13">
            <v>10786.670874478195</v>
          </cell>
          <cell r="R13">
            <v>11273.232427280929</v>
          </cell>
          <cell r="S13">
            <v>11759.793980083665</v>
          </cell>
          <cell r="T13">
            <v>12246.355532886399</v>
          </cell>
          <cell r="U13">
            <v>12732.917085689132</v>
          </cell>
          <cell r="V13">
            <v>13138.740806365076</v>
          </cell>
        </row>
        <row r="14">
          <cell r="I14">
            <v>5017.8074424975784</v>
          </cell>
          <cell r="J14">
            <v>5017.8074424975784</v>
          </cell>
          <cell r="K14">
            <v>5017.8074424975784</v>
          </cell>
          <cell r="L14">
            <v>5017.8074424975784</v>
          </cell>
          <cell r="M14">
            <v>5017.8074424975784</v>
          </cell>
          <cell r="N14">
            <v>5017.8074424975784</v>
          </cell>
          <cell r="O14">
            <v>5017.8074424975784</v>
          </cell>
          <cell r="P14">
            <v>5017.8074424975784</v>
          </cell>
          <cell r="Q14">
            <v>5017.8074424975784</v>
          </cell>
          <cell r="R14">
            <v>5017.8074424975784</v>
          </cell>
          <cell r="S14">
            <v>5017.8074424975784</v>
          </cell>
          <cell r="T14">
            <v>5017.8074424975784</v>
          </cell>
          <cell r="U14">
            <v>5017.8074424975784</v>
          </cell>
          <cell r="V14">
            <v>4342.6538596838018</v>
          </cell>
        </row>
        <row r="15">
          <cell r="I15">
            <v>1268.6483908297475</v>
          </cell>
          <cell r="J15">
            <v>1001.5287980829073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20">
          <cell r="I20">
            <v>3228</v>
          </cell>
          <cell r="J20">
            <v>3299.0160000000001</v>
          </cell>
          <cell r="K20">
            <v>3378.1923839999999</v>
          </cell>
          <cell r="L20">
            <v>3459.2690012160001</v>
          </cell>
          <cell r="M20">
            <v>3538.8321882439677</v>
          </cell>
          <cell r="N20">
            <v>3623.764160761823</v>
          </cell>
          <cell r="O20">
            <v>3710.7345006201067</v>
          </cell>
          <cell r="P20">
            <v>3799.7921286349892</v>
          </cell>
          <cell r="Q20">
            <v>3890.9871397222291</v>
          </cell>
          <cell r="R20">
            <v>3984.3708310755628</v>
          </cell>
          <cell r="S20">
            <v>4079.9957310213763</v>
          </cell>
          <cell r="T20">
            <v>4177.9156285658892</v>
          </cell>
          <cell r="U20">
            <v>4278.185603651471</v>
          </cell>
          <cell r="V20">
            <v>4380.862058139106</v>
          </cell>
        </row>
        <row r="21">
          <cell r="I21">
            <v>2776</v>
          </cell>
          <cell r="J21">
            <v>2837.0720000000001</v>
          </cell>
          <cell r="K21">
            <v>2905.161728</v>
          </cell>
          <cell r="L21">
            <v>2974.8856094719999</v>
          </cell>
          <cell r="M21">
            <v>3043.3079784898555</v>
          </cell>
          <cell r="N21">
            <v>3116.3473699736119</v>
          </cell>
          <cell r="O21">
            <v>3191.1397068529786</v>
          </cell>
          <cell r="P21">
            <v>3267.72705981745</v>
          </cell>
          <cell r="Q21">
            <v>3346.1525092530687</v>
          </cell>
          <cell r="R21">
            <v>3426.4601694751423</v>
          </cell>
          <cell r="S21">
            <v>3508.6952135425458</v>
          </cell>
          <cell r="T21">
            <v>3592.9038986675669</v>
          </cell>
          <cell r="U21">
            <v>3679.1335922355884</v>
          </cell>
          <cell r="V21">
            <v>3767.4327984492425</v>
          </cell>
        </row>
        <row r="22">
          <cell r="I22">
            <v>-368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I23">
            <v>1432</v>
          </cell>
          <cell r="J23">
            <v>1463.5040000000001</v>
          </cell>
          <cell r="K23">
            <v>1498.6280960000001</v>
          </cell>
          <cell r="L23">
            <v>1534.5951703040002</v>
          </cell>
          <cell r="M23">
            <v>1569.8908592209921</v>
          </cell>
          <cell r="N23">
            <v>1607.568239842296</v>
          </cell>
          <cell r="O23">
            <v>1646.149877598511</v>
          </cell>
          <cell r="P23">
            <v>1685.6574746608753</v>
          </cell>
          <cell r="Q23">
            <v>1726.1132540527365</v>
          </cell>
          <cell r="R23">
            <v>1767.5399721500021</v>
          </cell>
          <cell r="S23">
            <v>1809.9609314816021</v>
          </cell>
          <cell r="T23">
            <v>1853.3999938371605</v>
          </cell>
          <cell r="U23">
            <v>1897.8815936892524</v>
          </cell>
          <cell r="V23">
            <v>1943.4307519377946</v>
          </cell>
        </row>
        <row r="24">
          <cell r="I24">
            <v>-161</v>
          </cell>
          <cell r="J24">
            <v>-161</v>
          </cell>
          <cell r="K24">
            <v>-161</v>
          </cell>
          <cell r="L24">
            <v>-161</v>
          </cell>
          <cell r="M24">
            <v>-161</v>
          </cell>
          <cell r="N24">
            <v>-161</v>
          </cell>
          <cell r="O24">
            <v>-161</v>
          </cell>
          <cell r="P24">
            <v>-161</v>
          </cell>
          <cell r="Q24">
            <v>-161</v>
          </cell>
          <cell r="R24">
            <v>-161</v>
          </cell>
          <cell r="S24">
            <v>-161</v>
          </cell>
          <cell r="T24">
            <v>-161</v>
          </cell>
          <cell r="U24">
            <v>-161</v>
          </cell>
          <cell r="V24">
            <v>-161</v>
          </cell>
        </row>
        <row r="25">
          <cell r="I25">
            <v>-77</v>
          </cell>
          <cell r="J25">
            <v>-78.694000000000003</v>
          </cell>
          <cell r="K25">
            <v>-80.582656</v>
          </cell>
          <cell r="L25">
            <v>-82.516639744000003</v>
          </cell>
          <cell r="M25">
            <v>-84.414522458111989</v>
          </cell>
          <cell r="N25">
            <v>-86.440470997106672</v>
          </cell>
          <cell r="O25">
            <v>-88.515042301037241</v>
          </cell>
          <cell r="P25">
            <v>-90.639403316262133</v>
          </cell>
          <cell r="Q25">
            <v>-92.814748995852426</v>
          </cell>
          <cell r="R25">
            <v>-95.042302971752889</v>
          </cell>
          <cell r="S25">
            <v>-97.323318243074965</v>
          </cell>
          <cell r="T25">
            <v>-99.659077880908768</v>
          </cell>
          <cell r="U25">
            <v>-102.05089575005059</v>
          </cell>
          <cell r="V25">
            <v>-104.50011724805181</v>
          </cell>
        </row>
        <row r="26">
          <cell r="I26">
            <v>164</v>
          </cell>
          <cell r="J26">
            <v>214.86913800000002</v>
          </cell>
          <cell r="K26">
            <v>185.56880099999998</v>
          </cell>
          <cell r="L26">
            <v>156.26846399999999</v>
          </cell>
          <cell r="M26">
            <v>113.94575499999999</v>
          </cell>
          <cell r="N26">
            <v>100.923383</v>
          </cell>
          <cell r="O26">
            <v>97.667789999999997</v>
          </cell>
          <cell r="P26">
            <v>97.667789999999997</v>
          </cell>
          <cell r="Q26">
            <v>97.667789999999997</v>
          </cell>
          <cell r="R26">
            <v>97.667789999999997</v>
          </cell>
          <cell r="S26">
            <v>97.667789999999997</v>
          </cell>
          <cell r="T26">
            <v>97.667789999999997</v>
          </cell>
          <cell r="U26">
            <v>97.667789999999997</v>
          </cell>
          <cell r="V26">
            <v>97.667789999999997</v>
          </cell>
        </row>
        <row r="27">
          <cell r="I27">
            <v>21.190314177087821</v>
          </cell>
          <cell r="J27">
            <v>21.603525303541037</v>
          </cell>
          <cell r="K27">
            <v>22.024794046960089</v>
          </cell>
          <cell r="L27">
            <v>22.454277530875814</v>
          </cell>
          <cell r="M27">
            <v>22.892135942727894</v>
          </cell>
          <cell r="N27">
            <v>23.338532593611092</v>
          </cell>
          <cell r="O27">
            <v>23.793633979186509</v>
          </cell>
          <cell r="P27">
            <v>24.257609841780649</v>
          </cell>
          <cell r="Q27">
            <v>24.730633233695368</v>
          </cell>
          <cell r="R27">
            <v>25.21288058175243</v>
          </cell>
          <cell r="S27">
            <v>25.704531753096603</v>
          </cell>
          <cell r="T27">
            <v>26.205770122281987</v>
          </cell>
          <cell r="U27">
            <v>26.716782639666487</v>
          </cell>
          <cell r="V27">
            <v>27.237759901139988</v>
          </cell>
        </row>
        <row r="28">
          <cell r="I28">
            <v>863</v>
          </cell>
          <cell r="J28">
            <v>756.31611872206201</v>
          </cell>
          <cell r="K28">
            <v>702.36908007097873</v>
          </cell>
          <cell r="L28">
            <v>743.3523498955733</v>
          </cell>
          <cell r="M28">
            <v>784.33561972016787</v>
          </cell>
          <cell r="N28">
            <v>825.31888954476244</v>
          </cell>
          <cell r="O28">
            <v>866.30215936935713</v>
          </cell>
          <cell r="P28">
            <v>907.28542919395159</v>
          </cell>
          <cell r="Q28">
            <v>1264.358265358062</v>
          </cell>
          <cell r="R28">
            <v>1466.1935882800656</v>
          </cell>
          <cell r="S28">
            <v>1509.9841280323119</v>
          </cell>
          <cell r="T28">
            <v>1553.7746677845578</v>
          </cell>
          <cell r="U28">
            <v>1597.5652075368039</v>
          </cell>
          <cell r="V28">
            <v>1573.325519944399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I30">
            <v>318</v>
          </cell>
          <cell r="J30">
            <v>324.99599999999998</v>
          </cell>
          <cell r="K30">
            <v>332.79590400000001</v>
          </cell>
          <cell r="L30">
            <v>340.78300569600003</v>
          </cell>
          <cell r="M30">
            <v>348.62101482700803</v>
          </cell>
          <cell r="N30">
            <v>356.98791918285622</v>
          </cell>
          <cell r="O30">
            <v>365.55562924324477</v>
          </cell>
          <cell r="P30">
            <v>374.32896434508262</v>
          </cell>
          <cell r="Q30">
            <v>383.3128594893646</v>
          </cell>
          <cell r="R30">
            <v>392.51236811710936</v>
          </cell>
          <cell r="S30">
            <v>401.93266495192</v>
          </cell>
          <cell r="T30">
            <v>411.57904891076612</v>
          </cell>
          <cell r="U30">
            <v>421.45694608462452</v>
          </cell>
          <cell r="V30">
            <v>431.57191279065552</v>
          </cell>
        </row>
        <row r="31">
          <cell r="I31">
            <v>104</v>
          </cell>
          <cell r="J31">
            <v>106.288</v>
          </cell>
          <cell r="K31">
            <v>108.83891199999999</v>
          </cell>
          <cell r="L31">
            <v>111.451045888</v>
          </cell>
          <cell r="M31">
            <v>114.01441994342399</v>
          </cell>
          <cell r="N31">
            <v>116.75076602206616</v>
          </cell>
          <cell r="O31">
            <v>119.55278440659575</v>
          </cell>
          <cell r="P31">
            <v>122.42205123235405</v>
          </cell>
          <cell r="Q31">
            <v>125.36018046193055</v>
          </cell>
          <cell r="R31">
            <v>128.3688247930169</v>
          </cell>
          <cell r="S31">
            <v>131.4496765880493</v>
          </cell>
          <cell r="T31">
            <v>134.60446882616247</v>
          </cell>
          <cell r="U31">
            <v>137.83497607799038</v>
          </cell>
          <cell r="V31">
            <v>141.14301550386216</v>
          </cell>
        </row>
        <row r="33">
          <cell r="I33">
            <v>346.13088000000005</v>
          </cell>
          <cell r="J33">
            <v>353.05349760000007</v>
          </cell>
          <cell r="K33">
            <v>360.82067454720004</v>
          </cell>
          <cell r="L33">
            <v>369.48037073633287</v>
          </cell>
          <cell r="M33">
            <v>378.34789963400488</v>
          </cell>
          <cell r="N33">
            <v>387.04990132558697</v>
          </cell>
          <cell r="O33">
            <v>396.33909895740101</v>
          </cell>
          <cell r="P33">
            <v>405.85123733237867</v>
          </cell>
          <cell r="Q33">
            <v>415.5916670283558</v>
          </cell>
          <cell r="R33">
            <v>425.56586703703636</v>
          </cell>
          <cell r="S33">
            <v>435.77944784592523</v>
          </cell>
          <cell r="T33">
            <v>446.23815459422741</v>
          </cell>
          <cell r="U33">
            <v>456.9478703044889</v>
          </cell>
          <cell r="V33">
            <v>467.91461919179665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48">
          <cell r="I48">
            <v>525.15199903680002</v>
          </cell>
          <cell r="J48">
            <v>525.15199903680002</v>
          </cell>
          <cell r="K48">
            <v>525.15199903680002</v>
          </cell>
          <cell r="L48">
            <v>557.9739989766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ASSUMPTIONS"/>
      <sheetName val="TURBINES"/>
      <sheetName val="DEVELOPMENT"/>
      <sheetName val="PROPERTIES"/>
      <sheetName val="PRICING"/>
      <sheetName val="SOURCES"/>
      <sheetName val="FINANCIALS"/>
      <sheetName val="TAX"/>
      <sheetName val="NOLs"/>
      <sheetName val="RETURNS"/>
      <sheetName val="BALANCES"/>
      <sheetName val="PARTNER INC"/>
      <sheetName val="DEBT"/>
      <sheetName val="CONSTRUCT"/>
      <sheetName val="DEPR"/>
      <sheetName val="FE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F9">
            <v>5135.924</v>
          </cell>
          <cell r="G9">
            <v>4860.5940000000001</v>
          </cell>
          <cell r="H9">
            <v>4883.3599999999997</v>
          </cell>
          <cell r="I9">
            <v>4917.509</v>
          </cell>
          <cell r="J9">
            <v>4940.2749999999996</v>
          </cell>
          <cell r="K9">
            <v>5052.5122828681779</v>
          </cell>
          <cell r="L9">
            <v>5085.369607768208</v>
          </cell>
          <cell r="M9">
            <v>5119.8649811236664</v>
          </cell>
          <cell r="N9">
            <v>5154.7457776451074</v>
          </cell>
          <cell r="O9">
            <v>5189.7229299580431</v>
          </cell>
          <cell r="P9">
            <v>5227.6871118073468</v>
          </cell>
          <cell r="Q9">
            <v>5267.4820536950692</v>
          </cell>
          <cell r="R9">
            <v>5308.4332650807391</v>
          </cell>
          <cell r="S9">
            <v>5350.5407459643566</v>
          </cell>
          <cell r="T9">
            <v>5394.2862753034005</v>
          </cell>
          <cell r="U9">
            <v>5438.899006765907</v>
          </cell>
          <cell r="V9">
            <v>5483.3190266454221</v>
          </cell>
          <cell r="W9">
            <v>5528.4135370654067</v>
          </cell>
          <cell r="X9">
            <v>4444.6999501133432</v>
          </cell>
          <cell r="Y9">
            <v>2890.6737448708009</v>
          </cell>
          <cell r="Z9">
            <v>2890.6737448708009</v>
          </cell>
        </row>
        <row r="14">
          <cell r="F14">
            <v>389.54399999999998</v>
          </cell>
          <cell r="G14">
            <v>386.11099999999999</v>
          </cell>
          <cell r="H14">
            <v>547.18599999999992</v>
          </cell>
          <cell r="I14">
            <v>556.70499999999993</v>
          </cell>
          <cell r="J14">
            <v>541.39499999999998</v>
          </cell>
          <cell r="K14">
            <v>552.22289999999998</v>
          </cell>
          <cell r="L14">
            <v>563.26735799999994</v>
          </cell>
          <cell r="M14">
            <v>574.53270515999998</v>
          </cell>
          <cell r="N14">
            <v>586.02335926319995</v>
          </cell>
          <cell r="O14">
            <v>597.74382644846401</v>
          </cell>
          <cell r="P14">
            <v>609.6987029774333</v>
          </cell>
          <cell r="Q14">
            <v>621.89267703698192</v>
          </cell>
          <cell r="R14">
            <v>634.33053057772156</v>
          </cell>
          <cell r="S14">
            <v>647.017141189276</v>
          </cell>
          <cell r="T14">
            <v>659.9574840130615</v>
          </cell>
          <cell r="U14">
            <v>673.15663369332276</v>
          </cell>
          <cell r="V14">
            <v>686.61976636718919</v>
          </cell>
          <cell r="W14">
            <v>700.35216169453304</v>
          </cell>
          <cell r="X14">
            <v>714.35920492842376</v>
          </cell>
          <cell r="Y14">
            <v>728.64638902699221</v>
          </cell>
          <cell r="Z14">
            <v>743.2193168075321</v>
          </cell>
        </row>
        <row r="15">
          <cell r="F15">
            <v>45.926000000000002</v>
          </cell>
          <cell r="G15">
            <v>50.518999999999998</v>
          </cell>
          <cell r="H15">
            <v>55.570999999999998</v>
          </cell>
          <cell r="I15">
            <v>61.128</v>
          </cell>
          <cell r="J15">
            <v>67.241</v>
          </cell>
          <cell r="K15">
            <v>277.12223134200002</v>
          </cell>
          <cell r="L15">
            <v>277.12223134200002</v>
          </cell>
          <cell r="M15">
            <v>277.12223134200002</v>
          </cell>
          <cell r="N15">
            <v>277.12223134200002</v>
          </cell>
          <cell r="O15">
            <v>277.12223134200002</v>
          </cell>
          <cell r="P15">
            <v>277.12223134200002</v>
          </cell>
          <cell r="Q15">
            <v>277.12223134200002</v>
          </cell>
          <cell r="R15">
            <v>277.12223134200002</v>
          </cell>
          <cell r="S15">
            <v>277.12223134200002</v>
          </cell>
          <cell r="T15">
            <v>277.12223134200002</v>
          </cell>
          <cell r="U15">
            <v>277.12223134200002</v>
          </cell>
          <cell r="V15">
            <v>277.12223134200002</v>
          </cell>
          <cell r="W15">
            <v>277.12223134200002</v>
          </cell>
          <cell r="X15">
            <v>277.12223134200002</v>
          </cell>
          <cell r="Y15">
            <v>277.12223134200002</v>
          </cell>
          <cell r="Z15">
            <v>277.12223134200002</v>
          </cell>
        </row>
        <row r="16">
          <cell r="F16">
            <v>164.86799999999999</v>
          </cell>
          <cell r="G16">
            <v>156.02500000000001</v>
          </cell>
          <cell r="H16">
            <v>156.756</v>
          </cell>
          <cell r="I16">
            <v>157.852</v>
          </cell>
          <cell r="J16">
            <v>158.583</v>
          </cell>
          <cell r="K16">
            <v>145.40082697409889</v>
          </cell>
          <cell r="L16">
            <v>147.09337323358091</v>
          </cell>
          <cell r="M16">
            <v>148.81977041825249</v>
          </cell>
          <cell r="N16">
            <v>150.58069554661753</v>
          </cell>
          <cell r="O16">
            <v>152.3768391775499</v>
          </cell>
          <cell r="P16">
            <v>154.2089056811009</v>
          </cell>
          <cell r="Q16">
            <v>156.07761351472291</v>
          </cell>
          <cell r="R16">
            <v>157.98369550501735</v>
          </cell>
          <cell r="S16">
            <v>159.92789913511771</v>
          </cell>
          <cell r="T16">
            <v>161.91098683782008</v>
          </cell>
          <cell r="U16">
            <v>163.93373629457648</v>
          </cell>
          <cell r="V16">
            <v>165.99694074046801</v>
          </cell>
          <cell r="W16">
            <v>168.10140927527738</v>
          </cell>
          <cell r="X16">
            <v>170.24796718078292</v>
          </cell>
          <cell r="Y16">
            <v>172.43745624439859</v>
          </cell>
          <cell r="Z16">
            <v>174.67073508928658</v>
          </cell>
        </row>
        <row r="17">
          <cell r="F17">
            <v>21</v>
          </cell>
          <cell r="G17">
            <v>21</v>
          </cell>
          <cell r="H17">
            <v>22</v>
          </cell>
          <cell r="I17">
            <v>22</v>
          </cell>
          <cell r="J17">
            <v>23</v>
          </cell>
          <cell r="K17">
            <v>23.46</v>
          </cell>
          <cell r="L17">
            <v>23.929200000000002</v>
          </cell>
          <cell r="M17">
            <v>24.407784000000003</v>
          </cell>
          <cell r="N17">
            <v>24.895939680000005</v>
          </cell>
          <cell r="O17">
            <v>25.393858473600005</v>
          </cell>
          <cell r="P17">
            <v>25.901735643072005</v>
          </cell>
          <cell r="Q17">
            <v>26.419770355933444</v>
          </cell>
          <cell r="R17">
            <v>26.948165763052113</v>
          </cell>
          <cell r="S17">
            <v>27.487129078313156</v>
          </cell>
          <cell r="T17">
            <v>28.03687165987942</v>
          </cell>
          <cell r="U17">
            <v>28.597609093077008</v>
          </cell>
          <cell r="V17">
            <v>29.169561274938548</v>
          </cell>
          <cell r="W17">
            <v>29.752952500437321</v>
          </cell>
          <cell r="X17">
            <v>30.348011550446067</v>
          </cell>
          <cell r="Y17">
            <v>30.95497178145499</v>
          </cell>
          <cell r="Z17">
            <v>31.574071217084089</v>
          </cell>
        </row>
        <row r="18">
          <cell r="F18">
            <v>65.143000000000001</v>
          </cell>
          <cell r="G18">
            <v>66</v>
          </cell>
          <cell r="H18">
            <v>68</v>
          </cell>
          <cell r="I18">
            <v>69</v>
          </cell>
          <cell r="J18">
            <v>71</v>
          </cell>
          <cell r="K18">
            <v>72.42</v>
          </cell>
          <cell r="L18">
            <v>73.868400000000008</v>
          </cell>
          <cell r="M18">
            <v>75.345768000000007</v>
          </cell>
          <cell r="N18">
            <v>76.852683360000015</v>
          </cell>
          <cell r="O18">
            <v>78.389737027200013</v>
          </cell>
          <cell r="P18">
            <v>79.957531767744015</v>
          </cell>
          <cell r="Q18">
            <v>81.556682403098904</v>
          </cell>
          <cell r="R18">
            <v>83.18781605116088</v>
          </cell>
          <cell r="S18">
            <v>84.851572372184094</v>
          </cell>
          <cell r="T18">
            <v>86.548603819627772</v>
          </cell>
          <cell r="U18">
            <v>88.279575896020333</v>
          </cell>
          <cell r="V18">
            <v>90.045167413940746</v>
          </cell>
          <cell r="W18">
            <v>91.846070762219568</v>
          </cell>
          <cell r="X18">
            <v>93.682992177463959</v>
          </cell>
          <cell r="Y18">
            <v>95.556652021013235</v>
          </cell>
          <cell r="Z18">
            <v>97.467785061433503</v>
          </cell>
        </row>
        <row r="19">
          <cell r="F19">
            <v>23</v>
          </cell>
          <cell r="G19">
            <v>23.46</v>
          </cell>
          <cell r="H19">
            <v>23.928999999999998</v>
          </cell>
          <cell r="I19">
            <v>24.408000000000001</v>
          </cell>
          <cell r="J19">
            <v>24.896000000000001</v>
          </cell>
          <cell r="K19">
            <v>25.393920000000001</v>
          </cell>
          <cell r="L19">
            <v>25.901798400000001</v>
          </cell>
          <cell r="M19">
            <v>26.419834368</v>
          </cell>
          <cell r="N19">
            <v>26.948231055360001</v>
          </cell>
          <cell r="O19">
            <v>27.487195676467202</v>
          </cell>
          <cell r="P19">
            <v>28.036939589996546</v>
          </cell>
          <cell r="Q19">
            <v>28.597678381796477</v>
          </cell>
          <cell r="R19">
            <v>29.169631949432407</v>
          </cell>
          <cell r="S19">
            <v>29.753024588421056</v>
          </cell>
          <cell r="T19">
            <v>30.348085080189477</v>
          </cell>
          <cell r="U19">
            <v>30.955046781793268</v>
          </cell>
          <cell r="V19">
            <v>31.574147717429135</v>
          </cell>
          <cell r="W19">
            <v>32.205630671777719</v>
          </cell>
          <cell r="X19">
            <v>32.849743285213272</v>
          </cell>
          <cell r="Y19">
            <v>33.506738150917535</v>
          </cell>
          <cell r="Z19">
            <v>34.176872913935888</v>
          </cell>
        </row>
        <row r="21">
          <cell r="F21">
            <v>153</v>
          </cell>
          <cell r="G21">
            <v>156</v>
          </cell>
          <cell r="H21">
            <v>159</v>
          </cell>
          <cell r="I21">
            <v>162</v>
          </cell>
          <cell r="J21">
            <v>165</v>
          </cell>
          <cell r="K21">
            <v>168.3</v>
          </cell>
          <cell r="L21">
            <v>171.66600000000003</v>
          </cell>
          <cell r="M21">
            <v>175.09932000000003</v>
          </cell>
          <cell r="N21">
            <v>178.60130640000003</v>
          </cell>
          <cell r="O21">
            <v>182.17333252800003</v>
          </cell>
          <cell r="P21">
            <v>185.81679917856005</v>
          </cell>
          <cell r="Q21">
            <v>189.53313516213126</v>
          </cell>
          <cell r="R21">
            <v>193.32379786537388</v>
          </cell>
          <cell r="S21">
            <v>197.19027382268135</v>
          </cell>
          <cell r="T21">
            <v>201.13407929913498</v>
          </cell>
          <cell r="U21">
            <v>205.15676088511768</v>
          </cell>
          <cell r="V21">
            <v>209.25989610282002</v>
          </cell>
          <cell r="W21">
            <v>213.44509402487643</v>
          </cell>
          <cell r="X21">
            <v>217.71399590537396</v>
          </cell>
          <cell r="Y21">
            <v>222.06827582348146</v>
          </cell>
          <cell r="Z21">
            <v>226.50964133995109</v>
          </cell>
        </row>
        <row r="22">
          <cell r="F22">
            <v>30</v>
          </cell>
          <cell r="G22">
            <v>50</v>
          </cell>
          <cell r="H22">
            <v>10</v>
          </cell>
          <cell r="I22">
            <v>10</v>
          </cell>
          <cell r="J22">
            <v>10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</sheetData>
      <sheetData sheetId="9">
        <row r="48">
          <cell r="F48">
            <v>2081.2850963069764</v>
          </cell>
          <cell r="G48">
            <v>2081.2850963069764</v>
          </cell>
          <cell r="H48">
            <v>2081.2850963069764</v>
          </cell>
          <cell r="I48">
            <v>2196.9120461018083</v>
          </cell>
          <cell r="J48">
            <v>2196.9120461018083</v>
          </cell>
          <cell r="K48">
            <v>2312.5389958966402</v>
          </cell>
          <cell r="L48">
            <v>2312.5389958966402</v>
          </cell>
          <cell r="M48">
            <v>2312.5389958966402</v>
          </cell>
          <cell r="N48">
            <v>2428.1659456914726</v>
          </cell>
          <cell r="O48">
            <v>1004.528925477842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C11" sqref="C11"/>
    </sheetView>
  </sheetViews>
  <sheetFormatPr defaultRowHeight="12.75"/>
  <cols>
    <col min="1" max="1" width="29.28515625" customWidth="1"/>
    <col min="4" max="4" width="10.7109375" bestFit="1" customWidth="1"/>
  </cols>
  <sheetData>
    <row r="1" spans="1:25">
      <c r="F1" s="429">
        <v>2001</v>
      </c>
      <c r="G1" s="429">
        <f>F1+1</f>
        <v>2002</v>
      </c>
      <c r="H1" s="429">
        <f t="shared" ref="H1:Y1" si="0">G1+1</f>
        <v>2003</v>
      </c>
      <c r="I1" s="429">
        <f t="shared" si="0"/>
        <v>2004</v>
      </c>
      <c r="J1" s="429">
        <f t="shared" si="0"/>
        <v>2005</v>
      </c>
      <c r="K1" s="429">
        <f t="shared" si="0"/>
        <v>2006</v>
      </c>
      <c r="L1" s="429">
        <f t="shared" si="0"/>
        <v>2007</v>
      </c>
      <c r="M1" s="429">
        <f t="shared" si="0"/>
        <v>2008</v>
      </c>
      <c r="N1" s="429">
        <f t="shared" si="0"/>
        <v>2009</v>
      </c>
      <c r="O1" s="429">
        <f t="shared" si="0"/>
        <v>2010</v>
      </c>
      <c r="P1" s="429">
        <f t="shared" si="0"/>
        <v>2011</v>
      </c>
      <c r="Q1" s="429">
        <f t="shared" si="0"/>
        <v>2012</v>
      </c>
      <c r="R1" s="429">
        <f t="shared" si="0"/>
        <v>2013</v>
      </c>
      <c r="S1" s="429">
        <f t="shared" si="0"/>
        <v>2014</v>
      </c>
      <c r="T1" s="429">
        <f t="shared" si="0"/>
        <v>2015</v>
      </c>
      <c r="U1" s="429">
        <f t="shared" si="0"/>
        <v>2016</v>
      </c>
      <c r="V1" s="429">
        <f t="shared" si="0"/>
        <v>2017</v>
      </c>
      <c r="W1" s="429">
        <f t="shared" si="0"/>
        <v>2018</v>
      </c>
      <c r="X1" s="429">
        <f t="shared" si="0"/>
        <v>2019</v>
      </c>
      <c r="Y1" s="429">
        <f t="shared" si="0"/>
        <v>2020</v>
      </c>
    </row>
    <row r="2" spans="1:25">
      <c r="F2" s="429">
        <v>1</v>
      </c>
      <c r="G2" s="429">
        <v>2</v>
      </c>
      <c r="H2" s="429">
        <v>3</v>
      </c>
      <c r="I2" s="429">
        <v>4</v>
      </c>
      <c r="J2" s="429">
        <v>5</v>
      </c>
      <c r="K2" s="429">
        <v>6</v>
      </c>
      <c r="L2" s="429">
        <v>7</v>
      </c>
      <c r="M2" s="429">
        <v>8</v>
      </c>
      <c r="N2" s="429">
        <v>9</v>
      </c>
      <c r="O2" s="429">
        <v>10</v>
      </c>
      <c r="P2" s="429">
        <v>11</v>
      </c>
      <c r="Q2" s="429">
        <v>12</v>
      </c>
      <c r="R2" s="429">
        <v>13</v>
      </c>
      <c r="S2" s="429">
        <v>14</v>
      </c>
      <c r="T2" s="429">
        <v>15</v>
      </c>
      <c r="U2" s="429">
        <v>16</v>
      </c>
      <c r="V2" s="429">
        <v>17</v>
      </c>
      <c r="W2" s="429">
        <v>18</v>
      </c>
      <c r="X2" s="429">
        <v>19</v>
      </c>
      <c r="Y2" s="429">
        <v>20</v>
      </c>
    </row>
    <row r="4" spans="1:25">
      <c r="A4" t="s">
        <v>225</v>
      </c>
    </row>
    <row r="5" spans="1:25">
      <c r="A5" t="s">
        <v>231</v>
      </c>
    </row>
    <row r="6" spans="1:25">
      <c r="A6" t="s">
        <v>226</v>
      </c>
    </row>
    <row r="7" spans="1:25">
      <c r="A7" t="s">
        <v>227</v>
      </c>
      <c r="B7" s="427">
        <v>0.12</v>
      </c>
      <c r="C7" t="s">
        <v>229</v>
      </c>
      <c r="D7" s="427"/>
    </row>
    <row r="8" spans="1:25">
      <c r="A8" t="s">
        <v>228</v>
      </c>
      <c r="B8" s="427">
        <v>0.09</v>
      </c>
      <c r="C8" t="s">
        <v>230</v>
      </c>
      <c r="D8" s="427"/>
    </row>
    <row r="9" spans="1:25">
      <c r="A9" t="s">
        <v>232</v>
      </c>
    </row>
    <row r="10" spans="1:25">
      <c r="A10" t="s">
        <v>233</v>
      </c>
    </row>
    <row r="13" spans="1:25">
      <c r="A13" t="s">
        <v>234</v>
      </c>
      <c r="D13" s="428">
        <f>SUM(D16:D41)</f>
        <v>282584.14204179141</v>
      </c>
    </row>
    <row r="15" spans="1:25">
      <c r="A15" s="161" t="s">
        <v>145</v>
      </c>
    </row>
    <row r="16" spans="1:25">
      <c r="A16" s="392" t="s">
        <v>88</v>
      </c>
      <c r="B16" s="427">
        <f>'Cerro Gordo'!C60</f>
        <v>1</v>
      </c>
      <c r="C16" s="427">
        <f>B7</f>
        <v>0.12</v>
      </c>
      <c r="D16" s="428">
        <f>NPV(C16,F16:Y16)</f>
        <v>27951.464585649326</v>
      </c>
      <c r="F16" s="426">
        <f>'Cerro Gordo'!F39</f>
        <v>3951.4790000000003</v>
      </c>
      <c r="G16" s="426">
        <f>'Cerro Gordo'!G39</f>
        <v>3840.9179999999997</v>
      </c>
      <c r="H16" s="426">
        <f>'Cerro Gordo'!H39</f>
        <v>3854.4160000000002</v>
      </c>
      <c r="I16" s="426">
        <f>'Cerro Gordo'!I39</f>
        <v>3879.16</v>
      </c>
      <c r="J16" s="426">
        <f>'Cerro Gordo'!J39</f>
        <v>3788.1924045520791</v>
      </c>
      <c r="K16" s="426">
        <f>'Cerro Gordo'!K39</f>
        <v>3802.5212467926272</v>
      </c>
      <c r="L16" s="426">
        <f>'Cerro Gordo'!L39</f>
        <v>3818.1175678354139</v>
      </c>
      <c r="M16" s="426">
        <f>'Cerro Gordo'!M39</f>
        <v>3833.7213309979297</v>
      </c>
      <c r="N16" s="426">
        <f>'Cerro Gordo'!N39</f>
        <v>3849.0359092847621</v>
      </c>
      <c r="O16" s="426">
        <f>'Cerro Gordo'!O39</f>
        <v>3866.9442656274396</v>
      </c>
      <c r="P16" s="426">
        <f>'Cerro Gordo'!P39</f>
        <v>3886.2822654984043</v>
      </c>
      <c r="Q16" s="426">
        <f>'Cerro Gordo'!Q39</f>
        <v>3906.3673960269812</v>
      </c>
      <c r="R16" s="426">
        <f>'Cerro Gordo'!R39</f>
        <v>3927.191474436363</v>
      </c>
      <c r="S16" s="426">
        <f>'Cerro Gordo'!S39</f>
        <v>3949.2279332516873</v>
      </c>
      <c r="T16" s="426">
        <f>'Cerro Gordo'!T39</f>
        <v>3971.6974127799995</v>
      </c>
      <c r="U16" s="426">
        <f>'Cerro Gordo'!U39</f>
        <v>3993.5313156866359</v>
      </c>
      <c r="V16" s="426">
        <f>'Cerro Gordo'!V39</f>
        <v>4015.5879867942854</v>
      </c>
      <c r="W16" s="426">
        <f>'Cerro Gordo'!W39</f>
        <v>2908.3758037436392</v>
      </c>
    </row>
    <row r="17" spans="1:23">
      <c r="A17" s="392" t="s">
        <v>89</v>
      </c>
      <c r="B17" s="427">
        <f>'Southwest Mesa'!C60</f>
        <v>1</v>
      </c>
      <c r="C17" s="427">
        <f>B8</f>
        <v>0.09</v>
      </c>
      <c r="D17" s="428">
        <f>NPV(C17,F17:Y17)</f>
        <v>47137.22522081768</v>
      </c>
      <c r="F17" s="426">
        <f>'Southwest Mesa'!F39</f>
        <v>5489.6500907361888</v>
      </c>
      <c r="G17" s="426">
        <f>'Southwest Mesa'!G39</f>
        <v>5399.6295399530018</v>
      </c>
      <c r="H17" s="426">
        <f>'Southwest Mesa'!H39</f>
        <v>5442.1220329568314</v>
      </c>
      <c r="I17" s="426">
        <f>'Southwest Mesa'!I39</f>
        <v>5172.4488845753858</v>
      </c>
      <c r="J17" s="426">
        <f>'Southwest Mesa'!J39</f>
        <v>5220.8909917698911</v>
      </c>
      <c r="K17" s="426">
        <f>'Southwest Mesa'!K39</f>
        <v>5292.1687458382521</v>
      </c>
      <c r="L17" s="426">
        <f>'Southwest Mesa'!L39</f>
        <v>5365.5909773140138</v>
      </c>
      <c r="M17" s="426">
        <f>'Southwest Mesa'!M39</f>
        <v>5443.3802855252234</v>
      </c>
      <c r="N17" s="426">
        <f>'Southwest Mesa'!N39</f>
        <v>5406.7639051893057</v>
      </c>
      <c r="O17" s="426">
        <f>'Southwest Mesa'!O39</f>
        <v>5467.3130990443469</v>
      </c>
      <c r="P17" s="426">
        <f>'Southwest Mesa'!P39</f>
        <v>5479.4803704700798</v>
      </c>
      <c r="Q17" s="426">
        <f>'Southwest Mesa'!Q39</f>
        <v>5453.729459931099</v>
      </c>
      <c r="R17" s="426">
        <f>'Southwest Mesa'!R39</f>
        <v>5426.4000271622172</v>
      </c>
      <c r="S17" s="426">
        <f>'Southwest Mesa'!S39</f>
        <v>5448.0071788487276</v>
      </c>
      <c r="T17" s="426">
        <f>'Southwest Mesa'!T39</f>
        <v>5418.7432411423833</v>
      </c>
      <c r="U17" s="426">
        <f>'Southwest Mesa'!U39</f>
        <v>5388.6978455951185</v>
      </c>
      <c r="V17" s="426">
        <f>'Southwest Mesa'!V39</f>
        <v>5357.8579241347988</v>
      </c>
      <c r="W17" s="426">
        <f>'Southwest Mesa'!W39</f>
        <v>5326.2101473278472</v>
      </c>
    </row>
    <row r="18" spans="1:23">
      <c r="A18" s="392" t="s">
        <v>90</v>
      </c>
      <c r="B18" s="427">
        <f>Vansycle!C60</f>
        <v>1</v>
      </c>
      <c r="C18" s="427">
        <f>B7</f>
        <v>0.12</v>
      </c>
      <c r="D18" s="428">
        <f>NPV(C18,F18:Y18)</f>
        <v>20839.816093309448</v>
      </c>
      <c r="F18" s="426">
        <f>Vansycle!F39</f>
        <v>2512.1725854696392</v>
      </c>
      <c r="G18" s="426">
        <f>Vansycle!G39</f>
        <v>2401.0407350514829</v>
      </c>
      <c r="H18" s="426">
        <f>Vansycle!H39</f>
        <v>2521.2891798268301</v>
      </c>
      <c r="I18" s="426">
        <f>Vansycle!I39</f>
        <v>2643.9815470096846</v>
      </c>
      <c r="J18" s="426">
        <f>Vansycle!J39</f>
        <v>2768.8890526756632</v>
      </c>
      <c r="K18" s="426">
        <f>Vansycle!K39</f>
        <v>2896.2123124335744</v>
      </c>
      <c r="L18" s="426">
        <f>Vansycle!L39</f>
        <v>3022.9593110114597</v>
      </c>
      <c r="M18" s="426">
        <f>Vansycle!M39</f>
        <v>3078.8883976717302</v>
      </c>
      <c r="N18" s="426">
        <f>Vansycle!N39</f>
        <v>3176.7544504961998</v>
      </c>
      <c r="O18" s="426">
        <f>Vansycle!O39</f>
        <v>3277.2597368062861</v>
      </c>
      <c r="P18" s="426">
        <f>Vansycle!P39</f>
        <v>3384.3886780078856</v>
      </c>
      <c r="Q18" s="426">
        <f>Vansycle!Q39</f>
        <v>3494.4421624765314</v>
      </c>
      <c r="R18" s="426">
        <f>Vansycle!R39</f>
        <v>3560.3665825227845</v>
      </c>
      <c r="S18" s="426">
        <f>Vansycle!S39</f>
        <v>3675.1696241991467</v>
      </c>
      <c r="T18" s="426">
        <f>Vansycle!T39</f>
        <v>3793.1831795514117</v>
      </c>
      <c r="U18" s="426">
        <f>Vansycle!U39</f>
        <v>3914.4970707528519</v>
      </c>
      <c r="V18" s="426">
        <f>Vansycle!V39</f>
        <v>4039.2036296398355</v>
      </c>
      <c r="W18" s="426"/>
    </row>
    <row r="19" spans="1:23">
      <c r="A19" s="162"/>
    </row>
    <row r="20" spans="1:23">
      <c r="A20" s="162"/>
    </row>
    <row r="21" spans="1:23">
      <c r="A21" s="162"/>
    </row>
    <row r="22" spans="1:23">
      <c r="A22" s="349" t="s">
        <v>146</v>
      </c>
    </row>
    <row r="23" spans="1:23">
      <c r="A23" s="392" t="s">
        <v>91</v>
      </c>
      <c r="B23" s="427">
        <f>Cameron!C60</f>
        <v>0.5</v>
      </c>
      <c r="C23" s="427">
        <f>$B$7</f>
        <v>0.12</v>
      </c>
      <c r="D23" s="428">
        <f>NPV(C23,F23:Y23)</f>
        <v>54764.469207097267</v>
      </c>
      <c r="F23" s="426">
        <f>Cameron!F39</f>
        <v>7348.5016384755609</v>
      </c>
      <c r="G23" s="426">
        <f>Cameron!G39</f>
        <v>7179.8853075127881</v>
      </c>
      <c r="H23" s="426">
        <f>Cameron!H39</f>
        <v>7385.4882558840527</v>
      </c>
      <c r="I23" s="426">
        <f>Cameron!I39</f>
        <v>7571.7854105897359</v>
      </c>
      <c r="J23" s="426">
        <f>Cameron!J39</f>
        <v>7785.5682259944688</v>
      </c>
      <c r="K23" s="426">
        <f>Cameron!K39</f>
        <v>7899.8386610522193</v>
      </c>
      <c r="L23" s="426">
        <f>Cameron!L39</f>
        <v>7976.9491759371494</v>
      </c>
      <c r="M23" s="426">
        <f>Cameron!M39</f>
        <v>8004.6034993006979</v>
      </c>
      <c r="N23" s="426">
        <f>Cameron!N39</f>
        <v>8009.998106887113</v>
      </c>
      <c r="O23" s="426">
        <f>Cameron!O39</f>
        <v>7993.5412289352007</v>
      </c>
      <c r="P23" s="426">
        <f>Cameron!P39</f>
        <v>8027.396709798446</v>
      </c>
      <c r="Q23" s="426">
        <f>Cameron!Q39</f>
        <v>8203.2526543896074</v>
      </c>
      <c r="R23" s="426">
        <f>Cameron!R39</f>
        <v>8281.7052761536379</v>
      </c>
      <c r="S23" s="426">
        <f>Cameron!S39</f>
        <v>8474.6202996641368</v>
      </c>
      <c r="T23" s="426">
        <f>Cameron!T39</f>
        <v>7961.5415438668097</v>
      </c>
      <c r="U23" s="426">
        <f>Cameron!U39</f>
        <v>4965.4204229820189</v>
      </c>
      <c r="V23" s="426">
        <f>Cameron!V39</f>
        <v>4965.815811909446</v>
      </c>
      <c r="W23" s="426">
        <f>Cameron!W39</f>
        <v>5030.2273833742602</v>
      </c>
    </row>
    <row r="24" spans="1:23">
      <c r="A24" s="392" t="s">
        <v>103</v>
      </c>
      <c r="B24" s="427">
        <f>'Pacific Crest'!C60</f>
        <v>0.5</v>
      </c>
      <c r="C24" s="427">
        <f>$B$7</f>
        <v>0.12</v>
      </c>
      <c r="D24" s="428">
        <f>NPV(C24,F24:Y24)</f>
        <v>49435.274691856495</v>
      </c>
      <c r="F24" s="426">
        <f>'Pacific Crest'!F39</f>
        <v>6108.364960067327</v>
      </c>
      <c r="G24" s="426">
        <f>'Pacific Crest'!G39</f>
        <v>6054.3684614548702</v>
      </c>
      <c r="H24" s="426">
        <f>'Pacific Crest'!H39</f>
        <v>6067.3171526613396</v>
      </c>
      <c r="I24" s="426">
        <f>'Pacific Crest'!I39</f>
        <v>6071.2583245503401</v>
      </c>
      <c r="J24" s="426">
        <f>'Pacific Crest'!J39</f>
        <v>6770.0687096951624</v>
      </c>
      <c r="K24" s="426">
        <f>'Pacific Crest'!K39</f>
        <v>6977.7998531619687</v>
      </c>
      <c r="L24" s="426">
        <f>'Pacific Crest'!L39</f>
        <v>7169.8186449039104</v>
      </c>
      <c r="M24" s="426">
        <f>'Pacific Crest'!M39</f>
        <v>7356.2992511771954</v>
      </c>
      <c r="N24" s="426">
        <f>'Pacific Crest'!N39</f>
        <v>7542.3242018605915</v>
      </c>
      <c r="O24" s="426">
        <f>'Pacific Crest'!O39</f>
        <v>7727.8843869552056</v>
      </c>
      <c r="P24" s="426">
        <f>'Pacific Crest'!P39</f>
        <v>7867.124123154058</v>
      </c>
      <c r="Q24" s="426">
        <f>'Pacific Crest'!Q39</f>
        <v>8005.8803237068933</v>
      </c>
      <c r="R24" s="426">
        <f>'Pacific Crest'!R39</f>
        <v>8144.1433211993772</v>
      </c>
      <c r="S24" s="426">
        <f>'Pacific Crest'!S39</f>
        <v>8281.9032549331987</v>
      </c>
      <c r="T24" s="426">
        <f>'Pacific Crest'!T39</f>
        <v>6278.9860542020879</v>
      </c>
      <c r="U24" s="426">
        <f>'Pacific Crest'!U39</f>
        <v>6719.9513873688538</v>
      </c>
      <c r="V24" s="426">
        <f>'Pacific Crest'!V39</f>
        <v>7345.1554886327649</v>
      </c>
      <c r="W24" s="426">
        <f>'Pacific Crest'!W39</f>
        <v>7598.8227286140709</v>
      </c>
    </row>
    <row r="25" spans="1:23">
      <c r="A25" s="392" t="s">
        <v>92</v>
      </c>
      <c r="B25" s="427">
        <f>'Sky River'!C60</f>
        <v>0.5</v>
      </c>
      <c r="C25" s="427">
        <f>$B$7</f>
        <v>0.12</v>
      </c>
      <c r="D25" s="428">
        <f>NPV(C25,F25:Y25)</f>
        <v>56834.903152057435</v>
      </c>
      <c r="F25" s="426">
        <f>'Sky River'!F39</f>
        <v>19724</v>
      </c>
      <c r="G25" s="426">
        <f>'Sky River'!G39</f>
        <v>7290</v>
      </c>
      <c r="H25" s="426">
        <f>'Sky River'!H39</f>
        <v>7359</v>
      </c>
      <c r="I25" s="426">
        <f>'Sky River'!I39</f>
        <v>7551</v>
      </c>
      <c r="J25" s="426">
        <f>'Sky River'!J39</f>
        <v>9684.0071087522156</v>
      </c>
      <c r="K25" s="426">
        <f>'Sky River'!K39</f>
        <v>10145.003503258471</v>
      </c>
      <c r="L25" s="426">
        <f>'Sky River'!L39</f>
        <v>10336.835218293594</v>
      </c>
      <c r="M25" s="426">
        <f>'Sky River'!M39</f>
        <v>10480.306893836248</v>
      </c>
      <c r="N25" s="426">
        <f>'Sky River'!N39</f>
        <v>10627.652304618561</v>
      </c>
    </row>
    <row r="26" spans="1:23">
      <c r="A26" s="392" t="s">
        <v>93</v>
      </c>
      <c r="B26" s="426" t="s">
        <v>221</v>
      </c>
      <c r="D26" s="426"/>
    </row>
    <row r="27" spans="1:23">
      <c r="A27" s="392" t="s">
        <v>94</v>
      </c>
      <c r="B27" t="s">
        <v>221</v>
      </c>
      <c r="F27" s="426"/>
    </row>
    <row r="28" spans="1:23">
      <c r="A28" s="392" t="s">
        <v>153</v>
      </c>
      <c r="B28" t="s">
        <v>221</v>
      </c>
      <c r="F28" s="426"/>
    </row>
    <row r="29" spans="1:23">
      <c r="A29" s="392" t="s">
        <v>95</v>
      </c>
      <c r="B29" s="427">
        <f>Morwind!C60</f>
        <v>0.5</v>
      </c>
      <c r="C29" s="427">
        <f>$B$7</f>
        <v>0.12</v>
      </c>
      <c r="D29" s="428">
        <f>NPV(C29,F29:Y29)</f>
        <v>13598.02156055755</v>
      </c>
      <c r="F29" s="426">
        <f>Morwind!F39</f>
        <v>1926.6139616173173</v>
      </c>
      <c r="G29" s="426">
        <f>Morwind!G39</f>
        <v>1617.0415206852572</v>
      </c>
      <c r="H29" s="426">
        <f>Morwind!H39</f>
        <v>1955.2879946885087</v>
      </c>
      <c r="I29" s="426">
        <f>Morwind!I39</f>
        <v>1945.6150149365803</v>
      </c>
      <c r="J29" s="426">
        <f>Morwind!J39</f>
        <v>2051.6955928502862</v>
      </c>
      <c r="K29" s="426">
        <f>Morwind!K39</f>
        <v>2136.8457629618297</v>
      </c>
      <c r="L29" s="426">
        <f>Morwind!L39</f>
        <v>2217.0588259629867</v>
      </c>
      <c r="M29" s="426">
        <f>Morwind!M39</f>
        <v>2294.6093222245863</v>
      </c>
      <c r="N29" s="426">
        <f>Morwind!N39</f>
        <v>2371.9654871587099</v>
      </c>
      <c r="O29" s="426">
        <f>Morwind!O39</f>
        <v>2414.5539019695143</v>
      </c>
      <c r="P29" s="426">
        <f>Morwind!P39</f>
        <v>1542.1310082517221</v>
      </c>
      <c r="Q29" s="426">
        <f>Morwind!Q39</f>
        <v>1553.7991473174038</v>
      </c>
      <c r="R29" s="426">
        <f>Morwind!R39</f>
        <v>1568.0182889342216</v>
      </c>
      <c r="S29" s="426">
        <f>Morwind!S39</f>
        <v>1574.0233799225846</v>
      </c>
      <c r="T29" s="426">
        <f>Morwind!T39</f>
        <v>1675.3834363780995</v>
      </c>
      <c r="U29" s="426">
        <f>Morwind!U39</f>
        <v>1971.9738196119349</v>
      </c>
      <c r="V29" s="426">
        <f>Morwind!V39</f>
        <v>0</v>
      </c>
      <c r="W29" s="426">
        <f>Morwind!W39</f>
        <v>0</v>
      </c>
    </row>
    <row r="30" spans="1:23">
      <c r="A30" s="392" t="s">
        <v>96</v>
      </c>
      <c r="B30" s="427">
        <f>VG!C60</f>
        <v>0.5</v>
      </c>
      <c r="C30" s="427">
        <f>$B$7</f>
        <v>0.12</v>
      </c>
      <c r="D30" s="428">
        <f>NPV(C30,F30:Y30)</f>
        <v>12022.967530446213</v>
      </c>
      <c r="F30" s="426">
        <f>VG!F39</f>
        <v>2218.3307193355276</v>
      </c>
      <c r="G30" s="426">
        <f>VG!G39</f>
        <v>2235.5502601441094</v>
      </c>
      <c r="H30" s="426">
        <f>VG!H39</f>
        <v>2253.0170985989948</v>
      </c>
      <c r="I30" s="426">
        <f>VG!I39</f>
        <v>2270.7342387439426</v>
      </c>
      <c r="J30" s="426">
        <f>VG!J39</f>
        <v>2288.704705864508</v>
      </c>
      <c r="K30" s="426">
        <f>VG!K39</f>
        <v>2282.0803541755827</v>
      </c>
      <c r="L30" s="426">
        <f>VG!L39</f>
        <v>2274.7213946499401</v>
      </c>
      <c r="M30" s="426">
        <f>VG!M39</f>
        <v>2266.6010926653375</v>
      </c>
      <c r="N30" s="426">
        <f>VG!N39</f>
        <v>2257.691938056817</v>
      </c>
    </row>
    <row r="31" spans="1:23">
      <c r="A31" s="162"/>
    </row>
    <row r="32" spans="1:23">
      <c r="A32" s="162"/>
    </row>
    <row r="33" spans="1:4">
      <c r="A33" s="162"/>
    </row>
    <row r="34" spans="1:4">
      <c r="A34" s="349" t="s">
        <v>147</v>
      </c>
    </row>
    <row r="35" spans="1:4">
      <c r="A35" s="392" t="s">
        <v>97</v>
      </c>
      <c r="B35" s="426" t="s">
        <v>221</v>
      </c>
      <c r="C35" s="426"/>
      <c r="D35" s="426"/>
    </row>
    <row r="36" spans="1:4">
      <c r="A36" s="392" t="s">
        <v>98</v>
      </c>
      <c r="B36" s="426" t="s">
        <v>221</v>
      </c>
      <c r="C36" s="426"/>
      <c r="D36" s="426"/>
    </row>
    <row r="37" spans="1:4">
      <c r="A37" s="392" t="s">
        <v>152</v>
      </c>
      <c r="B37" s="426" t="s">
        <v>221</v>
      </c>
      <c r="C37" s="426"/>
      <c r="D37" s="426"/>
    </row>
    <row r="38" spans="1:4">
      <c r="A38" s="392" t="s">
        <v>99</v>
      </c>
      <c r="B38" s="426" t="s">
        <v>221</v>
      </c>
      <c r="C38" s="426"/>
      <c r="D38" s="426"/>
    </row>
    <row r="39" spans="1:4">
      <c r="A39" s="392" t="s">
        <v>100</v>
      </c>
      <c r="B39" s="426" t="s">
        <v>221</v>
      </c>
      <c r="C39" s="426"/>
      <c r="D39" s="426"/>
    </row>
    <row r="40" spans="1:4">
      <c r="A40" s="392" t="s">
        <v>101</v>
      </c>
      <c r="B40" s="426" t="s">
        <v>221</v>
      </c>
      <c r="C40" s="426"/>
      <c r="D40" s="426"/>
    </row>
    <row r="41" spans="1:4">
      <c r="A41" s="392" t="s">
        <v>151</v>
      </c>
      <c r="B41" s="426" t="s">
        <v>221</v>
      </c>
      <c r="C41" s="426"/>
      <c r="D41" s="426"/>
    </row>
    <row r="43" spans="1:4">
      <c r="A43" t="s">
        <v>224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AD852"/>
  <sheetViews>
    <sheetView topLeftCell="A2" zoomScale="75" zoomScaleNormal="75" workbookViewId="0">
      <selection activeCell="A169" sqref="A169:E192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117</v>
      </c>
      <c r="C1" s="418">
        <v>15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AA10" s="355">
        <f t="shared" ref="AA10:AA38" si="1">SUM(F10:Y10)</f>
        <v>0</v>
      </c>
      <c r="AB10" s="356">
        <f>AA10*$C$60</f>
        <v>0</v>
      </c>
    </row>
    <row r="11" spans="1:28">
      <c r="A11" s="4" t="s">
        <v>8</v>
      </c>
      <c r="B11" s="9"/>
      <c r="C11" s="9"/>
      <c r="D11" s="86">
        <v>1</v>
      </c>
      <c r="E11" s="163">
        <f>[11]FIN!G$21</f>
        <v>4207.1055704930832</v>
      </c>
      <c r="F11" s="163">
        <f>[11]FIN!H$21</f>
        <v>4111.4911006658358</v>
      </c>
      <c r="G11" s="163">
        <f>[11]FIN!I$21</f>
        <v>4066.303272172916</v>
      </c>
      <c r="H11" s="163">
        <f>[11]FIN!J$21</f>
        <v>4059.7756342560033</v>
      </c>
      <c r="I11" s="163">
        <f>[11]FIN!K$21</f>
        <v>4048.6611532705465</v>
      </c>
      <c r="J11" s="163">
        <f>[11]FIN!L$21</f>
        <v>4397.7377766985219</v>
      </c>
      <c r="K11" s="163">
        <f>[11]FIN!M$21</f>
        <v>4509.4209404757403</v>
      </c>
      <c r="L11" s="163">
        <f>[11]FIN!N$21</f>
        <v>4621.1041042529596</v>
      </c>
      <c r="M11" s="163">
        <f>[11]FIN!O$21</f>
        <v>4732.787268030178</v>
      </c>
      <c r="N11" s="163">
        <f>[11]FIN!P$21</f>
        <v>4844.4704318073973</v>
      </c>
      <c r="O11" s="163">
        <f>[11]FIN!Q$21</f>
        <v>4956.1535955846157</v>
      </c>
      <c r="P11" s="163">
        <f>[11]FIN!R$21</f>
        <v>5043.3696281283273</v>
      </c>
      <c r="Q11" s="163">
        <f>[11]FIN!S$21</f>
        <v>5130.5856606720372</v>
      </c>
      <c r="R11" s="163">
        <f>[11]FIN!T$21</f>
        <v>5217.801693215747</v>
      </c>
      <c r="S11" s="163">
        <f>[11]FIN!U$21</f>
        <v>5305.0177257594578</v>
      </c>
      <c r="T11" s="163">
        <f>[11]FIN!V$21</f>
        <v>3434.3443341534526</v>
      </c>
      <c r="U11" s="163">
        <f>[11]FIN!W$21</f>
        <v>3468.9075073938129</v>
      </c>
      <c r="V11" s="163">
        <f>[11]FIN!X$21</f>
        <v>3672.3991086417909</v>
      </c>
      <c r="W11" s="163">
        <f>[11]FIN!Y$21</f>
        <v>2697.4157513699129</v>
      </c>
      <c r="X11" s="163">
        <f>[11]FIN!Z$21</f>
        <v>0</v>
      </c>
      <c r="Y11" s="163">
        <f>[11]FIN!AA$21</f>
        <v>0</v>
      </c>
      <c r="AA11" s="355">
        <f t="shared" si="1"/>
        <v>78317.746686549275</v>
      </c>
      <c r="AB11" s="356">
        <f t="shared" ref="AB11:AB74" si="2">AA11*$C$60</f>
        <v>39158.873343274638</v>
      </c>
    </row>
    <row r="12" spans="1:28">
      <c r="A12" s="4" t="s">
        <v>118</v>
      </c>
      <c r="B12" s="9"/>
      <c r="C12" s="9"/>
      <c r="D12" s="86">
        <v>1</v>
      </c>
      <c r="E12" s="163">
        <f>SUM([11]FIN!G$22:G$26)</f>
        <v>536.8937801434912</v>
      </c>
      <c r="F12" s="163">
        <f>SUM([11]FIN!H$22:H$26)</f>
        <v>537.64337130620083</v>
      </c>
      <c r="G12" s="163">
        <f>SUM([11]FIN!I$22:I$26)</f>
        <v>539.36043606185376</v>
      </c>
      <c r="H12" s="163">
        <f>SUM([11]FIN!J$22:J$26)</f>
        <v>541.83184035995009</v>
      </c>
      <c r="I12" s="163">
        <f>SUM([11]FIN!K$22:K$26)</f>
        <v>544.27157564818242</v>
      </c>
      <c r="J12" s="163">
        <f>SUM([11]FIN!L$22:L$26)</f>
        <v>553.31903190556682</v>
      </c>
      <c r="K12" s="163">
        <f>SUM([11]FIN!M$22:M$26)</f>
        <v>558.10021756635047</v>
      </c>
      <c r="L12" s="163">
        <f>SUM([11]FIN!N$22:N$26)</f>
        <v>562.93637797179292</v>
      </c>
      <c r="M12" s="163">
        <f>SUM([11]FIN!O$22:O$26)</f>
        <v>567.82861261678727</v>
      </c>
      <c r="N12" s="163">
        <f>SUM([11]FIN!P$22:P$26)</f>
        <v>572.77804298612477</v>
      </c>
      <c r="O12" s="163">
        <f>SUM([11]FIN!Q$22:Q$26)</f>
        <v>577.78581299429197</v>
      </c>
      <c r="P12" s="163">
        <f>SUM([11]FIN!R$22:R$26)</f>
        <v>582.40782820822346</v>
      </c>
      <c r="Q12" s="163">
        <f>SUM([11]FIN!S$22:S$26)</f>
        <v>587.09053998239335</v>
      </c>
      <c r="R12" s="163">
        <f>SUM([11]FIN!T$22:T$26)</f>
        <v>591.83516224800667</v>
      </c>
      <c r="S12" s="163">
        <f>SUM([11]FIN!U$22:U$26)</f>
        <v>596.64293321489231</v>
      </c>
      <c r="T12" s="163">
        <f>SUM([11]FIN!V$22:V$26)</f>
        <v>513.79347613587981</v>
      </c>
      <c r="U12" s="163">
        <f>SUM([11]FIN!W$22:W$26)</f>
        <v>511.68546279824352</v>
      </c>
      <c r="V12" s="163">
        <f>SUM([11]FIN!X$22:X$26)</f>
        <v>515.10317205420836</v>
      </c>
      <c r="W12" s="163">
        <f>SUM([11]FIN!Y$22:Y$26)</f>
        <v>518.58923549529254</v>
      </c>
      <c r="X12" s="163">
        <f>SUM([11]FIN!Z$22:Z$26)</f>
        <v>430.23042092311152</v>
      </c>
      <c r="Y12" s="163">
        <f>SUM([11]FIN!AA$22:AA$26)</f>
        <v>0</v>
      </c>
      <c r="AA12" s="355">
        <f t="shared" si="1"/>
        <v>10403.233550477353</v>
      </c>
      <c r="AB12" s="356">
        <f t="shared" si="2"/>
        <v>5201.6167752386764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4743.9993506365745</v>
      </c>
      <c r="F20" s="86">
        <f t="shared" si="3"/>
        <v>4649.1344719720364</v>
      </c>
      <c r="G20" s="86">
        <f t="shared" si="3"/>
        <v>4605.6637082347697</v>
      </c>
      <c r="H20" s="86">
        <f t="shared" si="3"/>
        <v>4601.6074746159538</v>
      </c>
      <c r="I20" s="86">
        <f t="shared" si="3"/>
        <v>4592.9327289187286</v>
      </c>
      <c r="J20" s="86">
        <f t="shared" si="3"/>
        <v>4951.0568086040885</v>
      </c>
      <c r="K20" s="86">
        <f t="shared" si="3"/>
        <v>5067.521158042091</v>
      </c>
      <c r="L20" s="86">
        <f t="shared" si="3"/>
        <v>5184.0404822247529</v>
      </c>
      <c r="M20" s="86">
        <f t="shared" si="3"/>
        <v>5300.6158806469648</v>
      </c>
      <c r="N20" s="86">
        <f t="shared" si="3"/>
        <v>5417.2484747935223</v>
      </c>
      <c r="O20" s="86">
        <f t="shared" si="3"/>
        <v>5533.9394085789081</v>
      </c>
      <c r="P20" s="86">
        <f t="shared" si="3"/>
        <v>5625.777456336551</v>
      </c>
      <c r="Q20" s="86">
        <f t="shared" si="3"/>
        <v>5717.6762006544304</v>
      </c>
      <c r="R20" s="86">
        <f t="shared" si="3"/>
        <v>5809.6368554637538</v>
      </c>
      <c r="S20" s="86">
        <f t="shared" si="3"/>
        <v>5901.6606589743496</v>
      </c>
      <c r="T20" s="86">
        <f t="shared" si="3"/>
        <v>3948.1378102893323</v>
      </c>
      <c r="U20" s="86">
        <f t="shared" si="3"/>
        <v>3980.5929701920563</v>
      </c>
      <c r="V20" s="86">
        <f t="shared" si="3"/>
        <v>4187.5022806959996</v>
      </c>
      <c r="W20" s="86">
        <f t="shared" si="3"/>
        <v>3216.0049868652054</v>
      </c>
      <c r="X20" s="86">
        <f t="shared" si="3"/>
        <v>430.23042092311152</v>
      </c>
      <c r="Y20" s="86">
        <f t="shared" si="3"/>
        <v>0</v>
      </c>
      <c r="AA20" s="355">
        <f t="shared" si="1"/>
        <v>88720.980237026612</v>
      </c>
      <c r="AB20" s="356">
        <f t="shared" si="2"/>
        <v>44360.490118513306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158.87890899903277</v>
      </c>
      <c r="F23" s="417">
        <f>F25/$C$1</f>
        <v>161.78737015824791</v>
      </c>
      <c r="G23" s="417">
        <f>G25/$C$1</f>
        <v>159.24153326568592</v>
      </c>
      <c r="H23" s="417">
        <f>H25/$C$1</f>
        <v>160.94190137919449</v>
      </c>
      <c r="I23" s="417">
        <f t="shared" ref="I23:Y23" si="4">I25/$C$1</f>
        <v>162.59220016657966</v>
      </c>
      <c r="J23" s="417">
        <f t="shared" si="4"/>
        <v>171.0706308800853</v>
      </c>
      <c r="K23" s="417">
        <f t="shared" si="4"/>
        <v>175.11115640098822</v>
      </c>
      <c r="L23" s="417">
        <f t="shared" si="4"/>
        <v>179.19031737101031</v>
      </c>
      <c r="M23" s="417">
        <f t="shared" si="4"/>
        <v>183.30888529256356</v>
      </c>
      <c r="N23" s="417">
        <f t="shared" si="4"/>
        <v>187.46764707457999</v>
      </c>
      <c r="O23" s="417">
        <f t="shared" si="4"/>
        <v>191.66740534018336</v>
      </c>
      <c r="P23" s="417">
        <f t="shared" si="4"/>
        <v>195.44767875087456</v>
      </c>
      <c r="Q23" s="417">
        <f t="shared" si="4"/>
        <v>199.27060229550688</v>
      </c>
      <c r="R23" s="417">
        <f t="shared" si="4"/>
        <v>203.13702764786981</v>
      </c>
      <c r="S23" s="417">
        <f t="shared" si="4"/>
        <v>207.04782348931522</v>
      </c>
      <c r="T23" s="417">
        <f t="shared" si="4"/>
        <v>128.56953329747034</v>
      </c>
      <c r="U23" s="417">
        <f t="shared" si="4"/>
        <v>123.09477555975619</v>
      </c>
      <c r="V23" s="417">
        <f t="shared" si="4"/>
        <v>125.61951283687077</v>
      </c>
      <c r="W23" s="417">
        <f t="shared" si="4"/>
        <v>90.596784908025469</v>
      </c>
      <c r="X23" s="417">
        <f t="shared" si="4"/>
        <v>0</v>
      </c>
      <c r="Y23" s="417">
        <f t="shared" si="4"/>
        <v>0</v>
      </c>
      <c r="AA23" s="355">
        <f t="shared" si="1"/>
        <v>3005.1627861148081</v>
      </c>
      <c r="AB23" s="356">
        <f t="shared" si="2"/>
        <v>1502.5813930574041</v>
      </c>
    </row>
    <row r="24" spans="1:28">
      <c r="A24" s="4" t="s">
        <v>36</v>
      </c>
      <c r="D24" s="86">
        <v>0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[11]FIN!G$49-[11]FIN!G$45</f>
        <v>2383.1836349854916</v>
      </c>
      <c r="F25" s="163">
        <f>[11]FIN!H$49-[11]FIN!H$45</f>
        <v>2426.8105523737186</v>
      </c>
      <c r="G25" s="163">
        <f>[11]FIN!I$49-[11]FIN!I$45</f>
        <v>2388.6229989852886</v>
      </c>
      <c r="H25" s="163">
        <f>[11]FIN!J$49-[11]FIN!J$45</f>
        <v>2414.1285206879174</v>
      </c>
      <c r="I25" s="163">
        <f>[11]FIN!K$49-[11]FIN!K$45</f>
        <v>2438.8830024986951</v>
      </c>
      <c r="J25" s="163">
        <f>[11]FIN!L$49-[11]FIN!L$45</f>
        <v>2566.0594632012794</v>
      </c>
      <c r="K25" s="163">
        <f>[11]FIN!M$49-[11]FIN!M$45</f>
        <v>2626.6673460148231</v>
      </c>
      <c r="L25" s="163">
        <f>[11]FIN!N$49-[11]FIN!N$45</f>
        <v>2687.8547605651547</v>
      </c>
      <c r="M25" s="163">
        <f>[11]FIN!O$49-[11]FIN!O$45</f>
        <v>2749.6332793884535</v>
      </c>
      <c r="N25" s="163">
        <f>[11]FIN!P$49-[11]FIN!P$45</f>
        <v>2812.0147061186999</v>
      </c>
      <c r="O25" s="163">
        <f>[11]FIN!Q$49-[11]FIN!Q$45</f>
        <v>2875.0110801027504</v>
      </c>
      <c r="P25" s="163">
        <f>[11]FIN!R$49-[11]FIN!R$45</f>
        <v>2931.7151812631182</v>
      </c>
      <c r="Q25" s="163">
        <f>[11]FIN!S$49-[11]FIN!S$45</f>
        <v>2989.0590344326033</v>
      </c>
      <c r="R25" s="163">
        <f>[11]FIN!T$49-[11]FIN!T$45</f>
        <v>3047.0554147180474</v>
      </c>
      <c r="S25" s="163">
        <f>[11]FIN!U$49-[11]FIN!U$45</f>
        <v>3105.7173523397282</v>
      </c>
      <c r="T25" s="163">
        <f>[11]FIN!V$49-[11]FIN!V$45</f>
        <v>1928.5429994620551</v>
      </c>
      <c r="U25" s="163">
        <f>[11]FIN!W$49-[11]FIN!W$45</f>
        <v>1846.4216333963427</v>
      </c>
      <c r="V25" s="163">
        <f>[11]FIN!X$49-[11]FIN!X$45</f>
        <v>1884.2926925530614</v>
      </c>
      <c r="W25" s="163">
        <f>[11]FIN!Y$49-[11]FIN!Y$45</f>
        <v>1358.951773620382</v>
      </c>
      <c r="X25" s="163">
        <f>[11]FIN!Z$49-[11]FIN!Z$45</f>
        <v>0</v>
      </c>
      <c r="Y25" s="163">
        <f>[11]FIN!AA$49-[11]FIN!AA$45</f>
        <v>0</v>
      </c>
      <c r="AA25" s="355">
        <f t="shared" si="1"/>
        <v>45077.441791722122</v>
      </c>
      <c r="AB25" s="356">
        <f t="shared" si="2"/>
        <v>22538.720895861061</v>
      </c>
    </row>
    <row r="26" spans="1:28">
      <c r="A26" s="4" t="s">
        <v>16</v>
      </c>
      <c r="D26" s="86">
        <v>0</v>
      </c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AA28" s="355">
        <f t="shared" si="1"/>
        <v>0</v>
      </c>
      <c r="AB28" s="356">
        <f t="shared" si="2"/>
        <v>0</v>
      </c>
    </row>
    <row r="29" spans="1:28">
      <c r="A29" s="4" t="s">
        <v>3</v>
      </c>
      <c r="D29" s="86">
        <v>0</v>
      </c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AA29" s="355">
        <f t="shared" si="1"/>
        <v>0</v>
      </c>
      <c r="AB29" s="356">
        <f t="shared" si="2"/>
        <v>0</v>
      </c>
    </row>
    <row r="30" spans="1:28">
      <c r="A30" s="4" t="s">
        <v>38</v>
      </c>
      <c r="D30" s="86">
        <v>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86">
        <v>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AA31" s="355">
        <f t="shared" si="1"/>
        <v>0</v>
      </c>
      <c r="AB31" s="356">
        <f t="shared" si="2"/>
        <v>0</v>
      </c>
    </row>
    <row r="32" spans="1:28">
      <c r="A32" s="4" t="s">
        <v>34</v>
      </c>
      <c r="D32" s="86">
        <v>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>
        <f>[11]FIN!G$45</f>
        <v>51</v>
      </c>
      <c r="F34" s="163">
        <f>[11]FIN!H$45</f>
        <v>52.02</v>
      </c>
      <c r="G34" s="163">
        <f>[11]FIN!I$45</f>
        <v>53.060400000000001</v>
      </c>
      <c r="H34" s="163">
        <f>[11]FIN!J$45</f>
        <v>54.121608000000002</v>
      </c>
      <c r="I34" s="163">
        <f>[11]FIN!K$45</f>
        <v>55.204040160000005</v>
      </c>
      <c r="J34" s="163">
        <f>[11]FIN!L$45</f>
        <v>56.308120963200004</v>
      </c>
      <c r="K34" s="163">
        <f>[11]FIN!M$45</f>
        <v>57.434283382464002</v>
      </c>
      <c r="L34" s="163">
        <f>[11]FIN!N$45</f>
        <v>58.582969050113284</v>
      </c>
      <c r="M34" s="163">
        <f>[11]FIN!O$45</f>
        <v>59.754628431115549</v>
      </c>
      <c r="N34" s="163">
        <f>[11]FIN!P$45</f>
        <v>60.949720999737863</v>
      </c>
      <c r="O34" s="163">
        <f>[11]FIN!Q$45</f>
        <v>62.168715419732621</v>
      </c>
      <c r="P34" s="163">
        <f>[11]FIN!R$45</f>
        <v>63.412089728127278</v>
      </c>
      <c r="Q34" s="163">
        <f>[11]FIN!S$45</f>
        <v>64.680331522689826</v>
      </c>
      <c r="R34" s="163">
        <f>[11]FIN!T$45</f>
        <v>65.973938153143621</v>
      </c>
      <c r="S34" s="163">
        <f>[11]FIN!U$45</f>
        <v>67.293416916206496</v>
      </c>
      <c r="T34" s="163">
        <f>[11]FIN!V$45</f>
        <v>68.639285254530634</v>
      </c>
      <c r="U34" s="163">
        <f>[11]FIN!W$45</f>
        <v>70.012070959621255</v>
      </c>
      <c r="V34" s="163">
        <f>[11]FIN!X$45</f>
        <v>71.412312378813681</v>
      </c>
      <c r="W34" s="163">
        <f>[11]FIN!Y$45</f>
        <v>50.489483102675777</v>
      </c>
      <c r="X34" s="163">
        <f>[11]FIN!Z$45</f>
        <v>0</v>
      </c>
      <c r="Y34" s="163">
        <f>[11]FIN!AA$45</f>
        <v>0</v>
      </c>
      <c r="AA34" s="355">
        <f t="shared" si="1"/>
        <v>1091.5174144221719</v>
      </c>
      <c r="AB34" s="356">
        <f t="shared" si="2"/>
        <v>545.75870721108595</v>
      </c>
    </row>
    <row r="35" spans="1:28">
      <c r="A35" s="4" t="s">
        <v>19</v>
      </c>
      <c r="B35" s="6"/>
      <c r="C35" s="6"/>
      <c r="D35" s="87">
        <v>0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2434.1836349854916</v>
      </c>
      <c r="F36" s="86">
        <f t="shared" si="5"/>
        <v>2478.8305523737185</v>
      </c>
      <c r="G36" s="86">
        <f t="shared" si="5"/>
        <v>2441.6833989852885</v>
      </c>
      <c r="H36" s="86">
        <f t="shared" si="5"/>
        <v>2468.2501286879174</v>
      </c>
      <c r="I36" s="86">
        <f t="shared" si="5"/>
        <v>2494.0870426586953</v>
      </c>
      <c r="J36" s="86">
        <f t="shared" si="5"/>
        <v>2622.3675841644795</v>
      </c>
      <c r="K36" s="86">
        <f t="shared" si="5"/>
        <v>2684.1016293972871</v>
      </c>
      <c r="L36" s="86">
        <f t="shared" si="5"/>
        <v>2746.4377296152679</v>
      </c>
      <c r="M36" s="86">
        <f t="shared" si="5"/>
        <v>2809.3879078195691</v>
      </c>
      <c r="N36" s="86">
        <f t="shared" si="5"/>
        <v>2872.9644271184379</v>
      </c>
      <c r="O36" s="86">
        <f t="shared" si="5"/>
        <v>2937.1797955224829</v>
      </c>
      <c r="P36" s="86">
        <f t="shared" si="5"/>
        <v>2995.1272709912455</v>
      </c>
      <c r="Q36" s="86">
        <f t="shared" si="5"/>
        <v>3053.7393659552931</v>
      </c>
      <c r="R36" s="86">
        <f t="shared" si="5"/>
        <v>3113.0293528711909</v>
      </c>
      <c r="S36" s="86">
        <f t="shared" si="5"/>
        <v>3173.0107692559345</v>
      </c>
      <c r="T36" s="86">
        <f t="shared" si="5"/>
        <v>1997.1822847165859</v>
      </c>
      <c r="U36" s="86">
        <f t="shared" si="5"/>
        <v>1916.433704355964</v>
      </c>
      <c r="V36" s="86">
        <f t="shared" si="5"/>
        <v>1955.705004931875</v>
      </c>
      <c r="W36" s="86">
        <f t="shared" si="5"/>
        <v>1409.4412567230579</v>
      </c>
      <c r="X36" s="86">
        <f t="shared" si="5"/>
        <v>0</v>
      </c>
      <c r="Y36" s="86">
        <f t="shared" si="5"/>
        <v>0</v>
      </c>
      <c r="AA36" s="355">
        <f t="shared" si="1"/>
        <v>46168.959206144296</v>
      </c>
      <c r="AB36" s="356">
        <f t="shared" si="2"/>
        <v>23084.479603072148</v>
      </c>
    </row>
    <row r="37" spans="1:28" outlineLevel="1">
      <c r="A37" s="4"/>
      <c r="B37" s="92"/>
      <c r="C37" s="92"/>
      <c r="D37" s="86"/>
      <c r="E37" s="416">
        <f>E36/E20</f>
        <v>0.51310791909338271</v>
      </c>
      <c r="F37" s="416">
        <f t="shared" ref="F37:Y37" si="6">F36/F20</f>
        <v>0.53318108291289457</v>
      </c>
      <c r="G37" s="416">
        <f t="shared" si="6"/>
        <v>0.53014799899950182</v>
      </c>
      <c r="H37" s="416">
        <f t="shared" si="6"/>
        <v>0.53638867337199714</v>
      </c>
      <c r="I37" s="416">
        <f t="shared" si="6"/>
        <v>0.54302712229052286</v>
      </c>
      <c r="J37" s="416">
        <f t="shared" si="6"/>
        <v>0.5296581488637444</v>
      </c>
      <c r="K37" s="416">
        <f t="shared" si="6"/>
        <v>0.52966757230754768</v>
      </c>
      <c r="L37" s="416">
        <f t="shared" si="6"/>
        <v>0.52978709156156567</v>
      </c>
      <c r="M37" s="416">
        <f t="shared" si="6"/>
        <v>0.5300116007418878</v>
      </c>
      <c r="N37" s="416">
        <f t="shared" si="6"/>
        <v>0.53033646887093189</v>
      </c>
      <c r="O37" s="416">
        <f t="shared" si="6"/>
        <v>0.53075749094201563</v>
      </c>
      <c r="P37" s="416">
        <f t="shared" si="6"/>
        <v>0.5323934859203695</v>
      </c>
      <c r="Q37" s="416">
        <f t="shared" si="6"/>
        <v>0.53408749617646589</v>
      </c>
      <c r="R37" s="416">
        <f t="shared" si="6"/>
        <v>0.53583888809564739</v>
      </c>
      <c r="S37" s="416">
        <f t="shared" si="6"/>
        <v>0.53764710521451309</v>
      </c>
      <c r="T37" s="416">
        <f t="shared" si="6"/>
        <v>0.50585424842863469</v>
      </c>
      <c r="U37" s="416">
        <f t="shared" si="6"/>
        <v>0.48144427694738645</v>
      </c>
      <c r="V37" s="416">
        <f t="shared" si="6"/>
        <v>0.46703377666144691</v>
      </c>
      <c r="W37" s="416">
        <f t="shared" si="6"/>
        <v>0.43825841765777485</v>
      </c>
      <c r="X37" s="416">
        <f t="shared" si="6"/>
        <v>0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2309.8157156510829</v>
      </c>
      <c r="F39" s="89">
        <f t="shared" si="7"/>
        <v>2170.3039195983179</v>
      </c>
      <c r="G39" s="89">
        <f t="shared" si="7"/>
        <v>2163.9803092494813</v>
      </c>
      <c r="H39" s="89">
        <f t="shared" si="7"/>
        <v>2133.3573459280365</v>
      </c>
      <c r="I39" s="89">
        <f t="shared" si="7"/>
        <v>2098.8456862600333</v>
      </c>
      <c r="J39" s="89">
        <f t="shared" si="7"/>
        <v>2328.689224439609</v>
      </c>
      <c r="K39" s="89">
        <f t="shared" si="7"/>
        <v>2383.4195286448039</v>
      </c>
      <c r="L39" s="89">
        <f t="shared" si="7"/>
        <v>2437.6027526094849</v>
      </c>
      <c r="M39" s="89">
        <f t="shared" si="7"/>
        <v>2491.2279728273957</v>
      </c>
      <c r="N39" s="89">
        <f t="shared" si="7"/>
        <v>2544.2840476750844</v>
      </c>
      <c r="O39" s="89">
        <f t="shared" si="7"/>
        <v>2596.7596130564252</v>
      </c>
      <c r="P39" s="89">
        <f t="shared" si="7"/>
        <v>2630.6501853453055</v>
      </c>
      <c r="Q39" s="89">
        <f t="shared" si="7"/>
        <v>2663.9368346991373</v>
      </c>
      <c r="R39" s="89">
        <f t="shared" si="7"/>
        <v>2696.6075025925629</v>
      </c>
      <c r="S39" s="89">
        <f t="shared" si="7"/>
        <v>2728.6498897184151</v>
      </c>
      <c r="T39" s="89">
        <f t="shared" si="7"/>
        <v>1950.9555255727464</v>
      </c>
      <c r="U39" s="89">
        <f t="shared" si="7"/>
        <v>2064.1592658360923</v>
      </c>
      <c r="V39" s="89">
        <f t="shared" si="7"/>
        <v>2231.7972757641246</v>
      </c>
      <c r="W39" s="89">
        <f t="shared" si="7"/>
        <v>1806.5637301421475</v>
      </c>
      <c r="X39" s="89">
        <f t="shared" si="7"/>
        <v>430.23042092311152</v>
      </c>
      <c r="Y39" s="89">
        <f t="shared" si="7"/>
        <v>0</v>
      </c>
      <c r="AA39" s="355">
        <f>SUM(F39:Y39)</f>
        <v>42552.021030882315</v>
      </c>
      <c r="AB39" s="356">
        <f t="shared" si="2"/>
        <v>21276.010515441158</v>
      </c>
    </row>
    <row r="40" spans="1:28" s="17" customFormat="1">
      <c r="A40" s="1"/>
      <c r="B40" s="1"/>
      <c r="C40" s="1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722</v>
      </c>
      <c r="G41" s="86">
        <f t="shared" ref="G41:Y41" si="9">+G109</f>
        <v>722</v>
      </c>
      <c r="H41" s="86">
        <f t="shared" si="9"/>
        <v>722</v>
      </c>
      <c r="I41" s="86">
        <f t="shared" si="9"/>
        <v>722</v>
      </c>
      <c r="J41" s="86">
        <f t="shared" si="9"/>
        <v>722</v>
      </c>
      <c r="K41" s="86">
        <f t="shared" si="9"/>
        <v>722</v>
      </c>
      <c r="L41" s="86">
        <f t="shared" si="9"/>
        <v>722</v>
      </c>
      <c r="M41" s="86">
        <f t="shared" si="9"/>
        <v>722</v>
      </c>
      <c r="N41" s="86">
        <f t="shared" si="9"/>
        <v>722</v>
      </c>
      <c r="O41" s="86">
        <f t="shared" si="9"/>
        <v>722</v>
      </c>
      <c r="P41" s="86">
        <f t="shared" si="9"/>
        <v>722</v>
      </c>
      <c r="Q41" s="86">
        <f t="shared" si="9"/>
        <v>722</v>
      </c>
      <c r="R41" s="86">
        <f t="shared" si="9"/>
        <v>722</v>
      </c>
      <c r="S41" s="86">
        <f t="shared" si="9"/>
        <v>722</v>
      </c>
      <c r="T41" s="86">
        <f t="shared" si="9"/>
        <v>722</v>
      </c>
      <c r="U41" s="86">
        <f t="shared" si="9"/>
        <v>722</v>
      </c>
      <c r="V41" s="86">
        <f t="shared" si="9"/>
        <v>722</v>
      </c>
      <c r="W41" s="86">
        <f t="shared" si="9"/>
        <v>722</v>
      </c>
      <c r="X41" s="86">
        <f t="shared" si="9"/>
        <v>722</v>
      </c>
      <c r="Y41" s="86">
        <f t="shared" si="9"/>
        <v>0</v>
      </c>
      <c r="AA41" s="355">
        <f t="shared" si="8"/>
        <v>13718</v>
      </c>
      <c r="AB41" s="356">
        <f t="shared" si="2"/>
        <v>6859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2309.8157156510829</v>
      </c>
      <c r="F44" s="89">
        <f t="shared" si="10"/>
        <v>1448.3039195983179</v>
      </c>
      <c r="G44" s="89">
        <f t="shared" si="10"/>
        <v>1441.9803092494813</v>
      </c>
      <c r="H44" s="89">
        <f t="shared" si="10"/>
        <v>1411.3573459280365</v>
      </c>
      <c r="I44" s="89">
        <f t="shared" si="10"/>
        <v>1376.8456862600333</v>
      </c>
      <c r="J44" s="89">
        <f t="shared" si="10"/>
        <v>1606.689224439609</v>
      </c>
      <c r="K44" s="89">
        <f t="shared" si="10"/>
        <v>1661.4195286448039</v>
      </c>
      <c r="L44" s="89">
        <f t="shared" si="10"/>
        <v>1715.6027526094849</v>
      </c>
      <c r="M44" s="89">
        <f t="shared" si="10"/>
        <v>1769.2279728273957</v>
      </c>
      <c r="N44" s="89">
        <f t="shared" si="10"/>
        <v>1822.2840476750844</v>
      </c>
      <c r="O44" s="89">
        <f t="shared" si="10"/>
        <v>1874.7596130564252</v>
      </c>
      <c r="P44" s="89">
        <f t="shared" si="10"/>
        <v>1908.6501853453055</v>
      </c>
      <c r="Q44" s="89">
        <f t="shared" si="10"/>
        <v>1941.9368346991373</v>
      </c>
      <c r="R44" s="89">
        <f t="shared" si="10"/>
        <v>1974.6075025925629</v>
      </c>
      <c r="S44" s="89">
        <f t="shared" si="10"/>
        <v>2006.6498897184151</v>
      </c>
      <c r="T44" s="89">
        <f t="shared" si="10"/>
        <v>1228.9555255727464</v>
      </c>
      <c r="U44" s="89">
        <f t="shared" si="10"/>
        <v>1342.1592658360923</v>
      </c>
      <c r="V44" s="89">
        <f t="shared" si="10"/>
        <v>1509.7972757641246</v>
      </c>
      <c r="W44" s="89">
        <f t="shared" si="10"/>
        <v>1084.5637301421475</v>
      </c>
      <c r="X44" s="89">
        <f t="shared" si="10"/>
        <v>-291.76957907688848</v>
      </c>
      <c r="Y44" s="89">
        <f t="shared" si="10"/>
        <v>0</v>
      </c>
      <c r="AA44" s="355">
        <f t="shared" si="8"/>
        <v>28834.021030882315</v>
      </c>
      <c r="AB44" s="356">
        <f t="shared" si="2"/>
        <v>14417.010515441158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2309.8157156510829</v>
      </c>
      <c r="F49" s="89">
        <f t="shared" si="11"/>
        <v>1448.3039195983179</v>
      </c>
      <c r="G49" s="89">
        <f t="shared" si="11"/>
        <v>1441.9803092494813</v>
      </c>
      <c r="H49" s="89">
        <f t="shared" si="11"/>
        <v>1411.3573459280365</v>
      </c>
      <c r="I49" s="89">
        <f t="shared" si="11"/>
        <v>1376.8456862600333</v>
      </c>
      <c r="J49" s="89">
        <f t="shared" si="11"/>
        <v>1606.689224439609</v>
      </c>
      <c r="K49" s="89">
        <f t="shared" si="11"/>
        <v>1661.4195286448039</v>
      </c>
      <c r="L49" s="89">
        <f t="shared" si="11"/>
        <v>1715.6027526094849</v>
      </c>
      <c r="M49" s="89">
        <f t="shared" si="11"/>
        <v>1769.2279728273957</v>
      </c>
      <c r="N49" s="89">
        <f t="shared" si="11"/>
        <v>1822.2840476750844</v>
      </c>
      <c r="O49" s="89">
        <f t="shared" si="11"/>
        <v>1874.7596130564252</v>
      </c>
      <c r="P49" s="89">
        <f t="shared" si="11"/>
        <v>1908.6501853453055</v>
      </c>
      <c r="Q49" s="89">
        <f t="shared" si="11"/>
        <v>1941.9368346991373</v>
      </c>
      <c r="R49" s="89">
        <f t="shared" si="11"/>
        <v>1974.6075025925629</v>
      </c>
      <c r="S49" s="89">
        <f t="shared" si="11"/>
        <v>2006.6498897184151</v>
      </c>
      <c r="T49" s="89">
        <f t="shared" si="11"/>
        <v>1228.9555255727464</v>
      </c>
      <c r="U49" s="89">
        <f t="shared" si="11"/>
        <v>1342.1592658360923</v>
      </c>
      <c r="V49" s="89">
        <f t="shared" si="11"/>
        <v>1509.7972757641246</v>
      </c>
      <c r="W49" s="89">
        <f t="shared" si="11"/>
        <v>1084.5637301421475</v>
      </c>
      <c r="X49" s="89">
        <f t="shared" si="11"/>
        <v>-291.76957907688848</v>
      </c>
      <c r="Y49" s="89">
        <f t="shared" si="11"/>
        <v>0</v>
      </c>
      <c r="AA49" s="355">
        <f t="shared" si="8"/>
        <v>28834.021030882315</v>
      </c>
      <c r="AB49" s="356">
        <f t="shared" si="2"/>
        <v>14417.010515441158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7">
        <v>0.05</v>
      </c>
      <c r="D51" s="86"/>
      <c r="E51" s="86">
        <f t="shared" ref="E51:Y51" si="12">E49*-$C$51</f>
        <v>-115.49078578255416</v>
      </c>
      <c r="F51" s="86">
        <f t="shared" si="12"/>
        <v>-72.415195979915893</v>
      </c>
      <c r="G51" s="51">
        <f t="shared" si="12"/>
        <v>-72.099015462474071</v>
      </c>
      <c r="H51" s="86">
        <f t="shared" si="12"/>
        <v>-70.567867296401829</v>
      </c>
      <c r="I51" s="86">
        <f t="shared" si="12"/>
        <v>-68.84228431300167</v>
      </c>
      <c r="J51" s="86">
        <f t="shared" si="12"/>
        <v>-80.334461221980462</v>
      </c>
      <c r="K51" s="86">
        <f t="shared" si="12"/>
        <v>-83.070976432240201</v>
      </c>
      <c r="L51" s="86">
        <f t="shared" si="12"/>
        <v>-85.780137630474258</v>
      </c>
      <c r="M51" s="86">
        <f t="shared" si="12"/>
        <v>-88.461398641369783</v>
      </c>
      <c r="N51" s="86">
        <f t="shared" si="12"/>
        <v>-91.114202383754218</v>
      </c>
      <c r="O51" s="86">
        <f t="shared" si="12"/>
        <v>-93.737980652821264</v>
      </c>
      <c r="P51" s="86">
        <f t="shared" si="12"/>
        <v>-95.432509267265289</v>
      </c>
      <c r="Q51" s="86">
        <f t="shared" si="12"/>
        <v>-97.096841734956868</v>
      </c>
      <c r="R51" s="86">
        <f t="shared" si="12"/>
        <v>-98.730375129628158</v>
      </c>
      <c r="S51" s="86">
        <f t="shared" si="12"/>
        <v>-100.33249448592076</v>
      </c>
      <c r="T51" s="86">
        <f t="shared" si="12"/>
        <v>-61.447776278637321</v>
      </c>
      <c r="U51" s="86">
        <f t="shared" si="12"/>
        <v>-67.107963291804623</v>
      </c>
      <c r="V51" s="86">
        <f t="shared" si="12"/>
        <v>-75.489863788206236</v>
      </c>
      <c r="W51" s="86">
        <f t="shared" si="12"/>
        <v>-54.228186507107381</v>
      </c>
      <c r="X51" s="86">
        <f t="shared" si="12"/>
        <v>14.588478953844424</v>
      </c>
      <c r="Y51" s="86">
        <f t="shared" si="12"/>
        <v>0</v>
      </c>
      <c r="AA51" s="355">
        <f t="shared" si="8"/>
        <v>-1441.7010515441161</v>
      </c>
      <c r="AB51" s="356">
        <f t="shared" si="2"/>
        <v>-720.85052577205806</v>
      </c>
    </row>
    <row r="52" spans="1:28">
      <c r="A52" s="4" t="s">
        <v>27</v>
      </c>
      <c r="C52" s="168">
        <v>0.35</v>
      </c>
      <c r="D52" s="85"/>
      <c r="E52" s="85">
        <f>((E49+E51)*-$C$52)+E56</f>
        <v>6.0460135328311253</v>
      </c>
      <c r="F52" s="85">
        <f t="shared" ref="F52:Y52" si="13">((F49+F51)*-$C$52)+F56</f>
        <v>292.49868572037548</v>
      </c>
      <c r="G52" s="85">
        <f t="shared" si="13"/>
        <v>337.60460499396453</v>
      </c>
      <c r="H52" s="85">
        <f t="shared" si="13"/>
        <v>347.78674029834497</v>
      </c>
      <c r="I52" s="85">
        <f t="shared" si="13"/>
        <v>-193.2698612545995</v>
      </c>
      <c r="J52" s="85">
        <f t="shared" si="13"/>
        <v>-534.22416712616996</v>
      </c>
      <c r="K52" s="85">
        <f t="shared" si="13"/>
        <v>-552.42199327439721</v>
      </c>
      <c r="L52" s="85">
        <f t="shared" si="13"/>
        <v>-570.43791524265373</v>
      </c>
      <c r="M52" s="85">
        <f t="shared" si="13"/>
        <v>-588.26830096510901</v>
      </c>
      <c r="N52" s="85">
        <f t="shared" si="13"/>
        <v>-605.90944585196553</v>
      </c>
      <c r="O52" s="85">
        <f t="shared" si="13"/>
        <v>-623.35757134126129</v>
      </c>
      <c r="P52" s="85">
        <f t="shared" si="13"/>
        <v>-634.62618662731404</v>
      </c>
      <c r="Q52" s="85">
        <f t="shared" si="13"/>
        <v>-645.69399753746313</v>
      </c>
      <c r="R52" s="85">
        <f t="shared" si="13"/>
        <v>-656.5569946120271</v>
      </c>
      <c r="S52" s="85">
        <f t="shared" si="13"/>
        <v>-667.21108833137305</v>
      </c>
      <c r="T52" s="85">
        <f t="shared" si="13"/>
        <v>-408.62771225293818</v>
      </c>
      <c r="U52" s="85">
        <f t="shared" si="13"/>
        <v>-446.26795589050067</v>
      </c>
      <c r="V52" s="85">
        <f t="shared" si="13"/>
        <v>-502.00759419157134</v>
      </c>
      <c r="W52" s="85">
        <f t="shared" si="13"/>
        <v>-360.61744027226399</v>
      </c>
      <c r="X52" s="85">
        <f t="shared" si="13"/>
        <v>97.013385043065426</v>
      </c>
      <c r="Y52" s="85">
        <f t="shared" si="13"/>
        <v>0</v>
      </c>
      <c r="AA52" s="355">
        <f t="shared" si="8"/>
        <v>-6914.5948087158558</v>
      </c>
      <c r="AB52" s="356">
        <f t="shared" si="2"/>
        <v>-3457.2974043579279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2200.3709434013599</v>
      </c>
      <c r="F54" s="89">
        <f t="shared" si="14"/>
        <v>1668.3874093387774</v>
      </c>
      <c r="G54" s="89">
        <f t="shared" si="14"/>
        <v>1707.4858987809719</v>
      </c>
      <c r="H54" s="89">
        <f t="shared" si="14"/>
        <v>1688.5762189299796</v>
      </c>
      <c r="I54" s="89">
        <f t="shared" si="14"/>
        <v>1114.7335406924321</v>
      </c>
      <c r="J54" s="89">
        <f t="shared" si="14"/>
        <v>992.13059609145853</v>
      </c>
      <c r="K54" s="89">
        <f t="shared" si="14"/>
        <v>1025.9265589381664</v>
      </c>
      <c r="L54" s="89">
        <f t="shared" si="14"/>
        <v>1059.3846997363571</v>
      </c>
      <c r="M54" s="89">
        <f t="shared" si="14"/>
        <v>1092.4982732209169</v>
      </c>
      <c r="N54" s="89">
        <f t="shared" si="14"/>
        <v>1125.2603994393646</v>
      </c>
      <c r="O54" s="89">
        <f t="shared" si="14"/>
        <v>1157.6640610623426</v>
      </c>
      <c r="P54" s="89">
        <f t="shared" si="14"/>
        <v>1178.5914894507264</v>
      </c>
      <c r="Q54" s="89">
        <f t="shared" si="14"/>
        <v>1199.1459954267175</v>
      </c>
      <c r="R54" s="89">
        <f t="shared" si="14"/>
        <v>1219.3201328509076</v>
      </c>
      <c r="S54" s="89">
        <f t="shared" si="14"/>
        <v>1239.1063069011213</v>
      </c>
      <c r="T54" s="89">
        <f t="shared" si="14"/>
        <v>758.88003704117091</v>
      </c>
      <c r="U54" s="89">
        <f t="shared" si="14"/>
        <v>828.78334665378702</v>
      </c>
      <c r="V54" s="89">
        <f t="shared" si="14"/>
        <v>932.29981778434694</v>
      </c>
      <c r="W54" s="89">
        <f t="shared" si="14"/>
        <v>669.71810336277599</v>
      </c>
      <c r="X54" s="89">
        <f t="shared" si="14"/>
        <v>-180.16771507997865</v>
      </c>
      <c r="Y54" s="89">
        <f t="shared" si="14"/>
        <v>0</v>
      </c>
      <c r="AA54" s="355">
        <f t="shared" si="8"/>
        <v>20477.725170622347</v>
      </c>
      <c r="AB54" s="356">
        <f t="shared" si="2"/>
        <v>10238.862585311173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f>[11]TAX!G$53</f>
        <v>774.05973898681611</v>
      </c>
      <c r="F56" s="169">
        <f>[11]TAX!H$53</f>
        <v>774.05973898681611</v>
      </c>
      <c r="G56" s="169">
        <f>[11]TAX!I$53</f>
        <v>817.06305781941705</v>
      </c>
      <c r="H56" s="169">
        <f>[11]TAX!J$53</f>
        <v>817.06305781941705</v>
      </c>
      <c r="I56" s="169">
        <f>[11]TAX!K$53</f>
        <v>264.53132942686148</v>
      </c>
      <c r="J56" s="169">
        <f>[11]TAX!L$53</f>
        <v>0</v>
      </c>
      <c r="K56" s="169">
        <f>[11]TAX!M$53</f>
        <v>0</v>
      </c>
      <c r="L56" s="169">
        <f>[11]TAX!N$53</f>
        <v>0</v>
      </c>
      <c r="M56" s="169">
        <f>[11]TAX!O$53</f>
        <v>0</v>
      </c>
      <c r="N56" s="169">
        <f>[11]TAX!P$53</f>
        <v>0</v>
      </c>
      <c r="O56" s="169">
        <f>[11]TAX!Q$53</f>
        <v>0</v>
      </c>
      <c r="P56" s="169">
        <f>[11]TAX!R$53</f>
        <v>0</v>
      </c>
      <c r="Q56" s="169">
        <f>[11]TAX!S$53</f>
        <v>0</v>
      </c>
      <c r="R56" s="169">
        <f>[11]TAX!T$53</f>
        <v>0</v>
      </c>
      <c r="S56" s="169">
        <f>[11]TAX!U$53</f>
        <v>0</v>
      </c>
      <c r="T56" s="169">
        <f>[11]TAX!V$53</f>
        <v>0</v>
      </c>
      <c r="U56" s="169">
        <f>[11]TAX!W$53</f>
        <v>0</v>
      </c>
      <c r="V56" s="169">
        <f>[11]TAX!X$53</f>
        <v>0</v>
      </c>
      <c r="W56" s="169">
        <f>[11]TAX!Y$53</f>
        <v>0</v>
      </c>
      <c r="X56" s="169">
        <f>[11]TAX!Z$53</f>
        <v>0</v>
      </c>
      <c r="Y56" s="169">
        <f>[11]TAX!AA$53</f>
        <v>0</v>
      </c>
      <c r="AA56" s="355">
        <f t="shared" si="8"/>
        <v>2672.7171840525116</v>
      </c>
      <c r="AB56" s="356">
        <f t="shared" si="2"/>
        <v>1336.3585920262558</v>
      </c>
    </row>
    <row r="57" spans="1:28" outlineLevel="1">
      <c r="A57" s="12"/>
      <c r="D57" s="419" t="s">
        <v>181</v>
      </c>
      <c r="E57" s="420">
        <f>E56/(0.017*C1*8760)</f>
        <v>0.34652150550041011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0.5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2309.8157156510829</v>
      </c>
      <c r="F64" s="16">
        <f t="shared" si="16"/>
        <v>2170.3039195983179</v>
      </c>
      <c r="G64" s="20">
        <f t="shared" si="16"/>
        <v>2163.9803092494813</v>
      </c>
      <c r="H64" s="16">
        <f t="shared" si="16"/>
        <v>2133.3573459280365</v>
      </c>
      <c r="I64" s="16">
        <f t="shared" si="16"/>
        <v>2098.8456862600333</v>
      </c>
      <c r="J64" s="16">
        <f t="shared" si="16"/>
        <v>2328.689224439609</v>
      </c>
      <c r="K64" s="16">
        <f t="shared" si="16"/>
        <v>2383.4195286448039</v>
      </c>
      <c r="L64" s="16">
        <f t="shared" si="16"/>
        <v>2437.6027526094849</v>
      </c>
      <c r="M64" s="16">
        <f t="shared" si="16"/>
        <v>2491.2279728273957</v>
      </c>
      <c r="N64" s="16">
        <f t="shared" si="16"/>
        <v>2544.2840476750844</v>
      </c>
      <c r="O64" s="16">
        <f t="shared" si="16"/>
        <v>2596.7596130564252</v>
      </c>
      <c r="P64" s="16">
        <f t="shared" si="16"/>
        <v>2630.6501853453055</v>
      </c>
      <c r="Q64" s="16">
        <f t="shared" si="16"/>
        <v>2663.9368346991373</v>
      </c>
      <c r="R64" s="16">
        <f t="shared" si="16"/>
        <v>2696.6075025925629</v>
      </c>
      <c r="S64" s="16">
        <f t="shared" si="16"/>
        <v>2728.6498897184151</v>
      </c>
      <c r="T64" s="16">
        <f t="shared" si="16"/>
        <v>1950.9555255727464</v>
      </c>
      <c r="U64" s="16">
        <f t="shared" si="16"/>
        <v>2064.1592658360923</v>
      </c>
      <c r="V64" s="16">
        <f t="shared" si="16"/>
        <v>2231.7972757641246</v>
      </c>
      <c r="W64" s="16">
        <f t="shared" si="16"/>
        <v>1806.5637301421475</v>
      </c>
      <c r="X64" s="16">
        <f t="shared" si="16"/>
        <v>430.23042092311152</v>
      </c>
      <c r="Y64" s="16">
        <f t="shared" si="16"/>
        <v>0</v>
      </c>
      <c r="AA64" s="355">
        <f t="shared" si="8"/>
        <v>42552.021030882315</v>
      </c>
      <c r="AB64" s="356">
        <f t="shared" si="2"/>
        <v>21276.010515441158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171">
        <v>0</v>
      </c>
      <c r="F66" s="171">
        <v>0</v>
      </c>
      <c r="G66" s="171">
        <v>0</v>
      </c>
      <c r="H66" s="171">
        <v>0</v>
      </c>
      <c r="I66" s="171">
        <v>0</v>
      </c>
      <c r="J66" s="171">
        <v>0</v>
      </c>
      <c r="K66" s="171">
        <v>0</v>
      </c>
      <c r="L66" s="171">
        <v>0</v>
      </c>
      <c r="M66" s="171">
        <v>0</v>
      </c>
      <c r="N66" s="171">
        <v>0</v>
      </c>
      <c r="O66" s="171">
        <v>0</v>
      </c>
      <c r="P66" s="171">
        <v>0</v>
      </c>
      <c r="Q66" s="171">
        <v>0</v>
      </c>
      <c r="R66" s="171">
        <v>0</v>
      </c>
      <c r="S66" s="171">
        <v>0</v>
      </c>
      <c r="T66" s="171">
        <v>0</v>
      </c>
      <c r="U66" s="171">
        <v>0</v>
      </c>
      <c r="V66" s="171">
        <v>0</v>
      </c>
      <c r="W66" s="171">
        <v>0</v>
      </c>
      <c r="X66" s="171">
        <v>0</v>
      </c>
      <c r="Y66" s="171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7">SUM(E64:E66)</f>
        <v>2309.8157156510829</v>
      </c>
      <c r="F69" s="91">
        <f t="shared" si="17"/>
        <v>2170.3039195983179</v>
      </c>
      <c r="G69" s="91">
        <f t="shared" si="17"/>
        <v>2163.9803092494813</v>
      </c>
      <c r="H69" s="91">
        <f t="shared" si="17"/>
        <v>2133.3573459280365</v>
      </c>
      <c r="I69" s="91">
        <f t="shared" si="17"/>
        <v>2098.8456862600333</v>
      </c>
      <c r="J69" s="91">
        <f t="shared" si="17"/>
        <v>2328.689224439609</v>
      </c>
      <c r="K69" s="91">
        <f t="shared" si="17"/>
        <v>2383.4195286448039</v>
      </c>
      <c r="L69" s="91">
        <f t="shared" si="17"/>
        <v>2437.6027526094849</v>
      </c>
      <c r="M69" s="91">
        <f t="shared" si="17"/>
        <v>2491.2279728273957</v>
      </c>
      <c r="N69" s="91">
        <f t="shared" si="17"/>
        <v>2544.2840476750844</v>
      </c>
      <c r="O69" s="91">
        <f t="shared" si="17"/>
        <v>2596.7596130564252</v>
      </c>
      <c r="P69" s="91">
        <f t="shared" si="17"/>
        <v>2630.6501853453055</v>
      </c>
      <c r="Q69" s="91">
        <f t="shared" si="17"/>
        <v>2663.9368346991373</v>
      </c>
      <c r="R69" s="91">
        <f t="shared" si="17"/>
        <v>2696.6075025925629</v>
      </c>
      <c r="S69" s="91">
        <f t="shared" si="17"/>
        <v>2728.6498897184151</v>
      </c>
      <c r="T69" s="91">
        <f t="shared" si="17"/>
        <v>1950.9555255727464</v>
      </c>
      <c r="U69" s="91">
        <f t="shared" si="17"/>
        <v>2064.1592658360923</v>
      </c>
      <c r="V69" s="91">
        <f t="shared" si="17"/>
        <v>2231.7972757641246</v>
      </c>
      <c r="W69" s="91">
        <f t="shared" si="17"/>
        <v>1806.5637301421475</v>
      </c>
      <c r="X69" s="91">
        <f t="shared" si="17"/>
        <v>430.23042092311152</v>
      </c>
      <c r="Y69" s="91">
        <f t="shared" si="17"/>
        <v>0</v>
      </c>
      <c r="AA69" s="355">
        <f t="shared" si="8"/>
        <v>42552.021030882315</v>
      </c>
      <c r="AB69" s="356">
        <f t="shared" si="2"/>
        <v>21276.010515441158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8">F89</f>
        <v>827.42169011003205</v>
      </c>
      <c r="G71" s="94">
        <f t="shared" si="18"/>
        <v>1824.3782346822954</v>
      </c>
      <c r="H71" s="94">
        <f t="shared" si="18"/>
        <v>775.25123696465926</v>
      </c>
      <c r="I71" s="94">
        <f t="shared" si="18"/>
        <v>151.94777807481722</v>
      </c>
      <c r="J71" s="94">
        <f t="shared" si="18"/>
        <v>64.03262472112948</v>
      </c>
      <c r="K71" s="94">
        <f t="shared" si="18"/>
        <v>-434.27984317199753</v>
      </c>
      <c r="L71" s="94">
        <f t="shared" si="18"/>
        <v>-932.38305287312801</v>
      </c>
      <c r="M71" s="94">
        <f t="shared" si="18"/>
        <v>-952.89469960647887</v>
      </c>
      <c r="N71" s="94">
        <f t="shared" si="18"/>
        <v>-973.18864823571982</v>
      </c>
      <c r="O71" s="94">
        <f t="shared" si="18"/>
        <v>-993.26055199408256</v>
      </c>
      <c r="P71" s="94">
        <f t="shared" si="18"/>
        <v>-1006.2236958945794</v>
      </c>
      <c r="Q71" s="94">
        <f t="shared" si="18"/>
        <v>-1018.95583927242</v>
      </c>
      <c r="R71" s="94">
        <f t="shared" si="18"/>
        <v>-1031.4523697416553</v>
      </c>
      <c r="S71" s="94">
        <f t="shared" si="18"/>
        <v>-1043.7085828172935</v>
      </c>
      <c r="T71" s="94">
        <f t="shared" si="18"/>
        <v>-746.24048853157547</v>
      </c>
      <c r="U71" s="94">
        <f t="shared" si="18"/>
        <v>-789.54091918230529</v>
      </c>
      <c r="V71" s="94">
        <f t="shared" si="18"/>
        <v>-853.66245797977751</v>
      </c>
      <c r="W71" s="94">
        <f t="shared" si="18"/>
        <v>-691.01062677937136</v>
      </c>
      <c r="X71" s="94">
        <f t="shared" si="18"/>
        <v>-164.56313600309016</v>
      </c>
      <c r="Y71" s="94">
        <f t="shared" si="18"/>
        <v>0</v>
      </c>
      <c r="AA71" s="355">
        <f t="shared" si="8"/>
        <v>-7988.3333475305408</v>
      </c>
      <c r="AB71" s="356">
        <f t="shared" si="2"/>
        <v>-3994.1666737652704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19">E69+E71</f>
        <v>2309.8157156510829</v>
      </c>
      <c r="F73" s="24">
        <f t="shared" si="19"/>
        <v>2997.72560970835</v>
      </c>
      <c r="G73" s="24">
        <f t="shared" si="19"/>
        <v>3988.3585439317767</v>
      </c>
      <c r="H73" s="24">
        <f t="shared" si="19"/>
        <v>2908.6085828926957</v>
      </c>
      <c r="I73" s="24">
        <f t="shared" si="19"/>
        <v>2250.7934643348503</v>
      </c>
      <c r="J73" s="24">
        <f t="shared" si="19"/>
        <v>2392.7218491607387</v>
      </c>
      <c r="K73" s="24">
        <f t="shared" si="19"/>
        <v>1949.1396854728064</v>
      </c>
      <c r="L73" s="24">
        <f t="shared" si="19"/>
        <v>1505.2196997363569</v>
      </c>
      <c r="M73" s="24">
        <f t="shared" si="19"/>
        <v>1538.3332732209169</v>
      </c>
      <c r="N73" s="24">
        <f t="shared" si="19"/>
        <v>1571.0953994393644</v>
      </c>
      <c r="O73" s="24">
        <f t="shared" si="19"/>
        <v>1603.4990610623427</v>
      </c>
      <c r="P73" s="24">
        <f t="shared" si="19"/>
        <v>1624.4264894507262</v>
      </c>
      <c r="Q73" s="24">
        <f t="shared" si="19"/>
        <v>1644.9809954267173</v>
      </c>
      <c r="R73" s="24">
        <f t="shared" si="19"/>
        <v>1665.1551328509076</v>
      </c>
      <c r="S73" s="24">
        <f t="shared" si="19"/>
        <v>1684.9413069011216</v>
      </c>
      <c r="T73" s="24">
        <f t="shared" si="19"/>
        <v>1204.7150370411709</v>
      </c>
      <c r="U73" s="24">
        <f t="shared" si="19"/>
        <v>1274.6183466537871</v>
      </c>
      <c r="V73" s="24">
        <f t="shared" si="19"/>
        <v>1378.134817784347</v>
      </c>
      <c r="W73" s="24">
        <f t="shared" si="19"/>
        <v>1115.5531033627763</v>
      </c>
      <c r="X73" s="24">
        <f t="shared" si="19"/>
        <v>265.66728492002136</v>
      </c>
      <c r="Y73" s="24">
        <f t="shared" si="19"/>
        <v>0</v>
      </c>
      <c r="AA73" s="355">
        <f t="shared" si="8"/>
        <v>34563.687683351774</v>
      </c>
      <c r="AB73" s="356">
        <f t="shared" si="2"/>
        <v>17281.843841675887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"/>
      <c r="C76" s="159">
        <f>+C$60</f>
        <v>0.5</v>
      </c>
      <c r="D76" s="24"/>
      <c r="E76" s="24">
        <f t="shared" ref="E76:Y76" si="21">$C$76*E54</f>
        <v>1100.18547170068</v>
      </c>
      <c r="F76" s="24">
        <f t="shared" si="21"/>
        <v>834.19370466938869</v>
      </c>
      <c r="G76" s="91">
        <f t="shared" si="21"/>
        <v>853.74294939048593</v>
      </c>
      <c r="H76" s="24">
        <f t="shared" si="21"/>
        <v>844.28810946498982</v>
      </c>
      <c r="I76" s="24">
        <f t="shared" si="21"/>
        <v>557.36677034621607</v>
      </c>
      <c r="J76" s="24">
        <f t="shared" si="21"/>
        <v>496.06529804572926</v>
      </c>
      <c r="K76" s="24">
        <f t="shared" si="21"/>
        <v>512.9632794690832</v>
      </c>
      <c r="L76" s="24">
        <f t="shared" si="21"/>
        <v>529.69234986817855</v>
      </c>
      <c r="M76" s="24">
        <f t="shared" si="21"/>
        <v>546.24913661045844</v>
      </c>
      <c r="N76" s="24">
        <f t="shared" si="21"/>
        <v>562.63019971968231</v>
      </c>
      <c r="O76" s="24">
        <f t="shared" si="21"/>
        <v>578.83203053117131</v>
      </c>
      <c r="P76" s="24">
        <f t="shared" si="21"/>
        <v>589.29574472536319</v>
      </c>
      <c r="Q76" s="24">
        <f t="shared" si="21"/>
        <v>599.57299771335875</v>
      </c>
      <c r="R76" s="24">
        <f t="shared" si="21"/>
        <v>609.66006642545381</v>
      </c>
      <c r="S76" s="24">
        <f t="shared" si="21"/>
        <v>619.55315345056067</v>
      </c>
      <c r="T76" s="24">
        <f t="shared" si="21"/>
        <v>379.44001852058545</v>
      </c>
      <c r="U76" s="24">
        <f t="shared" si="21"/>
        <v>414.39167332689351</v>
      </c>
      <c r="V76" s="24">
        <f t="shared" si="21"/>
        <v>466.14990889217347</v>
      </c>
      <c r="W76" s="24">
        <f t="shared" si="21"/>
        <v>334.859051681388</v>
      </c>
      <c r="X76" s="24">
        <f t="shared" si="21"/>
        <v>-90.083857539989324</v>
      </c>
      <c r="Y76" s="24">
        <f t="shared" si="21"/>
        <v>0</v>
      </c>
      <c r="AA76" s="355">
        <f t="shared" si="8"/>
        <v>10238.862585311173</v>
      </c>
      <c r="AB76" s="356">
        <f>AA76</f>
        <v>10238.862585311173</v>
      </c>
    </row>
    <row r="77" spans="1:28" outlineLevel="1">
      <c r="A77" s="13" t="s">
        <v>136</v>
      </c>
      <c r="B77" s="22"/>
      <c r="C77" s="159">
        <f>+C60</f>
        <v>0.5</v>
      </c>
      <c r="D77" s="24"/>
      <c r="E77" s="24">
        <f t="shared" ref="E77:Y77" si="22">$C$77*E73</f>
        <v>1154.9078578255414</v>
      </c>
      <c r="F77" s="24">
        <f t="shared" si="22"/>
        <v>1498.862804854175</v>
      </c>
      <c r="G77" s="91">
        <f t="shared" si="22"/>
        <v>1994.1792719658883</v>
      </c>
      <c r="H77" s="24">
        <f t="shared" si="22"/>
        <v>1454.3042914463479</v>
      </c>
      <c r="I77" s="24">
        <f t="shared" si="22"/>
        <v>1125.3967321674252</v>
      </c>
      <c r="J77" s="24">
        <f t="shared" si="22"/>
        <v>1196.3609245803693</v>
      </c>
      <c r="K77" s="24">
        <f t="shared" si="22"/>
        <v>974.56984273640319</v>
      </c>
      <c r="L77" s="24">
        <f t="shared" si="22"/>
        <v>752.60984986817846</v>
      </c>
      <c r="M77" s="24">
        <f t="shared" si="22"/>
        <v>769.16663661045845</v>
      </c>
      <c r="N77" s="24">
        <f t="shared" si="22"/>
        <v>785.54769971968221</v>
      </c>
      <c r="O77" s="24">
        <f t="shared" si="22"/>
        <v>801.74953053117133</v>
      </c>
      <c r="P77" s="24">
        <f t="shared" si="22"/>
        <v>812.2132447253631</v>
      </c>
      <c r="Q77" s="24">
        <f t="shared" si="22"/>
        <v>822.49049771335865</v>
      </c>
      <c r="R77" s="24">
        <f t="shared" si="22"/>
        <v>832.57756642545382</v>
      </c>
      <c r="S77" s="24">
        <f t="shared" si="22"/>
        <v>842.4706534505608</v>
      </c>
      <c r="T77" s="24">
        <f t="shared" si="22"/>
        <v>602.35751852058547</v>
      </c>
      <c r="U77" s="24">
        <f t="shared" si="22"/>
        <v>637.30917332689353</v>
      </c>
      <c r="V77" s="24">
        <f t="shared" si="22"/>
        <v>689.06740889217349</v>
      </c>
      <c r="W77" s="24">
        <f t="shared" si="22"/>
        <v>557.77655168138813</v>
      </c>
      <c r="X77" s="24">
        <f t="shared" si="22"/>
        <v>132.83364246001068</v>
      </c>
      <c r="Y77" s="24">
        <f t="shared" si="22"/>
        <v>0</v>
      </c>
      <c r="AA77" s="355">
        <f t="shared" si="8"/>
        <v>17281.843841675887</v>
      </c>
      <c r="AB77" s="356">
        <f>AA77</f>
        <v>17281.843841675887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0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0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0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0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0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0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0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0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3">G62</f>
        <v>2002</v>
      </c>
      <c r="H86" s="99">
        <f t="shared" si="23"/>
        <v>2003</v>
      </c>
      <c r="I86" s="99">
        <f t="shared" si="23"/>
        <v>2004</v>
      </c>
      <c r="J86" s="99">
        <f t="shared" si="23"/>
        <v>2005</v>
      </c>
      <c r="K86" s="99">
        <f t="shared" si="23"/>
        <v>2006</v>
      </c>
      <c r="L86" s="99">
        <f t="shared" si="23"/>
        <v>2007</v>
      </c>
      <c r="M86" s="99">
        <f t="shared" si="23"/>
        <v>2008</v>
      </c>
      <c r="N86" s="99">
        <f t="shared" si="23"/>
        <v>2009</v>
      </c>
      <c r="O86" s="99">
        <f t="shared" si="23"/>
        <v>2010</v>
      </c>
      <c r="P86" s="99">
        <f t="shared" si="23"/>
        <v>2011</v>
      </c>
      <c r="Q86" s="99">
        <f t="shared" si="23"/>
        <v>2012</v>
      </c>
      <c r="R86" s="99">
        <f t="shared" si="23"/>
        <v>2013</v>
      </c>
      <c r="S86" s="99">
        <f t="shared" si="23"/>
        <v>2014</v>
      </c>
      <c r="T86" s="99">
        <f t="shared" si="23"/>
        <v>2015</v>
      </c>
      <c r="U86" s="99">
        <f t="shared" si="23"/>
        <v>2016</v>
      </c>
      <c r="V86" s="99">
        <f t="shared" si="23"/>
        <v>2017</v>
      </c>
      <c r="W86" s="99">
        <f t="shared" si="23"/>
        <v>2018</v>
      </c>
      <c r="X86" s="99">
        <f t="shared" si="23"/>
        <v>2019</v>
      </c>
      <c r="Y86" s="99">
        <f t="shared" si="23"/>
        <v>2020</v>
      </c>
      <c r="AA86" s="355">
        <f t="shared" si="8"/>
        <v>40210</v>
      </c>
      <c r="AB86" s="356">
        <f t="shared" si="20"/>
        <v>20105</v>
      </c>
    </row>
    <row r="87" spans="1:30" s="128" customFormat="1">
      <c r="AA87" s="355">
        <f t="shared" si="8"/>
        <v>0</v>
      </c>
      <c r="AB87" s="356">
        <f t="shared" si="20"/>
        <v>0</v>
      </c>
    </row>
    <row r="88" spans="1:30" s="128" customFormat="1">
      <c r="A88" s="11" t="s">
        <v>31</v>
      </c>
      <c r="F88" s="129">
        <f>F69</f>
        <v>2170.3039195983179</v>
      </c>
      <c r="G88" s="129">
        <f t="shared" ref="G88:Y88" si="24">G69</f>
        <v>2163.9803092494813</v>
      </c>
      <c r="H88" s="129">
        <f t="shared" si="24"/>
        <v>2133.3573459280365</v>
      </c>
      <c r="I88" s="129">
        <f t="shared" si="24"/>
        <v>2098.8456862600333</v>
      </c>
      <c r="J88" s="129">
        <f t="shared" si="24"/>
        <v>2328.689224439609</v>
      </c>
      <c r="K88" s="129">
        <f t="shared" si="24"/>
        <v>2383.4195286448039</v>
      </c>
      <c r="L88" s="129">
        <f t="shared" si="24"/>
        <v>2437.6027526094849</v>
      </c>
      <c r="M88" s="129">
        <f t="shared" si="24"/>
        <v>2491.2279728273957</v>
      </c>
      <c r="N88" s="129">
        <f t="shared" si="24"/>
        <v>2544.2840476750844</v>
      </c>
      <c r="O88" s="129">
        <f t="shared" si="24"/>
        <v>2596.7596130564252</v>
      </c>
      <c r="P88" s="129">
        <f t="shared" si="24"/>
        <v>2630.6501853453055</v>
      </c>
      <c r="Q88" s="129">
        <f t="shared" si="24"/>
        <v>2663.9368346991373</v>
      </c>
      <c r="R88" s="129">
        <f t="shared" si="24"/>
        <v>2696.6075025925629</v>
      </c>
      <c r="S88" s="129">
        <f t="shared" si="24"/>
        <v>2728.6498897184151</v>
      </c>
      <c r="T88" s="129">
        <f t="shared" si="24"/>
        <v>1950.9555255727464</v>
      </c>
      <c r="U88" s="129">
        <f t="shared" si="24"/>
        <v>2064.1592658360923</v>
      </c>
      <c r="V88" s="129">
        <f t="shared" si="24"/>
        <v>2231.7972757641246</v>
      </c>
      <c r="W88" s="129">
        <f t="shared" si="24"/>
        <v>1806.5637301421475</v>
      </c>
      <c r="X88" s="129">
        <f t="shared" si="24"/>
        <v>430.23042092311152</v>
      </c>
      <c r="Y88" s="129">
        <f t="shared" si="24"/>
        <v>0</v>
      </c>
      <c r="AA88" s="355">
        <f t="shared" si="8"/>
        <v>42552.021030882315</v>
      </c>
      <c r="AB88" s="356">
        <f t="shared" si="20"/>
        <v>21276.010515441158</v>
      </c>
    </row>
    <row r="89" spans="1:30" s="128" customFormat="1">
      <c r="A89" s="128" t="s">
        <v>42</v>
      </c>
      <c r="F89" s="100">
        <f>F126+F127</f>
        <v>827.42169011003205</v>
      </c>
      <c r="G89" s="100">
        <f t="shared" ref="G89:Y89" si="25">G126+G127</f>
        <v>1824.3782346822954</v>
      </c>
      <c r="H89" s="100">
        <f t="shared" si="25"/>
        <v>775.25123696465926</v>
      </c>
      <c r="I89" s="100">
        <f t="shared" si="25"/>
        <v>151.94777807481722</v>
      </c>
      <c r="J89" s="100">
        <f t="shared" si="25"/>
        <v>64.03262472112948</v>
      </c>
      <c r="K89" s="100">
        <f t="shared" si="25"/>
        <v>-434.27984317199753</v>
      </c>
      <c r="L89" s="100">
        <f t="shared" si="25"/>
        <v>-932.38305287312801</v>
      </c>
      <c r="M89" s="100">
        <f t="shared" si="25"/>
        <v>-952.89469960647887</v>
      </c>
      <c r="N89" s="100">
        <f t="shared" si="25"/>
        <v>-973.18864823571982</v>
      </c>
      <c r="O89" s="100">
        <f t="shared" si="25"/>
        <v>-993.26055199408256</v>
      </c>
      <c r="P89" s="100">
        <f t="shared" si="25"/>
        <v>-1006.2236958945794</v>
      </c>
      <c r="Q89" s="100">
        <f t="shared" si="25"/>
        <v>-1018.95583927242</v>
      </c>
      <c r="R89" s="100">
        <f t="shared" si="25"/>
        <v>-1031.4523697416553</v>
      </c>
      <c r="S89" s="100">
        <f t="shared" si="25"/>
        <v>-1043.7085828172935</v>
      </c>
      <c r="T89" s="100">
        <f t="shared" si="25"/>
        <v>-746.24048853157547</v>
      </c>
      <c r="U89" s="100">
        <f t="shared" si="25"/>
        <v>-789.54091918230529</v>
      </c>
      <c r="V89" s="100">
        <f t="shared" si="25"/>
        <v>-853.66245797977751</v>
      </c>
      <c r="W89" s="100">
        <f t="shared" si="25"/>
        <v>-691.01062677937136</v>
      </c>
      <c r="X89" s="100">
        <f t="shared" si="25"/>
        <v>-164.56313600309016</v>
      </c>
      <c r="Y89" s="100">
        <f t="shared" si="25"/>
        <v>0</v>
      </c>
      <c r="AA89" s="355">
        <f t="shared" si="8"/>
        <v>-7988.3333475305408</v>
      </c>
      <c r="AB89" s="356">
        <f t="shared" si="20"/>
        <v>-3994.1666737652704</v>
      </c>
    </row>
    <row r="90" spans="1:30" s="128" customFormat="1">
      <c r="A90" s="128" t="s">
        <v>109</v>
      </c>
      <c r="F90" s="100">
        <f>F56</f>
        <v>774.05973898681611</v>
      </c>
      <c r="G90" s="100">
        <f t="shared" ref="G90:Y90" si="26">G56</f>
        <v>817.06305781941705</v>
      </c>
      <c r="H90" s="100">
        <f t="shared" si="26"/>
        <v>817.06305781941705</v>
      </c>
      <c r="I90" s="100">
        <f t="shared" si="26"/>
        <v>264.53132942686148</v>
      </c>
      <c r="J90" s="100">
        <f t="shared" si="26"/>
        <v>0</v>
      </c>
      <c r="K90" s="100">
        <f t="shared" si="26"/>
        <v>0</v>
      </c>
      <c r="L90" s="100">
        <f t="shared" si="26"/>
        <v>0</v>
      </c>
      <c r="M90" s="100">
        <f t="shared" si="26"/>
        <v>0</v>
      </c>
      <c r="N90" s="100">
        <f t="shared" si="26"/>
        <v>0</v>
      </c>
      <c r="O90" s="100">
        <f t="shared" si="26"/>
        <v>0</v>
      </c>
      <c r="P90" s="100">
        <f t="shared" si="26"/>
        <v>0</v>
      </c>
      <c r="Q90" s="100">
        <f t="shared" si="26"/>
        <v>0</v>
      </c>
      <c r="R90" s="100">
        <f t="shared" si="26"/>
        <v>0</v>
      </c>
      <c r="S90" s="100">
        <f t="shared" si="26"/>
        <v>0</v>
      </c>
      <c r="T90" s="100">
        <f t="shared" si="26"/>
        <v>0</v>
      </c>
      <c r="U90" s="100">
        <f t="shared" si="26"/>
        <v>0</v>
      </c>
      <c r="V90" s="100">
        <f t="shared" si="26"/>
        <v>0</v>
      </c>
      <c r="W90" s="100">
        <f t="shared" si="26"/>
        <v>0</v>
      </c>
      <c r="X90" s="100">
        <f t="shared" si="26"/>
        <v>0</v>
      </c>
      <c r="Y90" s="100">
        <f t="shared" si="26"/>
        <v>0</v>
      </c>
      <c r="AA90" s="355">
        <f t="shared" si="8"/>
        <v>2672.7171840525116</v>
      </c>
      <c r="AB90" s="356">
        <f t="shared" si="20"/>
        <v>1336.3585920262558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f>Y99</f>
        <v>13767.373469539569</v>
      </c>
      <c r="Y91" s="101">
        <v>0</v>
      </c>
      <c r="AA91" s="355">
        <f t="shared" si="8"/>
        <v>13767.373469539569</v>
      </c>
      <c r="AB91" s="356">
        <f t="shared" si="20"/>
        <v>6883.6867347697844</v>
      </c>
    </row>
    <row r="92" spans="1:30" s="128" customFormat="1">
      <c r="A92" s="128" t="s">
        <v>44</v>
      </c>
      <c r="E92" s="173">
        <v>-24074.988225946097</v>
      </c>
      <c r="F92" s="129">
        <f>SUM(F88:F91)</f>
        <v>3771.7853486951662</v>
      </c>
      <c r="G92" s="129">
        <f t="shared" ref="G92:Y92" si="27">SUM(G88:G91)</f>
        <v>4805.4216017511935</v>
      </c>
      <c r="H92" s="129">
        <f t="shared" si="27"/>
        <v>3725.671640712113</v>
      </c>
      <c r="I92" s="129">
        <f t="shared" si="27"/>
        <v>2515.3247937617116</v>
      </c>
      <c r="J92" s="129">
        <f t="shared" si="27"/>
        <v>2392.7218491607387</v>
      </c>
      <c r="K92" s="129">
        <f t="shared" si="27"/>
        <v>1949.1396854728064</v>
      </c>
      <c r="L92" s="129">
        <f t="shared" si="27"/>
        <v>1505.2196997363569</v>
      </c>
      <c r="M92" s="129">
        <f t="shared" si="27"/>
        <v>1538.3332732209169</v>
      </c>
      <c r="N92" s="129">
        <f t="shared" si="27"/>
        <v>1571.0953994393644</v>
      </c>
      <c r="O92" s="129">
        <f t="shared" si="27"/>
        <v>1603.4990610623427</v>
      </c>
      <c r="P92" s="129">
        <f t="shared" si="27"/>
        <v>1624.4264894507262</v>
      </c>
      <c r="Q92" s="129">
        <f t="shared" si="27"/>
        <v>1644.9809954267173</v>
      </c>
      <c r="R92" s="129">
        <f t="shared" si="27"/>
        <v>1665.1551328509076</v>
      </c>
      <c r="S92" s="129">
        <f t="shared" si="27"/>
        <v>1684.9413069011216</v>
      </c>
      <c r="T92" s="129">
        <f t="shared" si="27"/>
        <v>1204.7150370411709</v>
      </c>
      <c r="U92" s="129">
        <f t="shared" si="27"/>
        <v>1274.6183466537871</v>
      </c>
      <c r="V92" s="129">
        <f t="shared" si="27"/>
        <v>1378.134817784347</v>
      </c>
      <c r="W92" s="129">
        <f t="shared" si="27"/>
        <v>1115.5531033627763</v>
      </c>
      <c r="X92" s="129">
        <f t="shared" si="27"/>
        <v>14033.040754459591</v>
      </c>
      <c r="Y92" s="129">
        <f t="shared" si="27"/>
        <v>0</v>
      </c>
      <c r="AA92" s="355">
        <f t="shared" si="8"/>
        <v>51003.778336943855</v>
      </c>
      <c r="AB92" s="356">
        <f t="shared" si="20"/>
        <v>25501.889168471927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0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0"/>
        <v>0</v>
      </c>
    </row>
    <row r="95" spans="1:30" s="128" customFormat="1" ht="13.5" thickBot="1">
      <c r="A95" s="128" t="s">
        <v>46</v>
      </c>
      <c r="E95" s="174">
        <f>NPV(C96,E92:Y92)</f>
        <v>2.5031964268979676E-12</v>
      </c>
      <c r="R95" s="133"/>
      <c r="U95" s="134" t="s">
        <v>112</v>
      </c>
      <c r="V95" s="135"/>
      <c r="W95" s="135"/>
      <c r="X95" s="135"/>
      <c r="Y95" s="136">
        <f>X88*4</f>
        <v>1720.9216836924461</v>
      </c>
      <c r="AA95" s="355">
        <f t="shared" si="8"/>
        <v>1720.9216836924461</v>
      </c>
      <c r="AB95" s="356">
        <f t="shared" si="20"/>
        <v>860.46084184622305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0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1720.9216836924461</v>
      </c>
      <c r="AA97" s="355">
        <f t="shared" si="8"/>
        <v>1720.9216836924461</v>
      </c>
      <c r="AB97" s="356">
        <f t="shared" si="20"/>
        <v>860.46084184622305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0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13767.373469539569</v>
      </c>
      <c r="AA99" s="355">
        <f t="shared" si="8"/>
        <v>13767.373469539569</v>
      </c>
      <c r="AB99" s="356">
        <f t="shared" si="20"/>
        <v>6883.6867347697844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0"/>
        <v>0</v>
      </c>
    </row>
    <row r="101" spans="1:28" s="128" customFormat="1">
      <c r="A101" s="128" t="s">
        <v>53</v>
      </c>
      <c r="D101" s="177">
        <v>0</v>
      </c>
      <c r="AA101" s="355">
        <f t="shared" si="8"/>
        <v>0</v>
      </c>
      <c r="AB101" s="356">
        <f t="shared" si="20"/>
        <v>0</v>
      </c>
    </row>
    <row r="102" spans="1:28" s="128" customFormat="1" ht="15">
      <c r="A102" s="128" t="s">
        <v>54</v>
      </c>
      <c r="D102" s="101">
        <f>-E92</f>
        <v>24074.988225946097</v>
      </c>
      <c r="AA102" s="355">
        <f t="shared" si="8"/>
        <v>0</v>
      </c>
      <c r="AB102" s="356">
        <f t="shared" si="20"/>
        <v>0</v>
      </c>
    </row>
    <row r="103" spans="1:28" s="128" customFormat="1">
      <c r="D103" s="142">
        <f>D101+D102</f>
        <v>24074.988225946097</v>
      </c>
      <c r="AA103" s="355">
        <f t="shared" si="8"/>
        <v>0</v>
      </c>
      <c r="AB103" s="356">
        <f t="shared" si="20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28" customFormat="1">
      <c r="A105" s="128" t="s">
        <v>56</v>
      </c>
      <c r="D105" s="142">
        <f>D103*D104</f>
        <v>21667.489403351487</v>
      </c>
      <c r="AA105" s="355">
        <f t="shared" si="28"/>
        <v>0</v>
      </c>
      <c r="AB105" s="356">
        <f t="shared" si="20"/>
        <v>0</v>
      </c>
    </row>
    <row r="106" spans="1:28" s="128" customFormat="1">
      <c r="AA106" s="355">
        <f t="shared" si="28"/>
        <v>0</v>
      </c>
      <c r="AB106" s="356">
        <f t="shared" si="20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29">G107+1</f>
        <v>2003</v>
      </c>
      <c r="I107" s="99">
        <f t="shared" si="29"/>
        <v>2004</v>
      </c>
      <c r="J107" s="99">
        <f t="shared" si="29"/>
        <v>2005</v>
      </c>
      <c r="K107" s="99">
        <f t="shared" si="29"/>
        <v>2006</v>
      </c>
      <c r="L107" s="99">
        <f t="shared" si="29"/>
        <v>2007</v>
      </c>
      <c r="M107" s="99">
        <f t="shared" si="29"/>
        <v>2008</v>
      </c>
      <c r="N107" s="99">
        <f t="shared" si="29"/>
        <v>2009</v>
      </c>
      <c r="O107" s="99">
        <f t="shared" si="29"/>
        <v>2010</v>
      </c>
      <c r="P107" s="99">
        <f t="shared" si="29"/>
        <v>2011</v>
      </c>
      <c r="Q107" s="99">
        <f t="shared" si="29"/>
        <v>2012</v>
      </c>
      <c r="R107" s="99">
        <f t="shared" si="29"/>
        <v>2013</v>
      </c>
      <c r="S107" s="99">
        <f t="shared" si="29"/>
        <v>2014</v>
      </c>
      <c r="T107" s="99">
        <f t="shared" si="29"/>
        <v>2015</v>
      </c>
      <c r="U107" s="99">
        <f t="shared" si="29"/>
        <v>2016</v>
      </c>
      <c r="V107" s="99">
        <f t="shared" si="29"/>
        <v>2017</v>
      </c>
      <c r="W107" s="99">
        <f t="shared" si="29"/>
        <v>2018</v>
      </c>
      <c r="X107" s="99">
        <f t="shared" si="29"/>
        <v>2019</v>
      </c>
      <c r="Y107" s="99">
        <f t="shared" si="29"/>
        <v>2020</v>
      </c>
      <c r="AA107" s="355">
        <f t="shared" si="28"/>
        <v>40210</v>
      </c>
      <c r="AB107" s="356">
        <f t="shared" si="20"/>
        <v>20105</v>
      </c>
    </row>
    <row r="108" spans="1:28" s="128" customFormat="1">
      <c r="A108" s="103" t="s">
        <v>57</v>
      </c>
      <c r="AA108" s="355">
        <f t="shared" si="28"/>
        <v>0</v>
      </c>
      <c r="AB108" s="356">
        <f t="shared" si="20"/>
        <v>0</v>
      </c>
    </row>
    <row r="109" spans="1:28" s="128" customFormat="1">
      <c r="A109" s="128" t="s">
        <v>58</v>
      </c>
      <c r="B109" s="179">
        <v>30</v>
      </c>
      <c r="C109" s="128" t="s">
        <v>0</v>
      </c>
      <c r="D109" s="143">
        <f>D105</f>
        <v>21667.489403351487</v>
      </c>
      <c r="F109" s="132">
        <f>ROUND(D109/$B$109,0)</f>
        <v>722</v>
      </c>
      <c r="G109" s="132">
        <f>F109</f>
        <v>722</v>
      </c>
      <c r="H109" s="132">
        <f t="shared" ref="H109:X110" si="30">G109</f>
        <v>722</v>
      </c>
      <c r="I109" s="132">
        <f t="shared" si="30"/>
        <v>722</v>
      </c>
      <c r="J109" s="132">
        <f t="shared" si="30"/>
        <v>722</v>
      </c>
      <c r="K109" s="132">
        <f t="shared" si="30"/>
        <v>722</v>
      </c>
      <c r="L109" s="132">
        <f t="shared" si="30"/>
        <v>722</v>
      </c>
      <c r="M109" s="132">
        <f t="shared" si="30"/>
        <v>722</v>
      </c>
      <c r="N109" s="132">
        <f t="shared" si="30"/>
        <v>722</v>
      </c>
      <c r="O109" s="132">
        <f t="shared" si="30"/>
        <v>722</v>
      </c>
      <c r="P109" s="132">
        <f t="shared" si="30"/>
        <v>722</v>
      </c>
      <c r="Q109" s="132">
        <f t="shared" si="30"/>
        <v>722</v>
      </c>
      <c r="R109" s="132">
        <f t="shared" si="30"/>
        <v>722</v>
      </c>
      <c r="S109" s="132">
        <f t="shared" si="30"/>
        <v>722</v>
      </c>
      <c r="T109" s="132">
        <f t="shared" si="30"/>
        <v>722</v>
      </c>
      <c r="U109" s="132">
        <f t="shared" si="30"/>
        <v>722</v>
      </c>
      <c r="V109" s="132">
        <f t="shared" si="30"/>
        <v>722</v>
      </c>
      <c r="W109" s="132">
        <f t="shared" si="30"/>
        <v>722</v>
      </c>
      <c r="X109" s="132">
        <f t="shared" si="30"/>
        <v>722</v>
      </c>
      <c r="Y109" s="360"/>
      <c r="AA109" s="355">
        <f t="shared" si="28"/>
        <v>13718</v>
      </c>
      <c r="AB109" s="356">
        <f t="shared" si="20"/>
        <v>6859</v>
      </c>
    </row>
    <row r="110" spans="1:28" s="128" customFormat="1">
      <c r="A110" s="128" t="s">
        <v>138</v>
      </c>
      <c r="D110" s="143">
        <f>D104*'FPLE_Wind Summary'!J19</f>
        <v>1535.8923585389291</v>
      </c>
      <c r="F110" s="132">
        <f>ROUND(D110/$B$109,0)</f>
        <v>51</v>
      </c>
      <c r="G110" s="132">
        <f>F110</f>
        <v>51</v>
      </c>
      <c r="H110" s="132">
        <f t="shared" si="30"/>
        <v>51</v>
      </c>
      <c r="I110" s="132">
        <f t="shared" si="30"/>
        <v>51</v>
      </c>
      <c r="J110" s="132">
        <f t="shared" si="30"/>
        <v>51</v>
      </c>
      <c r="K110" s="132">
        <f t="shared" si="30"/>
        <v>51</v>
      </c>
      <c r="L110" s="132">
        <f t="shared" si="30"/>
        <v>51</v>
      </c>
      <c r="M110" s="132">
        <f t="shared" si="30"/>
        <v>51</v>
      </c>
      <c r="N110" s="132">
        <f t="shared" si="30"/>
        <v>51</v>
      </c>
      <c r="O110" s="132">
        <f t="shared" si="30"/>
        <v>51</v>
      </c>
      <c r="P110" s="132">
        <f t="shared" si="30"/>
        <v>51</v>
      </c>
      <c r="Q110" s="132">
        <f t="shared" si="30"/>
        <v>51</v>
      </c>
      <c r="R110" s="132">
        <f t="shared" si="30"/>
        <v>51</v>
      </c>
      <c r="S110" s="132">
        <f t="shared" si="30"/>
        <v>51</v>
      </c>
      <c r="T110" s="132">
        <f t="shared" si="30"/>
        <v>51</v>
      </c>
      <c r="U110" s="132">
        <f t="shared" si="30"/>
        <v>51</v>
      </c>
      <c r="V110" s="132">
        <f t="shared" si="30"/>
        <v>51</v>
      </c>
      <c r="W110" s="132">
        <f t="shared" si="30"/>
        <v>51</v>
      </c>
      <c r="X110" s="132">
        <f t="shared" si="30"/>
        <v>51</v>
      </c>
      <c r="Y110" s="360"/>
      <c r="AA110" s="355">
        <f t="shared" si="28"/>
        <v>969</v>
      </c>
      <c r="AB110" s="356">
        <f t="shared" si="20"/>
        <v>484.5</v>
      </c>
    </row>
    <row r="111" spans="1:28" s="128" customFormat="1">
      <c r="AA111" s="355">
        <f t="shared" si="28"/>
        <v>0</v>
      </c>
      <c r="AB111" s="356">
        <f t="shared" si="20"/>
        <v>0</v>
      </c>
    </row>
    <row r="112" spans="1:28" s="128" customFormat="1">
      <c r="A112" s="103" t="s">
        <v>59</v>
      </c>
      <c r="AA112" s="355">
        <f t="shared" si="28"/>
        <v>0</v>
      </c>
      <c r="AB112" s="356">
        <f t="shared" si="20"/>
        <v>0</v>
      </c>
    </row>
    <row r="113" spans="1:28" s="128" customFormat="1">
      <c r="A113" s="104" t="s">
        <v>60</v>
      </c>
      <c r="D113" s="143">
        <f>D109</f>
        <v>21667.489403351487</v>
      </c>
      <c r="AA113" s="355">
        <f t="shared" si="28"/>
        <v>0</v>
      </c>
      <c r="AB113" s="356">
        <f t="shared" si="20"/>
        <v>0</v>
      </c>
    </row>
    <row r="114" spans="1:28" s="128" customFormat="1">
      <c r="A114" s="128" t="s">
        <v>61</v>
      </c>
      <c r="E114" s="144"/>
      <c r="F114" s="180">
        <v>0.2</v>
      </c>
      <c r="G114" s="180">
        <v>0.32</v>
      </c>
      <c r="H114" s="180">
        <v>0.192</v>
      </c>
      <c r="I114" s="180">
        <v>0.1152</v>
      </c>
      <c r="J114" s="180">
        <v>0.1152</v>
      </c>
      <c r="K114" s="180">
        <v>5.7599999999999998E-2</v>
      </c>
      <c r="L114" s="180">
        <v>0</v>
      </c>
      <c r="M114" s="180">
        <v>0</v>
      </c>
      <c r="N114" s="180">
        <v>0</v>
      </c>
      <c r="O114" s="180">
        <v>0</v>
      </c>
      <c r="P114" s="180">
        <v>0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45"/>
      <c r="AA114" s="355">
        <f t="shared" si="28"/>
        <v>0.99999999999999989</v>
      </c>
      <c r="AB114" s="356">
        <f t="shared" si="20"/>
        <v>0.49999999999999994</v>
      </c>
    </row>
    <row r="115" spans="1:28" s="128" customFormat="1">
      <c r="A115" s="128" t="s">
        <v>59</v>
      </c>
      <c r="F115" s="132">
        <f t="shared" ref="F115:X115" si="31">$D$113*F114</f>
        <v>4333.4978806702975</v>
      </c>
      <c r="G115" s="132">
        <f t="shared" si="31"/>
        <v>6933.596609072476</v>
      </c>
      <c r="H115" s="132">
        <f t="shared" si="31"/>
        <v>4160.1579654434854</v>
      </c>
      <c r="I115" s="132">
        <f t="shared" si="31"/>
        <v>2496.0947792660913</v>
      </c>
      <c r="J115" s="132">
        <f t="shared" si="31"/>
        <v>2496.0947792660913</v>
      </c>
      <c r="K115" s="132">
        <f t="shared" si="31"/>
        <v>1248.0473896330457</v>
      </c>
      <c r="L115" s="132">
        <f t="shared" si="31"/>
        <v>0</v>
      </c>
      <c r="M115" s="132">
        <f t="shared" si="31"/>
        <v>0</v>
      </c>
      <c r="N115" s="132">
        <f t="shared" si="31"/>
        <v>0</v>
      </c>
      <c r="O115" s="132">
        <f t="shared" si="31"/>
        <v>0</v>
      </c>
      <c r="P115" s="132">
        <f t="shared" si="31"/>
        <v>0</v>
      </c>
      <c r="Q115" s="132">
        <f t="shared" si="31"/>
        <v>0</v>
      </c>
      <c r="R115" s="132">
        <f t="shared" si="31"/>
        <v>0</v>
      </c>
      <c r="S115" s="132">
        <f t="shared" si="31"/>
        <v>0</v>
      </c>
      <c r="T115" s="132">
        <f t="shared" si="31"/>
        <v>0</v>
      </c>
      <c r="U115" s="132">
        <f t="shared" si="31"/>
        <v>0</v>
      </c>
      <c r="V115" s="132">
        <f t="shared" si="31"/>
        <v>0</v>
      </c>
      <c r="W115" s="132">
        <f t="shared" si="31"/>
        <v>0</v>
      </c>
      <c r="X115" s="132">
        <f t="shared" si="31"/>
        <v>0</v>
      </c>
      <c r="Y115" s="360"/>
      <c r="AA115" s="355">
        <f t="shared" si="28"/>
        <v>21667.489403351487</v>
      </c>
      <c r="AB115" s="356">
        <f t="shared" si="20"/>
        <v>10833.744701675743</v>
      </c>
    </row>
    <row r="116" spans="1:28" s="128" customFormat="1">
      <c r="A116" s="128" t="s">
        <v>138</v>
      </c>
      <c r="D116" s="143">
        <f>D110</f>
        <v>1535.8923585389291</v>
      </c>
      <c r="F116" s="132">
        <f>$D$116*F114</f>
        <v>307.17847170778583</v>
      </c>
      <c r="G116" s="132">
        <f t="shared" ref="G116:X116" si="32">$D$116*G114</f>
        <v>491.48555473245733</v>
      </c>
      <c r="H116" s="132">
        <f t="shared" si="32"/>
        <v>294.89133283947439</v>
      </c>
      <c r="I116" s="132">
        <f t="shared" si="32"/>
        <v>176.93479970368463</v>
      </c>
      <c r="J116" s="132">
        <f t="shared" si="32"/>
        <v>176.93479970368463</v>
      </c>
      <c r="K116" s="132">
        <f t="shared" si="32"/>
        <v>88.467399851842316</v>
      </c>
      <c r="L116" s="132">
        <f t="shared" si="32"/>
        <v>0</v>
      </c>
      <c r="M116" s="132">
        <f t="shared" si="32"/>
        <v>0</v>
      </c>
      <c r="N116" s="132">
        <f t="shared" si="32"/>
        <v>0</v>
      </c>
      <c r="O116" s="132">
        <f t="shared" si="32"/>
        <v>0</v>
      </c>
      <c r="P116" s="132">
        <f t="shared" si="32"/>
        <v>0</v>
      </c>
      <c r="Q116" s="132">
        <f t="shared" si="32"/>
        <v>0</v>
      </c>
      <c r="R116" s="132">
        <f t="shared" si="32"/>
        <v>0</v>
      </c>
      <c r="S116" s="132">
        <f t="shared" si="32"/>
        <v>0</v>
      </c>
      <c r="T116" s="132">
        <f t="shared" si="32"/>
        <v>0</v>
      </c>
      <c r="U116" s="132">
        <f t="shared" si="32"/>
        <v>0</v>
      </c>
      <c r="V116" s="132">
        <f t="shared" si="32"/>
        <v>0</v>
      </c>
      <c r="W116" s="132">
        <f t="shared" si="32"/>
        <v>0</v>
      </c>
      <c r="X116" s="132">
        <f t="shared" si="32"/>
        <v>0</v>
      </c>
      <c r="Y116" s="360"/>
      <c r="AA116" s="355">
        <f t="shared" si="28"/>
        <v>1535.8923585389291</v>
      </c>
      <c r="AB116" s="356">
        <f t="shared" si="20"/>
        <v>767.94617926946455</v>
      </c>
    </row>
    <row r="117" spans="1:28" s="128" customFormat="1">
      <c r="AA117" s="355">
        <f t="shared" si="28"/>
        <v>0</v>
      </c>
      <c r="AB117" s="356">
        <f t="shared" si="20"/>
        <v>0</v>
      </c>
    </row>
    <row r="118" spans="1:28" s="128" customFormat="1">
      <c r="AA118" s="355">
        <f t="shared" si="28"/>
        <v>0</v>
      </c>
      <c r="AB118" s="356">
        <f t="shared" si="20"/>
        <v>0</v>
      </c>
    </row>
    <row r="119" spans="1:28" s="128" customFormat="1" ht="13.5" thickBot="1">
      <c r="F119" s="99">
        <f>F107</f>
        <v>2001</v>
      </c>
      <c r="G119" s="99">
        <f t="shared" ref="G119:Y119" si="33">G107</f>
        <v>2002</v>
      </c>
      <c r="H119" s="99">
        <f t="shared" si="33"/>
        <v>2003</v>
      </c>
      <c r="I119" s="99">
        <f t="shared" si="33"/>
        <v>2004</v>
      </c>
      <c r="J119" s="99">
        <f t="shared" si="33"/>
        <v>2005</v>
      </c>
      <c r="K119" s="99">
        <f t="shared" si="33"/>
        <v>2006</v>
      </c>
      <c r="L119" s="99">
        <f t="shared" si="33"/>
        <v>2007</v>
      </c>
      <c r="M119" s="99">
        <f t="shared" si="33"/>
        <v>2008</v>
      </c>
      <c r="N119" s="99">
        <f t="shared" si="33"/>
        <v>2009</v>
      </c>
      <c r="O119" s="99">
        <f t="shared" si="33"/>
        <v>2010</v>
      </c>
      <c r="P119" s="99">
        <f t="shared" si="33"/>
        <v>2011</v>
      </c>
      <c r="Q119" s="99">
        <f t="shared" si="33"/>
        <v>2012</v>
      </c>
      <c r="R119" s="99">
        <f t="shared" si="33"/>
        <v>2013</v>
      </c>
      <c r="S119" s="99">
        <f t="shared" si="33"/>
        <v>2014</v>
      </c>
      <c r="T119" s="99">
        <f t="shared" si="33"/>
        <v>2015</v>
      </c>
      <c r="U119" s="99">
        <f t="shared" si="33"/>
        <v>2016</v>
      </c>
      <c r="V119" s="99">
        <f t="shared" si="33"/>
        <v>2017</v>
      </c>
      <c r="W119" s="99">
        <f t="shared" si="33"/>
        <v>2018</v>
      </c>
      <c r="X119" s="99">
        <f t="shared" si="33"/>
        <v>2019</v>
      </c>
      <c r="Y119" s="99">
        <f t="shared" si="33"/>
        <v>2020</v>
      </c>
      <c r="AA119" s="355">
        <f t="shared" si="28"/>
        <v>40210</v>
      </c>
      <c r="AB119" s="356">
        <f t="shared" si="20"/>
        <v>20105</v>
      </c>
    </row>
    <row r="120" spans="1:28" s="128" customFormat="1">
      <c r="A120" s="98" t="s">
        <v>62</v>
      </c>
      <c r="AA120" s="355">
        <f t="shared" si="28"/>
        <v>0</v>
      </c>
      <c r="AB120" s="356">
        <f t="shared" si="20"/>
        <v>0</v>
      </c>
    </row>
    <row r="121" spans="1:28" s="128" customFormat="1">
      <c r="A121" s="146" t="str">
        <f>A64</f>
        <v>EBITDA</v>
      </c>
      <c r="F121" s="132">
        <f>F39</f>
        <v>2170.3039195983179</v>
      </c>
      <c r="G121" s="132">
        <f t="shared" ref="G121:Y121" si="34">G39</f>
        <v>2163.9803092494813</v>
      </c>
      <c r="H121" s="132">
        <f t="shared" si="34"/>
        <v>2133.3573459280365</v>
      </c>
      <c r="I121" s="132">
        <f t="shared" si="34"/>
        <v>2098.8456862600333</v>
      </c>
      <c r="J121" s="132">
        <f>J39</f>
        <v>2328.689224439609</v>
      </c>
      <c r="K121" s="132">
        <f t="shared" si="34"/>
        <v>2383.4195286448039</v>
      </c>
      <c r="L121" s="132">
        <f t="shared" si="34"/>
        <v>2437.6027526094849</v>
      </c>
      <c r="M121" s="132">
        <f t="shared" si="34"/>
        <v>2491.2279728273957</v>
      </c>
      <c r="N121" s="132">
        <f t="shared" si="34"/>
        <v>2544.2840476750844</v>
      </c>
      <c r="O121" s="132">
        <f t="shared" si="34"/>
        <v>2596.7596130564252</v>
      </c>
      <c r="P121" s="132">
        <f t="shared" si="34"/>
        <v>2630.6501853453055</v>
      </c>
      <c r="Q121" s="132">
        <f t="shared" si="34"/>
        <v>2663.9368346991373</v>
      </c>
      <c r="R121" s="132">
        <f t="shared" si="34"/>
        <v>2696.6075025925629</v>
      </c>
      <c r="S121" s="132">
        <f t="shared" si="34"/>
        <v>2728.6498897184151</v>
      </c>
      <c r="T121" s="132">
        <f t="shared" si="34"/>
        <v>1950.9555255727464</v>
      </c>
      <c r="U121" s="132">
        <f t="shared" si="34"/>
        <v>2064.1592658360923</v>
      </c>
      <c r="V121" s="132">
        <f t="shared" si="34"/>
        <v>2231.7972757641246</v>
      </c>
      <c r="W121" s="132">
        <f t="shared" si="34"/>
        <v>1806.5637301421475</v>
      </c>
      <c r="X121" s="132">
        <f t="shared" si="34"/>
        <v>430.23042092311152</v>
      </c>
      <c r="Y121" s="132">
        <f t="shared" si="34"/>
        <v>0</v>
      </c>
      <c r="AA121" s="355">
        <f t="shared" si="28"/>
        <v>42552.021030882315</v>
      </c>
      <c r="AB121" s="356">
        <f t="shared" si="20"/>
        <v>21276.010515441158</v>
      </c>
    </row>
    <row r="122" spans="1:28" s="128" customFormat="1">
      <c r="A122" s="128" t="s">
        <v>63</v>
      </c>
      <c r="F122" s="132">
        <f>-F115</f>
        <v>-4333.4978806702975</v>
      </c>
      <c r="G122" s="132">
        <f t="shared" ref="G122:Y122" si="35">-G115</f>
        <v>-6933.596609072476</v>
      </c>
      <c r="H122" s="132">
        <f t="shared" si="35"/>
        <v>-4160.1579654434854</v>
      </c>
      <c r="I122" s="132">
        <f t="shared" si="35"/>
        <v>-2496.0947792660913</v>
      </c>
      <c r="J122" s="132">
        <f t="shared" si="35"/>
        <v>-2496.0947792660913</v>
      </c>
      <c r="K122" s="132">
        <f t="shared" si="35"/>
        <v>-1248.0473896330457</v>
      </c>
      <c r="L122" s="132">
        <f t="shared" si="35"/>
        <v>0</v>
      </c>
      <c r="M122" s="132">
        <f t="shared" si="35"/>
        <v>0</v>
      </c>
      <c r="N122" s="132">
        <f t="shared" si="35"/>
        <v>0</v>
      </c>
      <c r="O122" s="132">
        <f t="shared" si="35"/>
        <v>0</v>
      </c>
      <c r="P122" s="132">
        <f t="shared" si="35"/>
        <v>0</v>
      </c>
      <c r="Q122" s="132">
        <f t="shared" si="35"/>
        <v>0</v>
      </c>
      <c r="R122" s="132">
        <f t="shared" si="35"/>
        <v>0</v>
      </c>
      <c r="S122" s="132">
        <f t="shared" si="35"/>
        <v>0</v>
      </c>
      <c r="T122" s="132">
        <f t="shared" si="35"/>
        <v>0</v>
      </c>
      <c r="U122" s="132">
        <f t="shared" si="35"/>
        <v>0</v>
      </c>
      <c r="V122" s="132">
        <f t="shared" si="35"/>
        <v>0</v>
      </c>
      <c r="W122" s="132">
        <f t="shared" si="35"/>
        <v>0</v>
      </c>
      <c r="X122" s="132">
        <f t="shared" si="35"/>
        <v>0</v>
      </c>
      <c r="Y122" s="132">
        <f t="shared" si="35"/>
        <v>0</v>
      </c>
      <c r="AA122" s="355">
        <f t="shared" si="28"/>
        <v>-21667.489403351487</v>
      </c>
      <c r="AB122" s="356">
        <f t="shared" si="20"/>
        <v>-10833.744701675743</v>
      </c>
    </row>
    <row r="123" spans="1:28" s="128" customFormat="1">
      <c r="A123" s="128" t="s">
        <v>64</v>
      </c>
      <c r="F123" s="147">
        <f>-F46</f>
        <v>0</v>
      </c>
      <c r="G123" s="147">
        <f t="shared" ref="G123:Y123" si="36">-G46</f>
        <v>0</v>
      </c>
      <c r="H123" s="147">
        <f t="shared" si="36"/>
        <v>0</v>
      </c>
      <c r="I123" s="147">
        <f t="shared" si="36"/>
        <v>0</v>
      </c>
      <c r="J123" s="147">
        <f t="shared" si="36"/>
        <v>0</v>
      </c>
      <c r="K123" s="147">
        <f t="shared" si="36"/>
        <v>0</v>
      </c>
      <c r="L123" s="147">
        <f t="shared" si="36"/>
        <v>0</v>
      </c>
      <c r="M123" s="147">
        <f t="shared" si="36"/>
        <v>0</v>
      </c>
      <c r="N123" s="147">
        <f t="shared" si="36"/>
        <v>0</v>
      </c>
      <c r="O123" s="147">
        <f t="shared" si="36"/>
        <v>0</v>
      </c>
      <c r="P123" s="147">
        <f t="shared" si="36"/>
        <v>0</v>
      </c>
      <c r="Q123" s="147">
        <f t="shared" si="36"/>
        <v>0</v>
      </c>
      <c r="R123" s="147">
        <f t="shared" si="36"/>
        <v>0</v>
      </c>
      <c r="S123" s="147">
        <f t="shared" si="36"/>
        <v>0</v>
      </c>
      <c r="T123" s="147">
        <f t="shared" si="36"/>
        <v>0</v>
      </c>
      <c r="U123" s="147">
        <f t="shared" si="36"/>
        <v>0</v>
      </c>
      <c r="V123" s="147">
        <f t="shared" si="36"/>
        <v>0</v>
      </c>
      <c r="W123" s="147">
        <f t="shared" si="36"/>
        <v>0</v>
      </c>
      <c r="X123" s="147">
        <f t="shared" si="36"/>
        <v>0</v>
      </c>
      <c r="Y123" s="147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28" customFormat="1">
      <c r="A124" s="128" t="s">
        <v>65</v>
      </c>
      <c r="F124" s="132">
        <f>SUM(F121:F123)</f>
        <v>-2163.1939610719796</v>
      </c>
      <c r="G124" s="132">
        <f t="shared" ref="G124:Y124" si="37">SUM(G121:G123)</f>
        <v>-4769.6162998229947</v>
      </c>
      <c r="H124" s="132">
        <f t="shared" si="37"/>
        <v>-2026.8006195154489</v>
      </c>
      <c r="I124" s="132">
        <f t="shared" si="37"/>
        <v>-397.24909300605805</v>
      </c>
      <c r="J124" s="132">
        <f t="shared" si="37"/>
        <v>-167.40555482648233</v>
      </c>
      <c r="K124" s="132">
        <f t="shared" si="37"/>
        <v>1135.3721390117582</v>
      </c>
      <c r="L124" s="132">
        <f t="shared" si="37"/>
        <v>2437.6027526094849</v>
      </c>
      <c r="M124" s="132">
        <f t="shared" si="37"/>
        <v>2491.2279728273957</v>
      </c>
      <c r="N124" s="132">
        <f t="shared" si="37"/>
        <v>2544.2840476750844</v>
      </c>
      <c r="O124" s="132">
        <f t="shared" si="37"/>
        <v>2596.7596130564252</v>
      </c>
      <c r="P124" s="132">
        <f t="shared" si="37"/>
        <v>2630.6501853453055</v>
      </c>
      <c r="Q124" s="132">
        <f t="shared" si="37"/>
        <v>2663.9368346991373</v>
      </c>
      <c r="R124" s="132">
        <f t="shared" si="37"/>
        <v>2696.6075025925629</v>
      </c>
      <c r="S124" s="132">
        <f t="shared" si="37"/>
        <v>2728.6498897184151</v>
      </c>
      <c r="T124" s="132">
        <f t="shared" si="37"/>
        <v>1950.9555255727464</v>
      </c>
      <c r="U124" s="132">
        <f t="shared" si="37"/>
        <v>2064.1592658360923</v>
      </c>
      <c r="V124" s="132">
        <f t="shared" si="37"/>
        <v>2231.7972757641246</v>
      </c>
      <c r="W124" s="132">
        <f t="shared" si="37"/>
        <v>1806.5637301421475</v>
      </c>
      <c r="X124" s="132">
        <f t="shared" si="37"/>
        <v>430.23042092311152</v>
      </c>
      <c r="Y124" s="132">
        <f t="shared" si="37"/>
        <v>0</v>
      </c>
      <c r="AA124" s="355">
        <f t="shared" si="28"/>
        <v>20884.531627530832</v>
      </c>
      <c r="AB124" s="356">
        <f t="shared" si="20"/>
        <v>10442.265813765416</v>
      </c>
    </row>
    <row r="125" spans="1:28" s="128" customFormat="1">
      <c r="AA125" s="355">
        <f t="shared" si="28"/>
        <v>0</v>
      </c>
      <c r="AB125" s="356">
        <f t="shared" si="20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108.15969805359899</v>
      </c>
      <c r="G126" s="132">
        <f t="shared" ref="G126:Y126" si="38">-G124*$C$126</f>
        <v>238.48081499114974</v>
      </c>
      <c r="H126" s="132">
        <f t="shared" si="38"/>
        <v>101.34003097577245</v>
      </c>
      <c r="I126" s="132">
        <f t="shared" si="38"/>
        <v>19.862454650302904</v>
      </c>
      <c r="J126" s="132">
        <f t="shared" si="38"/>
        <v>8.3702777413241165</v>
      </c>
      <c r="K126" s="132">
        <f t="shared" si="38"/>
        <v>-56.768606950587916</v>
      </c>
      <c r="L126" s="132">
        <f t="shared" si="38"/>
        <v>-121.88013763047425</v>
      </c>
      <c r="M126" s="132">
        <f t="shared" si="38"/>
        <v>-124.56139864136979</v>
      </c>
      <c r="N126" s="132">
        <f t="shared" si="38"/>
        <v>-127.21420238375423</v>
      </c>
      <c r="O126" s="132">
        <f t="shared" si="38"/>
        <v>-129.83798065282127</v>
      </c>
      <c r="P126" s="132">
        <f t="shared" si="38"/>
        <v>-131.53250926726528</v>
      </c>
      <c r="Q126" s="132">
        <f t="shared" si="38"/>
        <v>-133.19684173495688</v>
      </c>
      <c r="R126" s="132">
        <f t="shared" si="38"/>
        <v>-134.83037512962815</v>
      </c>
      <c r="S126" s="132">
        <f t="shared" si="38"/>
        <v>-136.43249448592076</v>
      </c>
      <c r="T126" s="132">
        <f t="shared" si="38"/>
        <v>-97.547776278637329</v>
      </c>
      <c r="U126" s="132">
        <f t="shared" si="38"/>
        <v>-103.20796329180462</v>
      </c>
      <c r="V126" s="132">
        <f t="shared" si="38"/>
        <v>-111.58986378820623</v>
      </c>
      <c r="W126" s="132">
        <f t="shared" si="38"/>
        <v>-90.328186507107375</v>
      </c>
      <c r="X126" s="132">
        <f t="shared" si="38"/>
        <v>-21.511521046155579</v>
      </c>
      <c r="Y126" s="132">
        <f t="shared" si="38"/>
        <v>0</v>
      </c>
      <c r="AA126" s="355">
        <f t="shared" si="28"/>
        <v>-1044.2265813765414</v>
      </c>
      <c r="AB126" s="356">
        <f t="shared" si="20"/>
        <v>-522.11329068827069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719.26199205643309</v>
      </c>
      <c r="G127" s="132">
        <f t="shared" ref="G127:Y127" si="39">-(G124+G126)*$C$127</f>
        <v>1585.8974196911456</v>
      </c>
      <c r="H127" s="132">
        <f t="shared" si="39"/>
        <v>673.91120598888676</v>
      </c>
      <c r="I127" s="132">
        <f t="shared" si="39"/>
        <v>132.08532342451431</v>
      </c>
      <c r="J127" s="132">
        <f t="shared" si="39"/>
        <v>55.66234697980537</v>
      </c>
      <c r="K127" s="132">
        <f t="shared" si="39"/>
        <v>-377.5112362214096</v>
      </c>
      <c r="L127" s="132">
        <f t="shared" si="39"/>
        <v>-810.50291524265378</v>
      </c>
      <c r="M127" s="132">
        <f t="shared" si="39"/>
        <v>-828.33330096510906</v>
      </c>
      <c r="N127" s="132">
        <f t="shared" si="39"/>
        <v>-845.97444585196558</v>
      </c>
      <c r="O127" s="132">
        <f t="shared" si="39"/>
        <v>-863.42257134126123</v>
      </c>
      <c r="P127" s="132">
        <f t="shared" si="39"/>
        <v>-874.6911866273141</v>
      </c>
      <c r="Q127" s="132">
        <f t="shared" si="39"/>
        <v>-885.75899753746319</v>
      </c>
      <c r="R127" s="132">
        <f t="shared" si="39"/>
        <v>-896.62199461202715</v>
      </c>
      <c r="S127" s="132">
        <f t="shared" si="39"/>
        <v>-907.27608833137288</v>
      </c>
      <c r="T127" s="132">
        <f t="shared" si="39"/>
        <v>-648.69271225293812</v>
      </c>
      <c r="U127" s="132">
        <f t="shared" si="39"/>
        <v>-686.33295589050067</v>
      </c>
      <c r="V127" s="132">
        <f t="shared" si="39"/>
        <v>-742.07259419157128</v>
      </c>
      <c r="W127" s="132">
        <f t="shared" si="39"/>
        <v>-600.68244027226399</v>
      </c>
      <c r="X127" s="132">
        <f t="shared" si="39"/>
        <v>-143.05161495693457</v>
      </c>
      <c r="Y127" s="132">
        <f t="shared" si="39"/>
        <v>0</v>
      </c>
      <c r="AA127" s="355">
        <f t="shared" si="28"/>
        <v>-6944.1067661540001</v>
      </c>
      <c r="AB127" s="356">
        <f t="shared" si="20"/>
        <v>-3472.053383077</v>
      </c>
    </row>
    <row r="128" spans="1:28" s="128" customFormat="1">
      <c r="AA128" s="355">
        <f t="shared" si="28"/>
        <v>0</v>
      </c>
      <c r="AB128" s="356">
        <f t="shared" si="20"/>
        <v>0</v>
      </c>
    </row>
    <row r="129" spans="1:28" s="128" customFormat="1">
      <c r="AA129" s="355">
        <f t="shared" si="28"/>
        <v>0</v>
      </c>
      <c r="AB129" s="356">
        <f t="shared" si="20"/>
        <v>0</v>
      </c>
    </row>
    <row r="130" spans="1:28" s="128" customFormat="1">
      <c r="AA130" s="355">
        <f t="shared" si="28"/>
        <v>0</v>
      </c>
      <c r="AB130" s="356">
        <f t="shared" si="20"/>
        <v>0</v>
      </c>
    </row>
    <row r="131" spans="1:28" s="128" customFormat="1">
      <c r="AA131" s="355">
        <f t="shared" si="28"/>
        <v>0</v>
      </c>
      <c r="AB131" s="356">
        <f t="shared" si="20"/>
        <v>0</v>
      </c>
    </row>
    <row r="132" spans="1:28" s="128" customFormat="1">
      <c r="AA132" s="355">
        <f t="shared" si="28"/>
        <v>0</v>
      </c>
      <c r="AB132" s="356">
        <f t="shared" si="20"/>
        <v>0</v>
      </c>
    </row>
    <row r="133" spans="1:28" s="128" customFormat="1">
      <c r="AA133" s="355">
        <f t="shared" si="28"/>
        <v>0</v>
      </c>
      <c r="AB133" s="356">
        <f t="shared" si="20"/>
        <v>0</v>
      </c>
    </row>
    <row r="134" spans="1:28" s="128" customFormat="1">
      <c r="AA134" s="355">
        <f t="shared" si="28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0">G119</f>
        <v>2002</v>
      </c>
      <c r="H135" s="99">
        <f t="shared" si="40"/>
        <v>2003</v>
      </c>
      <c r="I135" s="99">
        <f t="shared" si="40"/>
        <v>2004</v>
      </c>
      <c r="J135" s="99">
        <f t="shared" si="40"/>
        <v>2005</v>
      </c>
      <c r="K135" s="99">
        <f t="shared" si="40"/>
        <v>2006</v>
      </c>
      <c r="L135" s="99">
        <f t="shared" si="40"/>
        <v>2007</v>
      </c>
      <c r="M135" s="99">
        <f t="shared" si="40"/>
        <v>2008</v>
      </c>
      <c r="N135" s="99">
        <f t="shared" si="40"/>
        <v>2009</v>
      </c>
      <c r="O135" s="99">
        <f t="shared" si="40"/>
        <v>2010</v>
      </c>
      <c r="P135" s="99">
        <f t="shared" si="40"/>
        <v>2011</v>
      </c>
      <c r="Q135" s="99">
        <f t="shared" si="40"/>
        <v>2012</v>
      </c>
      <c r="R135" s="99">
        <f t="shared" si="40"/>
        <v>2013</v>
      </c>
      <c r="S135" s="99">
        <f t="shared" si="40"/>
        <v>2014</v>
      </c>
      <c r="T135" s="99">
        <f t="shared" si="40"/>
        <v>2015</v>
      </c>
      <c r="U135" s="99">
        <f t="shared" si="40"/>
        <v>2016</v>
      </c>
      <c r="V135" s="99">
        <f t="shared" si="40"/>
        <v>2017</v>
      </c>
      <c r="W135" s="99">
        <f t="shared" si="40"/>
        <v>2018</v>
      </c>
      <c r="X135" s="99">
        <f t="shared" si="40"/>
        <v>2019</v>
      </c>
      <c r="Y135" s="9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28" customFormat="1">
      <c r="AA136" s="355">
        <f t="shared" si="28"/>
        <v>0</v>
      </c>
      <c r="AB136" s="356">
        <f t="shared" si="41"/>
        <v>0</v>
      </c>
    </row>
    <row r="137" spans="1:28" s="128" customFormat="1">
      <c r="A137" s="128" t="s">
        <v>78</v>
      </c>
      <c r="F137" s="181">
        <f>F46</f>
        <v>0</v>
      </c>
      <c r="G137" s="181">
        <f t="shared" ref="G137:Y137" si="42">G46</f>
        <v>0</v>
      </c>
      <c r="H137" s="181">
        <f t="shared" si="42"/>
        <v>0</v>
      </c>
      <c r="I137" s="181">
        <f t="shared" si="42"/>
        <v>0</v>
      </c>
      <c r="J137" s="181">
        <f t="shared" si="42"/>
        <v>0</v>
      </c>
      <c r="K137" s="181">
        <f t="shared" si="42"/>
        <v>0</v>
      </c>
      <c r="L137" s="181">
        <f t="shared" si="42"/>
        <v>0</v>
      </c>
      <c r="M137" s="181">
        <f t="shared" si="42"/>
        <v>0</v>
      </c>
      <c r="N137" s="181">
        <f t="shared" si="42"/>
        <v>0</v>
      </c>
      <c r="O137" s="181">
        <f t="shared" si="42"/>
        <v>0</v>
      </c>
      <c r="P137" s="181">
        <f t="shared" si="42"/>
        <v>0</v>
      </c>
      <c r="Q137" s="181">
        <f t="shared" si="42"/>
        <v>0</v>
      </c>
      <c r="R137" s="181">
        <f t="shared" si="42"/>
        <v>0</v>
      </c>
      <c r="S137" s="181">
        <f t="shared" si="42"/>
        <v>0</v>
      </c>
      <c r="T137" s="181">
        <f t="shared" si="42"/>
        <v>0</v>
      </c>
      <c r="U137" s="181">
        <f t="shared" si="42"/>
        <v>0</v>
      </c>
      <c r="V137" s="181">
        <f t="shared" si="42"/>
        <v>0</v>
      </c>
      <c r="W137" s="181">
        <f t="shared" si="42"/>
        <v>0</v>
      </c>
      <c r="X137" s="181">
        <f t="shared" si="42"/>
        <v>0</v>
      </c>
      <c r="Y137" s="181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28" customFormat="1">
      <c r="A138" s="128" t="s">
        <v>67</v>
      </c>
      <c r="F138" s="147">
        <f t="shared" ref="F138:Y138" si="43">SUM(F33:F35)</f>
        <v>52.02</v>
      </c>
      <c r="G138" s="147">
        <f t="shared" si="43"/>
        <v>53.060400000000001</v>
      </c>
      <c r="H138" s="147">
        <f t="shared" si="43"/>
        <v>54.121608000000002</v>
      </c>
      <c r="I138" s="147">
        <f t="shared" si="43"/>
        <v>55.204040160000005</v>
      </c>
      <c r="J138" s="147">
        <f t="shared" si="43"/>
        <v>56.308120963200004</v>
      </c>
      <c r="K138" s="147">
        <f t="shared" si="43"/>
        <v>57.434283382464002</v>
      </c>
      <c r="L138" s="147">
        <f t="shared" si="43"/>
        <v>58.582969050113284</v>
      </c>
      <c r="M138" s="147">
        <f t="shared" si="43"/>
        <v>59.754628431115549</v>
      </c>
      <c r="N138" s="147">
        <f t="shared" si="43"/>
        <v>60.949720999737863</v>
      </c>
      <c r="O138" s="147">
        <f t="shared" si="43"/>
        <v>62.168715419732621</v>
      </c>
      <c r="P138" s="147">
        <f t="shared" si="43"/>
        <v>63.412089728127278</v>
      </c>
      <c r="Q138" s="147">
        <f t="shared" si="43"/>
        <v>64.680331522689826</v>
      </c>
      <c r="R138" s="147">
        <f t="shared" si="43"/>
        <v>65.973938153143621</v>
      </c>
      <c r="S138" s="147">
        <f t="shared" si="43"/>
        <v>67.293416916206496</v>
      </c>
      <c r="T138" s="147">
        <f t="shared" si="43"/>
        <v>68.639285254530634</v>
      </c>
      <c r="U138" s="147">
        <f t="shared" si="43"/>
        <v>70.012070959621255</v>
      </c>
      <c r="V138" s="147">
        <f t="shared" si="43"/>
        <v>71.412312378813681</v>
      </c>
      <c r="W138" s="147">
        <f t="shared" si="43"/>
        <v>50.489483102675777</v>
      </c>
      <c r="X138" s="147">
        <f t="shared" si="43"/>
        <v>0</v>
      </c>
      <c r="Y138" s="147">
        <f t="shared" si="43"/>
        <v>0</v>
      </c>
      <c r="AA138" s="355">
        <f t="shared" si="28"/>
        <v>1091.5174144221719</v>
      </c>
      <c r="AB138" s="356">
        <f t="shared" si="41"/>
        <v>1091.5174144221719</v>
      </c>
    </row>
    <row r="139" spans="1:28" s="128" customFormat="1">
      <c r="A139" s="128" t="s">
        <v>68</v>
      </c>
      <c r="F139" s="132">
        <f>F137+F138</f>
        <v>52.02</v>
      </c>
      <c r="G139" s="132">
        <f t="shared" ref="G139:Y139" si="44">G137+G138</f>
        <v>53.060400000000001</v>
      </c>
      <c r="H139" s="132">
        <f t="shared" si="44"/>
        <v>54.121608000000002</v>
      </c>
      <c r="I139" s="132">
        <f t="shared" si="44"/>
        <v>55.204040160000005</v>
      </c>
      <c r="J139" s="132">
        <f t="shared" si="44"/>
        <v>56.308120963200004</v>
      </c>
      <c r="K139" s="132">
        <f t="shared" si="44"/>
        <v>57.434283382464002</v>
      </c>
      <c r="L139" s="132">
        <f t="shared" si="44"/>
        <v>58.582969050113284</v>
      </c>
      <c r="M139" s="132">
        <f t="shared" si="44"/>
        <v>59.754628431115549</v>
      </c>
      <c r="N139" s="132">
        <f t="shared" si="44"/>
        <v>60.949720999737863</v>
      </c>
      <c r="O139" s="132">
        <f t="shared" si="44"/>
        <v>62.168715419732621</v>
      </c>
      <c r="P139" s="132">
        <f t="shared" si="44"/>
        <v>63.412089728127278</v>
      </c>
      <c r="Q139" s="132">
        <f t="shared" si="44"/>
        <v>64.680331522689826</v>
      </c>
      <c r="R139" s="132">
        <f t="shared" si="44"/>
        <v>65.973938153143621</v>
      </c>
      <c r="S139" s="132">
        <f t="shared" si="44"/>
        <v>67.293416916206496</v>
      </c>
      <c r="T139" s="132">
        <f t="shared" si="44"/>
        <v>68.639285254530634</v>
      </c>
      <c r="U139" s="132">
        <f t="shared" si="44"/>
        <v>70.012070959621255</v>
      </c>
      <c r="V139" s="132">
        <f t="shared" si="44"/>
        <v>71.412312378813681</v>
      </c>
      <c r="W139" s="132">
        <f t="shared" si="44"/>
        <v>50.489483102675777</v>
      </c>
      <c r="X139" s="132">
        <f t="shared" si="44"/>
        <v>0</v>
      </c>
      <c r="Y139" s="132">
        <f t="shared" si="44"/>
        <v>0</v>
      </c>
      <c r="AA139" s="355">
        <f t="shared" si="28"/>
        <v>1091.5174144221719</v>
      </c>
      <c r="AB139" s="356">
        <f t="shared" si="41"/>
        <v>1091.5174144221719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2.6010000000000004</v>
      </c>
      <c r="G140" s="132">
        <f t="shared" ref="G140:Y140" si="45">G139*$C$140</f>
        <v>2.6530200000000002</v>
      </c>
      <c r="H140" s="132">
        <f t="shared" si="45"/>
        <v>2.7060804000000003</v>
      </c>
      <c r="I140" s="132">
        <f t="shared" si="45"/>
        <v>2.7602020080000003</v>
      </c>
      <c r="J140" s="132">
        <f t="shared" si="45"/>
        <v>2.8154060481600003</v>
      </c>
      <c r="K140" s="132">
        <f t="shared" si="45"/>
        <v>2.8717141691232002</v>
      </c>
      <c r="L140" s="132">
        <f t="shared" si="45"/>
        <v>2.9291484525056646</v>
      </c>
      <c r="M140" s="132">
        <f t="shared" si="45"/>
        <v>2.9877314215557775</v>
      </c>
      <c r="N140" s="132">
        <f t="shared" si="45"/>
        <v>3.0474860499868934</v>
      </c>
      <c r="O140" s="132">
        <f t="shared" si="45"/>
        <v>3.108435770986631</v>
      </c>
      <c r="P140" s="132">
        <f t="shared" si="45"/>
        <v>3.1706044864063641</v>
      </c>
      <c r="Q140" s="132">
        <f t="shared" si="45"/>
        <v>3.2340165761344917</v>
      </c>
      <c r="R140" s="132">
        <f t="shared" si="45"/>
        <v>3.298696907657181</v>
      </c>
      <c r="S140" s="132">
        <f t="shared" si="45"/>
        <v>3.3646708458103252</v>
      </c>
      <c r="T140" s="132">
        <f t="shared" si="45"/>
        <v>3.4319642627265319</v>
      </c>
      <c r="U140" s="132">
        <f t="shared" si="45"/>
        <v>3.5006035479810631</v>
      </c>
      <c r="V140" s="132">
        <f t="shared" si="45"/>
        <v>3.5706156189406841</v>
      </c>
      <c r="W140" s="132">
        <f t="shared" si="45"/>
        <v>2.524474155133789</v>
      </c>
      <c r="X140" s="132">
        <f t="shared" si="45"/>
        <v>0</v>
      </c>
      <c r="Y140" s="132">
        <f t="shared" si="45"/>
        <v>0</v>
      </c>
      <c r="AA140" s="355">
        <f t="shared" si="28"/>
        <v>54.5758707211086</v>
      </c>
      <c r="AB140" s="356">
        <f t="shared" si="41"/>
        <v>54.5758707211086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17.29665</v>
      </c>
      <c r="G141" s="147">
        <f t="shared" ref="G141:Y141" si="46">(G139-G140)*$C$141</f>
        <v>17.642582999999998</v>
      </c>
      <c r="H141" s="147">
        <f t="shared" si="46"/>
        <v>17.995434660000001</v>
      </c>
      <c r="I141" s="147">
        <f t="shared" si="46"/>
        <v>18.355343353200002</v>
      </c>
      <c r="J141" s="147">
        <f t="shared" si="46"/>
        <v>18.722450220264001</v>
      </c>
      <c r="K141" s="147">
        <f t="shared" si="46"/>
        <v>19.096899224669279</v>
      </c>
      <c r="L141" s="147">
        <f t="shared" si="46"/>
        <v>19.478837209162666</v>
      </c>
      <c r="M141" s="147">
        <f t="shared" si="46"/>
        <v>19.868413953345918</v>
      </c>
      <c r="N141" s="147">
        <f t="shared" si="46"/>
        <v>20.265782232412839</v>
      </c>
      <c r="O141" s="147">
        <f t="shared" si="46"/>
        <v>20.671097877061094</v>
      </c>
      <c r="P141" s="147">
        <f t="shared" si="46"/>
        <v>21.084519834602318</v>
      </c>
      <c r="Q141" s="147">
        <f t="shared" si="46"/>
        <v>21.506210231294364</v>
      </c>
      <c r="R141" s="147">
        <f t="shared" si="46"/>
        <v>21.936334435920251</v>
      </c>
      <c r="S141" s="147">
        <f t="shared" si="46"/>
        <v>22.375061124638659</v>
      </c>
      <c r="T141" s="147">
        <f t="shared" si="46"/>
        <v>22.822562347131431</v>
      </c>
      <c r="U141" s="147">
        <f t="shared" si="46"/>
        <v>23.279013594074069</v>
      </c>
      <c r="V141" s="147">
        <f t="shared" si="46"/>
        <v>23.744593865955551</v>
      </c>
      <c r="W141" s="147">
        <f t="shared" si="46"/>
        <v>16.787753131639697</v>
      </c>
      <c r="X141" s="147">
        <f t="shared" si="46"/>
        <v>0</v>
      </c>
      <c r="Y141" s="147">
        <f t="shared" si="46"/>
        <v>0</v>
      </c>
      <c r="AA141" s="355">
        <f t="shared" si="28"/>
        <v>362.92954029537214</v>
      </c>
      <c r="AB141" s="356">
        <f t="shared" si="41"/>
        <v>362.92954029537214</v>
      </c>
    </row>
    <row r="142" spans="1:28" s="128" customFormat="1">
      <c r="A142" s="128" t="s">
        <v>71</v>
      </c>
      <c r="F142" s="132">
        <f>F139-F140-F141</f>
        <v>32.122350000000004</v>
      </c>
      <c r="G142" s="132">
        <f t="shared" ref="G142:Y142" si="47">G139-G140-G141</f>
        <v>32.764797000000002</v>
      </c>
      <c r="H142" s="132">
        <f t="shared" si="47"/>
        <v>33.420092940000004</v>
      </c>
      <c r="I142" s="132">
        <f t="shared" si="47"/>
        <v>34.088494798799999</v>
      </c>
      <c r="J142" s="132">
        <f t="shared" si="47"/>
        <v>34.770264694776003</v>
      </c>
      <c r="K142" s="132">
        <f t="shared" si="47"/>
        <v>35.465669988671522</v>
      </c>
      <c r="L142" s="132">
        <f t="shared" si="47"/>
        <v>36.174983388444957</v>
      </c>
      <c r="M142" s="132">
        <f t="shared" si="47"/>
        <v>36.898483056213848</v>
      </c>
      <c r="N142" s="132">
        <f t="shared" si="47"/>
        <v>37.63645271733813</v>
      </c>
      <c r="O142" s="132">
        <f t="shared" si="47"/>
        <v>38.389181771684896</v>
      </c>
      <c r="P142" s="132">
        <f t="shared" si="47"/>
        <v>39.156965407118598</v>
      </c>
      <c r="Q142" s="132">
        <f t="shared" si="47"/>
        <v>39.940104715260972</v>
      </c>
      <c r="R142" s="132">
        <f t="shared" si="47"/>
        <v>40.738906809566188</v>
      </c>
      <c r="S142" s="132">
        <f t="shared" si="47"/>
        <v>41.55368494575751</v>
      </c>
      <c r="T142" s="132">
        <f t="shared" si="47"/>
        <v>42.384758644672665</v>
      </c>
      <c r="U142" s="132">
        <f t="shared" si="47"/>
        <v>43.232453817566125</v>
      </c>
      <c r="V142" s="132">
        <f t="shared" si="47"/>
        <v>44.097102893917452</v>
      </c>
      <c r="W142" s="132">
        <f t="shared" si="47"/>
        <v>31.177255815902292</v>
      </c>
      <c r="X142" s="132">
        <f t="shared" si="47"/>
        <v>0</v>
      </c>
      <c r="Y142" s="132">
        <f t="shared" si="47"/>
        <v>0</v>
      </c>
      <c r="AA142" s="355">
        <f t="shared" si="28"/>
        <v>674.01200340569108</v>
      </c>
      <c r="AB142" s="356">
        <f t="shared" si="41"/>
        <v>674.01200340569108</v>
      </c>
    </row>
    <row r="143" spans="1:28" s="128" customFormat="1">
      <c r="AA143" s="355">
        <f t="shared" si="28"/>
        <v>0</v>
      </c>
      <c r="AB143" s="356">
        <f t="shared" si="41"/>
        <v>0</v>
      </c>
    </row>
    <row r="144" spans="1:28" s="128" customFormat="1">
      <c r="A144" s="146" t="str">
        <f>A76</f>
        <v>Net Income to FPLE</v>
      </c>
      <c r="F144" s="149">
        <f>F76</f>
        <v>834.19370466938869</v>
      </c>
      <c r="G144" s="149">
        <f t="shared" ref="G144:Y144" si="48">G76</f>
        <v>853.74294939048593</v>
      </c>
      <c r="H144" s="149">
        <f t="shared" si="48"/>
        <v>844.28810946498982</v>
      </c>
      <c r="I144" s="149">
        <f t="shared" si="48"/>
        <v>557.36677034621607</v>
      </c>
      <c r="J144" s="149">
        <f t="shared" si="48"/>
        <v>496.06529804572926</v>
      </c>
      <c r="K144" s="149">
        <f t="shared" si="48"/>
        <v>512.9632794690832</v>
      </c>
      <c r="L144" s="149">
        <f t="shared" si="48"/>
        <v>529.69234986817855</v>
      </c>
      <c r="M144" s="149">
        <f t="shared" si="48"/>
        <v>546.24913661045844</v>
      </c>
      <c r="N144" s="149">
        <f t="shared" si="48"/>
        <v>562.63019971968231</v>
      </c>
      <c r="O144" s="149">
        <f t="shared" si="48"/>
        <v>578.83203053117131</v>
      </c>
      <c r="P144" s="149">
        <f t="shared" si="48"/>
        <v>589.29574472536319</v>
      </c>
      <c r="Q144" s="149">
        <f t="shared" si="48"/>
        <v>599.57299771335875</v>
      </c>
      <c r="R144" s="149">
        <f t="shared" si="48"/>
        <v>609.66006642545381</v>
      </c>
      <c r="S144" s="149">
        <f t="shared" si="48"/>
        <v>619.55315345056067</v>
      </c>
      <c r="T144" s="149">
        <f t="shared" si="48"/>
        <v>379.44001852058545</v>
      </c>
      <c r="U144" s="149">
        <f t="shared" si="48"/>
        <v>414.39167332689351</v>
      </c>
      <c r="V144" s="149">
        <f t="shared" si="48"/>
        <v>466.14990889217347</v>
      </c>
      <c r="W144" s="149">
        <f t="shared" si="48"/>
        <v>334.859051681388</v>
      </c>
      <c r="X144" s="149">
        <f t="shared" si="48"/>
        <v>-90.083857539989324</v>
      </c>
      <c r="Y144" s="149">
        <f t="shared" si="48"/>
        <v>0</v>
      </c>
      <c r="AA144" s="355">
        <f t="shared" si="28"/>
        <v>10238.862585311173</v>
      </c>
      <c r="AB144" s="356">
        <f t="shared" si="41"/>
        <v>10238.862585311173</v>
      </c>
    </row>
    <row r="145" spans="1:28" s="128" customFormat="1">
      <c r="A145" s="103" t="s">
        <v>79</v>
      </c>
      <c r="F145" s="142">
        <f>F142+F144</f>
        <v>866.31605466938868</v>
      </c>
      <c r="G145" s="142">
        <f t="shared" ref="G145:Y145" si="49">G142+G144</f>
        <v>886.50774639048598</v>
      </c>
      <c r="H145" s="142">
        <f t="shared" si="49"/>
        <v>877.70820240498983</v>
      </c>
      <c r="I145" s="142">
        <f t="shared" si="49"/>
        <v>591.45526514501603</v>
      </c>
      <c r="J145" s="142">
        <f t="shared" si="49"/>
        <v>530.83556274050522</v>
      </c>
      <c r="K145" s="142">
        <f t="shared" si="49"/>
        <v>548.4289494577547</v>
      </c>
      <c r="L145" s="142">
        <f t="shared" si="49"/>
        <v>565.86733325662351</v>
      </c>
      <c r="M145" s="142">
        <f t="shared" si="49"/>
        <v>583.14761966667231</v>
      </c>
      <c r="N145" s="142">
        <f t="shared" si="49"/>
        <v>600.26665243702041</v>
      </c>
      <c r="O145" s="142">
        <f t="shared" si="49"/>
        <v>617.2212123028562</v>
      </c>
      <c r="P145" s="142">
        <f t="shared" si="49"/>
        <v>628.4527101324818</v>
      </c>
      <c r="Q145" s="142">
        <f t="shared" si="49"/>
        <v>639.51310242861973</v>
      </c>
      <c r="R145" s="142">
        <f t="shared" si="49"/>
        <v>650.39897323501998</v>
      </c>
      <c r="S145" s="142">
        <f t="shared" si="49"/>
        <v>661.10683839631815</v>
      </c>
      <c r="T145" s="142">
        <f t="shared" si="49"/>
        <v>421.82477716525813</v>
      </c>
      <c r="U145" s="142">
        <f t="shared" si="49"/>
        <v>457.62412714445964</v>
      </c>
      <c r="V145" s="142">
        <f t="shared" si="49"/>
        <v>510.24701178609092</v>
      </c>
      <c r="W145" s="142">
        <f t="shared" si="49"/>
        <v>366.0363074972903</v>
      </c>
      <c r="X145" s="142">
        <f t="shared" si="49"/>
        <v>-90.083857539989324</v>
      </c>
      <c r="Y145" s="142">
        <f t="shared" si="49"/>
        <v>0</v>
      </c>
      <c r="AA145" s="355">
        <f t="shared" si="28"/>
        <v>10912.874588716864</v>
      </c>
      <c r="AB145" s="356">
        <f t="shared" si="41"/>
        <v>10912.874588716864</v>
      </c>
    </row>
    <row r="146" spans="1:28" s="128" customFormat="1">
      <c r="AA146" s="355">
        <f t="shared" si="28"/>
        <v>0</v>
      </c>
      <c r="AB146" s="356">
        <f t="shared" si="41"/>
        <v>0</v>
      </c>
    </row>
    <row r="147" spans="1:28" s="128" customFormat="1">
      <c r="AA147" s="355">
        <f t="shared" si="28"/>
        <v>0</v>
      </c>
      <c r="AB147" s="356">
        <f t="shared" si="41"/>
        <v>0</v>
      </c>
    </row>
    <row r="148" spans="1:28" s="128" customFormat="1">
      <c r="AA148" s="355">
        <f t="shared" si="28"/>
        <v>0</v>
      </c>
      <c r="AB148" s="356">
        <f t="shared" si="41"/>
        <v>0</v>
      </c>
    </row>
    <row r="149" spans="1:28" s="128" customFormat="1">
      <c r="A149" s="105" t="s">
        <v>110</v>
      </c>
      <c r="AA149" s="355">
        <f t="shared" si="28"/>
        <v>0</v>
      </c>
      <c r="AB149" s="356">
        <f t="shared" si="41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32.122350000000004</v>
      </c>
      <c r="G150" s="129">
        <f t="shared" ref="G150:Y150" si="50">G142</f>
        <v>32.764797000000002</v>
      </c>
      <c r="H150" s="129">
        <f t="shared" si="50"/>
        <v>33.420092940000004</v>
      </c>
      <c r="I150" s="129">
        <f t="shared" si="50"/>
        <v>34.088494798799999</v>
      </c>
      <c r="J150" s="129">
        <f t="shared" si="50"/>
        <v>34.770264694776003</v>
      </c>
      <c r="K150" s="129">
        <f t="shared" si="50"/>
        <v>35.465669988671522</v>
      </c>
      <c r="L150" s="129">
        <f t="shared" si="50"/>
        <v>36.174983388444957</v>
      </c>
      <c r="M150" s="129">
        <f t="shared" si="50"/>
        <v>36.898483056213848</v>
      </c>
      <c r="N150" s="129">
        <f t="shared" si="50"/>
        <v>37.63645271733813</v>
      </c>
      <c r="O150" s="129">
        <f t="shared" si="50"/>
        <v>38.389181771684896</v>
      </c>
      <c r="P150" s="129">
        <f t="shared" si="50"/>
        <v>39.156965407118598</v>
      </c>
      <c r="Q150" s="129">
        <f t="shared" si="50"/>
        <v>39.940104715260972</v>
      </c>
      <c r="R150" s="129">
        <f t="shared" si="50"/>
        <v>40.738906809566188</v>
      </c>
      <c r="S150" s="129">
        <f t="shared" si="50"/>
        <v>41.55368494575751</v>
      </c>
      <c r="T150" s="129">
        <f t="shared" si="50"/>
        <v>42.384758644672665</v>
      </c>
      <c r="U150" s="129">
        <f t="shared" si="50"/>
        <v>43.232453817566125</v>
      </c>
      <c r="V150" s="129">
        <f t="shared" si="50"/>
        <v>44.097102893917452</v>
      </c>
      <c r="W150" s="129">
        <f t="shared" si="50"/>
        <v>31.177255815902292</v>
      </c>
      <c r="X150" s="129">
        <f t="shared" si="50"/>
        <v>0</v>
      </c>
      <c r="Y150" s="129">
        <f t="shared" si="50"/>
        <v>0</v>
      </c>
      <c r="AA150" s="355">
        <f t="shared" si="28"/>
        <v>674.01200340569108</v>
      </c>
      <c r="AB150" s="356">
        <f t="shared" si="41"/>
        <v>674.01200340569108</v>
      </c>
    </row>
    <row r="151" spans="1:28" s="128" customFormat="1">
      <c r="A151" s="128" t="s">
        <v>111</v>
      </c>
      <c r="F151" s="182">
        <v>0</v>
      </c>
      <c r="G151" s="182">
        <v>0</v>
      </c>
      <c r="H151" s="182">
        <v>0</v>
      </c>
      <c r="I151" s="182">
        <v>0</v>
      </c>
      <c r="J151" s="182">
        <v>0</v>
      </c>
      <c r="K151" s="182">
        <v>0</v>
      </c>
      <c r="L151" s="182">
        <v>0</v>
      </c>
      <c r="M151" s="182">
        <v>0</v>
      </c>
      <c r="N151" s="182">
        <v>0</v>
      </c>
      <c r="O151" s="182">
        <v>0</v>
      </c>
      <c r="P151" s="182">
        <v>0</v>
      </c>
      <c r="Q151" s="182">
        <v>0</v>
      </c>
      <c r="R151" s="182">
        <v>0</v>
      </c>
      <c r="S151" s="182">
        <v>0</v>
      </c>
      <c r="T151" s="182">
        <v>0</v>
      </c>
      <c r="U151" s="182">
        <v>0</v>
      </c>
      <c r="V151" s="182">
        <v>0</v>
      </c>
      <c r="W151" s="182">
        <v>0</v>
      </c>
      <c r="X151" s="182">
        <v>0</v>
      </c>
      <c r="Y151" s="182">
        <v>0</v>
      </c>
      <c r="AA151" s="355">
        <f t="shared" si="28"/>
        <v>0</v>
      </c>
      <c r="AB151" s="356">
        <f t="shared" si="41"/>
        <v>0</v>
      </c>
    </row>
    <row r="152" spans="1:28" s="128" customFormat="1">
      <c r="F152" s="129">
        <f>F150+F151</f>
        <v>32.122350000000004</v>
      </c>
      <c r="G152" s="129">
        <f t="shared" ref="G152:Y152" si="51">G150+G151</f>
        <v>32.764797000000002</v>
      </c>
      <c r="H152" s="129">
        <f t="shared" si="51"/>
        <v>33.420092940000004</v>
      </c>
      <c r="I152" s="129">
        <f t="shared" si="51"/>
        <v>34.088494798799999</v>
      </c>
      <c r="J152" s="129">
        <f t="shared" si="51"/>
        <v>34.770264694776003</v>
      </c>
      <c r="K152" s="129">
        <f t="shared" si="51"/>
        <v>35.465669988671522</v>
      </c>
      <c r="L152" s="129">
        <f t="shared" si="51"/>
        <v>36.174983388444957</v>
      </c>
      <c r="M152" s="129">
        <f t="shared" si="51"/>
        <v>36.898483056213848</v>
      </c>
      <c r="N152" s="129">
        <f t="shared" si="51"/>
        <v>37.63645271733813</v>
      </c>
      <c r="O152" s="129">
        <f t="shared" si="51"/>
        <v>38.389181771684896</v>
      </c>
      <c r="P152" s="129">
        <f t="shared" si="51"/>
        <v>39.156965407118598</v>
      </c>
      <c r="Q152" s="129">
        <f t="shared" si="51"/>
        <v>39.940104715260972</v>
      </c>
      <c r="R152" s="129">
        <f t="shared" si="51"/>
        <v>40.738906809566188</v>
      </c>
      <c r="S152" s="129">
        <f t="shared" si="51"/>
        <v>41.55368494575751</v>
      </c>
      <c r="T152" s="129">
        <f t="shared" si="51"/>
        <v>42.384758644672665</v>
      </c>
      <c r="U152" s="129">
        <f t="shared" si="51"/>
        <v>43.232453817566125</v>
      </c>
      <c r="V152" s="129">
        <f t="shared" si="51"/>
        <v>44.097102893917452</v>
      </c>
      <c r="W152" s="129">
        <f t="shared" si="51"/>
        <v>31.177255815902292</v>
      </c>
      <c r="X152" s="129">
        <f t="shared" si="51"/>
        <v>0</v>
      </c>
      <c r="Y152" s="129">
        <f t="shared" si="51"/>
        <v>0</v>
      </c>
      <c r="AA152" s="355">
        <f t="shared" si="28"/>
        <v>674.01200340569108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317.02222871353604</v>
      </c>
    </row>
    <row r="156" spans="1:28" s="128" customFormat="1" ht="13.5" thickBot="1">
      <c r="A156" s="128" t="s">
        <v>48</v>
      </c>
      <c r="C156" s="152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12037.494112973049</v>
      </c>
    </row>
    <row r="161" spans="1:25" s="128" customFormat="1">
      <c r="A161" s="108" t="s">
        <v>74</v>
      </c>
      <c r="B161" s="109"/>
      <c r="C161" s="109"/>
      <c r="D161" s="183">
        <v>0</v>
      </c>
      <c r="F161" s="150"/>
    </row>
    <row r="162" spans="1:25" s="128" customFormat="1">
      <c r="A162" s="108" t="s">
        <v>75</v>
      </c>
      <c r="B162" s="109"/>
      <c r="C162" s="109"/>
      <c r="D162" s="111">
        <f>C155-D161</f>
        <v>317.02222871353604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12354.516341686585</v>
      </c>
      <c r="K163" s="6"/>
      <c r="L163" s="31"/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K164" s="6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 t="s">
        <v>156</v>
      </c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 t="s">
        <v>157</v>
      </c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 t="s">
        <v>158</v>
      </c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 t="s">
        <v>159</v>
      </c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6" t="s">
        <v>160</v>
      </c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6" t="s">
        <v>207</v>
      </c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>
      <c r="A175" s="6" t="s">
        <v>186</v>
      </c>
    </row>
    <row r="176" spans="1:25" outlineLevel="1">
      <c r="A176" s="6" t="s">
        <v>189</v>
      </c>
      <c r="B176" s="6"/>
      <c r="C176" s="415">
        <f>E57</f>
        <v>0.34652150550041011</v>
      </c>
      <c r="D176" s="31" t="s">
        <v>206</v>
      </c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 t="s">
        <v>164</v>
      </c>
      <c r="B177" s="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 t="s">
        <v>179</v>
      </c>
      <c r="B178" s="6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 t="s">
        <v>163</v>
      </c>
      <c r="B179" s="6"/>
      <c r="C179" s="31"/>
      <c r="D179" s="31"/>
      <c r="E179" s="31"/>
      <c r="F179" s="31"/>
      <c r="G179" s="31"/>
      <c r="H179" s="31"/>
      <c r="I179" s="31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6" t="s">
        <v>208</v>
      </c>
      <c r="B180" s="6"/>
      <c r="C180" s="31"/>
      <c r="D180" s="31"/>
      <c r="E180" s="31"/>
      <c r="F180" s="31"/>
      <c r="G180" s="31"/>
      <c r="H180" s="31"/>
      <c r="I180" s="31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6" t="s">
        <v>166</v>
      </c>
      <c r="B181" s="6"/>
      <c r="C181" s="31"/>
      <c r="D181" s="31"/>
      <c r="E181" s="31"/>
      <c r="F181" s="31"/>
      <c r="G181" s="31"/>
      <c r="H181" s="31"/>
      <c r="I181" s="31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6" t="s">
        <v>167</v>
      </c>
      <c r="B182" s="6"/>
      <c r="C182" s="31"/>
      <c r="D182" s="31"/>
      <c r="E182" s="31"/>
      <c r="F182" s="31"/>
      <c r="G182" s="31"/>
      <c r="H182" s="31"/>
      <c r="I182" s="31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 t="s">
        <v>168</v>
      </c>
      <c r="B183" s="6"/>
      <c r="C183" s="31"/>
      <c r="D183" s="31"/>
      <c r="E183" s="31"/>
      <c r="F183" s="31"/>
      <c r="G183" s="31"/>
      <c r="H183" s="31"/>
      <c r="I183" s="31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outlineLevel="1">
      <c r="A184" s="6"/>
      <c r="B184" s="6" t="s">
        <v>169</v>
      </c>
      <c r="C184" s="31"/>
      <c r="D184" s="31"/>
      <c r="E184" s="31"/>
      <c r="F184" s="31"/>
      <c r="G184" s="31"/>
      <c r="H184" s="31"/>
      <c r="I184" s="31"/>
      <c r="J184" s="32"/>
      <c r="K184" s="32"/>
      <c r="L184" s="32"/>
      <c r="M184" s="32"/>
      <c r="N184" s="32"/>
      <c r="O184" s="32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28"/>
      <c r="B185" s="6" t="s">
        <v>170</v>
      </c>
      <c r="C185" s="6"/>
      <c r="D185" s="31"/>
      <c r="E185" s="6"/>
      <c r="F185" s="6"/>
      <c r="G185" s="31"/>
      <c r="H185" s="6"/>
      <c r="I185" s="6"/>
      <c r="J185" s="6"/>
      <c r="K185" s="6"/>
      <c r="L185" s="6"/>
      <c r="M185" s="6"/>
      <c r="N185" s="6"/>
      <c r="O185" s="6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6"/>
      <c r="B186" s="6" t="s">
        <v>171</v>
      </c>
      <c r="C186" s="33"/>
      <c r="D186" s="31"/>
      <c r="E186" s="31"/>
      <c r="F186" s="31"/>
      <c r="G186" s="184"/>
      <c r="H186" s="185"/>
      <c r="I186" s="185"/>
      <c r="J186" s="185"/>
      <c r="K186" s="185"/>
      <c r="L186" s="185"/>
      <c r="M186" s="185"/>
      <c r="N186" s="185"/>
      <c r="O186" s="185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6" t="s">
        <v>182</v>
      </c>
      <c r="B187" s="6"/>
      <c r="C187" s="31"/>
      <c r="D187" s="31"/>
      <c r="E187" s="31"/>
      <c r="F187" s="31"/>
      <c r="G187" s="31"/>
      <c r="H187" s="31"/>
      <c r="I187" s="31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6"/>
      <c r="B188" s="6" t="s">
        <v>184</v>
      </c>
      <c r="C188" s="31"/>
      <c r="D188" s="31"/>
      <c r="E188" s="31"/>
      <c r="F188" s="31"/>
      <c r="G188" s="31"/>
      <c r="H188" s="31"/>
      <c r="I188" s="31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6"/>
      <c r="B189" s="6" t="s">
        <v>172</v>
      </c>
      <c r="C189" s="31"/>
      <c r="D189" s="31"/>
      <c r="E189" s="31"/>
      <c r="F189" s="31"/>
      <c r="G189" s="31"/>
      <c r="H189" s="31"/>
      <c r="I189" s="31"/>
      <c r="J189" s="37"/>
      <c r="K189" s="37"/>
      <c r="L189" s="37"/>
      <c r="M189" s="37"/>
      <c r="N189" s="37"/>
      <c r="O189" s="37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6"/>
      <c r="B190" s="6"/>
      <c r="C190" s="31"/>
      <c r="D190" s="31"/>
      <c r="E190" s="31"/>
      <c r="F190" s="31"/>
      <c r="G190" s="31"/>
      <c r="H190" s="31"/>
      <c r="I190" s="31"/>
      <c r="J190" s="37"/>
      <c r="K190" s="37"/>
      <c r="L190" s="37"/>
      <c r="M190" s="37"/>
      <c r="N190" s="37"/>
      <c r="O190" s="37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6" t="s">
        <v>176</v>
      </c>
      <c r="B191" s="6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6" t="s">
        <v>209</v>
      </c>
      <c r="B192" s="6"/>
      <c r="C192" s="31"/>
      <c r="D192" s="31"/>
      <c r="E192" s="31"/>
      <c r="F192" s="31"/>
      <c r="G192" s="31"/>
      <c r="H192" s="31"/>
      <c r="I192" s="31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39"/>
      <c r="B193" s="6"/>
      <c r="C193" s="6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39"/>
      <c r="B194" s="6"/>
      <c r="C194" s="6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39"/>
      <c r="B195" s="6"/>
      <c r="C195" s="6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39"/>
      <c r="B196" s="6"/>
      <c r="C196" s="6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40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39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8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40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40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" customHeight="1" outlineLevel="1">
      <c r="A215" s="40"/>
      <c r="B215" s="6"/>
      <c r="C215" s="6"/>
      <c r="D215" s="6"/>
      <c r="E215" s="27"/>
      <c r="F215" s="27"/>
      <c r="G215" s="27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40"/>
      <c r="B216" s="6"/>
      <c r="C216" s="6"/>
      <c r="D216" s="6"/>
      <c r="E216" s="27"/>
      <c r="F216" s="27"/>
      <c r="G216" s="27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4.25" customHeight="1" outlineLevel="1">
      <c r="A217" s="40"/>
      <c r="B217" s="6"/>
      <c r="C217" s="6"/>
      <c r="D217" s="6"/>
      <c r="E217" s="27"/>
      <c r="F217" s="27"/>
      <c r="G217" s="27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6"/>
      <c r="E218" s="27"/>
      <c r="F218" s="27"/>
      <c r="G218" s="27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outlineLevel="1">
      <c r="A219" s="40"/>
      <c r="B219" s="6"/>
      <c r="C219" s="6"/>
      <c r="D219" s="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spans="1:25" outlineLevel="1">
      <c r="A220" s="42"/>
      <c r="B220" s="6"/>
      <c r="C220" s="6"/>
      <c r="D220" s="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spans="1:25" outlineLevel="1">
      <c r="A221" s="42"/>
      <c r="B221" s="6"/>
      <c r="C221" s="6"/>
      <c r="D221" s="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spans="1:25" outlineLevel="1">
      <c r="A222" s="42"/>
      <c r="B222" s="6"/>
      <c r="C222" s="6"/>
      <c r="D222" s="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spans="1:25" outlineLevel="1">
      <c r="A223" s="27"/>
      <c r="B223" s="6"/>
      <c r="C223" s="6"/>
      <c r="D223" s="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outlineLevel="1">
      <c r="A224" s="6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6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6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17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17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17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6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3"/>
      <c r="B232" s="3"/>
      <c r="C232" s="3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outlineLevel="1">
      <c r="A233" s="40"/>
      <c r="B233" s="6"/>
      <c r="C233" s="6"/>
      <c r="D233" s="6"/>
      <c r="E233" s="27"/>
      <c r="F233" s="27"/>
      <c r="G233" s="27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outlineLevel="1">
      <c r="A234" s="39"/>
      <c r="B234" s="6"/>
      <c r="C234" s="6"/>
      <c r="D234" s="6"/>
      <c r="E234" s="27"/>
      <c r="F234" s="27"/>
      <c r="G234" s="27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outlineLevel="1">
      <c r="A235" s="39"/>
      <c r="B235" s="6"/>
      <c r="C235" s="6"/>
      <c r="D235" s="6"/>
      <c r="E235" s="27"/>
      <c r="F235" s="27"/>
      <c r="G235" s="27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outlineLevel="1">
      <c r="A236" s="38"/>
      <c r="B236" s="6"/>
      <c r="C236" s="6"/>
      <c r="D236" s="6"/>
      <c r="E236" s="27"/>
      <c r="F236" s="27"/>
      <c r="G236" s="27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outlineLevel="1">
      <c r="A237" s="27"/>
      <c r="B237" s="6"/>
      <c r="C237" s="6"/>
      <c r="D237" s="6"/>
      <c r="E237" s="27"/>
      <c r="F237" s="27"/>
      <c r="G237" s="2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outlineLevel="1">
      <c r="A238" s="40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9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39"/>
      <c r="B241" s="6"/>
      <c r="C241" s="6"/>
      <c r="D241" s="20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39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27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40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27"/>
      <c r="B245" s="6"/>
      <c r="C245" s="6"/>
      <c r="D245" s="6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40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39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40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39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39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38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39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38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9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9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40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39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8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40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40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40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40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40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6"/>
      <c r="B275" s="6"/>
      <c r="C275" s="6"/>
      <c r="D275" s="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 spans="1:25" outlineLevel="1">
      <c r="A276" s="6"/>
      <c r="B276" s="6"/>
      <c r="C276" s="6"/>
      <c r="D276" s="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 spans="1:25" outlineLevel="1">
      <c r="A277" s="6"/>
      <c r="B277" s="6"/>
      <c r="C277" s="6"/>
      <c r="D277" s="6"/>
      <c r="E277" s="6"/>
      <c r="F277" s="6"/>
      <c r="G277" s="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 spans="1:25" outlineLevel="1">
      <c r="A278" s="3"/>
      <c r="B278" s="3"/>
      <c r="C278" s="3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outlineLevel="1">
      <c r="A279" s="17"/>
      <c r="B279" s="17"/>
      <c r="C279" s="1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outlineLevel="1">
      <c r="A280" s="17"/>
      <c r="B280" s="43"/>
      <c r="C280" s="43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outlineLevel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outlineLevel="1">
      <c r="A282" s="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outlineLevel="1">
      <c r="A283" s="17"/>
      <c r="B283" s="17"/>
      <c r="C283" s="17"/>
      <c r="D283" s="17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44"/>
      <c r="B284" s="17"/>
      <c r="C284" s="17"/>
      <c r="D284" s="17"/>
      <c r="E284" s="45"/>
      <c r="F284" s="45"/>
      <c r="G284" s="45"/>
      <c r="H284" s="45"/>
      <c r="I284" s="45"/>
      <c r="J284" s="45"/>
      <c r="K284" s="45"/>
      <c r="L284" s="45"/>
      <c r="M284" s="6"/>
      <c r="N284" s="4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44"/>
      <c r="B285" s="17"/>
      <c r="C285" s="17"/>
      <c r="D285" s="17"/>
      <c r="E285" s="45"/>
      <c r="F285" s="45"/>
      <c r="G285" s="45"/>
      <c r="H285" s="45"/>
      <c r="I285" s="45"/>
      <c r="J285" s="45"/>
      <c r="K285" s="45"/>
      <c r="L285" s="45"/>
      <c r="M285" s="6"/>
      <c r="N285" s="4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44"/>
      <c r="B286" s="44"/>
      <c r="C286" s="44"/>
      <c r="D286" s="44"/>
      <c r="E286" s="45"/>
      <c r="F286" s="45"/>
      <c r="G286" s="45"/>
      <c r="H286" s="45"/>
      <c r="I286" s="45"/>
      <c r="J286" s="45"/>
      <c r="K286" s="45"/>
      <c r="L286" s="45"/>
      <c r="M286" s="6"/>
      <c r="N286" s="4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44"/>
      <c r="B287" s="44"/>
      <c r="C287" s="44"/>
      <c r="D287" s="44"/>
      <c r="E287" s="45"/>
      <c r="F287" s="45"/>
      <c r="G287" s="45"/>
      <c r="H287" s="45"/>
      <c r="I287" s="45"/>
      <c r="J287" s="45"/>
      <c r="K287" s="45"/>
      <c r="L287" s="45"/>
      <c r="M287" s="6"/>
      <c r="N287" s="4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44"/>
      <c r="B288" s="3"/>
      <c r="C288" s="3"/>
      <c r="D288" s="3"/>
      <c r="E288" s="45"/>
      <c r="F288" s="45"/>
      <c r="G288" s="45"/>
      <c r="H288" s="45"/>
      <c r="I288" s="45"/>
      <c r="J288" s="45"/>
      <c r="K288" s="45"/>
      <c r="L288" s="45"/>
      <c r="M288" s="6"/>
      <c r="N288" s="4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6"/>
      <c r="B289" s="6"/>
      <c r="C289" s="6"/>
      <c r="D289" s="6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17"/>
      <c r="B290" s="17"/>
      <c r="C290" s="17"/>
      <c r="D290" s="17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17"/>
      <c r="C291" s="17"/>
      <c r="D291" s="17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17"/>
      <c r="C292" s="17"/>
      <c r="D292" s="17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44"/>
      <c r="B293" s="17"/>
      <c r="C293" s="17"/>
      <c r="D293" s="17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44"/>
      <c r="B294" s="17"/>
      <c r="C294" s="17"/>
      <c r="D294" s="17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44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44"/>
      <c r="C300" s="44"/>
      <c r="D300" s="44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44"/>
      <c r="C301" s="44"/>
      <c r="D301" s="44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17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44"/>
      <c r="C303" s="44"/>
      <c r="D303" s="44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17"/>
      <c r="B305" s="17"/>
      <c r="C305" s="17"/>
      <c r="D305" s="17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17"/>
      <c r="B306" s="17"/>
      <c r="C306" s="17"/>
      <c r="D306" s="17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6"/>
      <c r="B307" s="17"/>
      <c r="C307" s="17"/>
      <c r="D307" s="17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6"/>
      <c r="B308" s="46"/>
      <c r="C308" s="46"/>
      <c r="D308" s="46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17"/>
      <c r="B309" s="46"/>
      <c r="C309" s="46"/>
      <c r="D309" s="46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44"/>
      <c r="B310" s="46"/>
      <c r="C310" s="46"/>
      <c r="D310" s="46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17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6"/>
      <c r="C312" s="6"/>
      <c r="D312" s="6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17"/>
      <c r="B313" s="17"/>
      <c r="C313" s="17"/>
      <c r="D313" s="17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44"/>
      <c r="B314" s="44"/>
      <c r="C314" s="44"/>
      <c r="D314" s="44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44"/>
      <c r="B315" s="44"/>
      <c r="C315" s="44"/>
      <c r="D315" s="44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44"/>
      <c r="B316" s="44"/>
      <c r="C316" s="44"/>
      <c r="D316" s="44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44"/>
      <c r="B317" s="44"/>
      <c r="C317" s="44"/>
      <c r="D317" s="44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6"/>
      <c r="C319" s="6"/>
      <c r="D319" s="6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17"/>
      <c r="B320" s="17"/>
      <c r="C320" s="17"/>
      <c r="D320" s="17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17"/>
      <c r="B321" s="17"/>
      <c r="C321" s="17"/>
      <c r="D321" s="17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6"/>
      <c r="B322" s="6"/>
      <c r="C322" s="6"/>
      <c r="D322" s="6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17"/>
      <c r="B323" s="47"/>
      <c r="C323" s="47"/>
      <c r="D323" s="6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17"/>
      <c r="B324" s="43"/>
      <c r="C324" s="43"/>
      <c r="D324" s="43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17"/>
      <c r="B326" s="48"/>
      <c r="C326" s="48"/>
      <c r="D326" s="6"/>
      <c r="E326" s="6"/>
      <c r="F326" s="6"/>
      <c r="G326" s="20"/>
      <c r="H326" s="20"/>
      <c r="I326" s="20"/>
      <c r="J326" s="20"/>
      <c r="K326" s="20"/>
      <c r="L326" s="20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6"/>
      <c r="C327" s="6"/>
      <c r="D327" s="6"/>
      <c r="E327" s="6"/>
      <c r="F327" s="6"/>
      <c r="G327" s="20"/>
      <c r="H327" s="20"/>
      <c r="I327" s="20"/>
      <c r="J327" s="20"/>
      <c r="K327" s="20"/>
      <c r="L327" s="20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6"/>
      <c r="C328" s="6"/>
      <c r="D328" s="6"/>
      <c r="E328" s="6"/>
      <c r="F328" s="6"/>
      <c r="G328" s="20"/>
      <c r="H328" s="20"/>
      <c r="I328" s="20"/>
      <c r="J328" s="20"/>
      <c r="K328" s="20"/>
      <c r="L328" s="20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17"/>
      <c r="B329" s="6"/>
      <c r="C329" s="6"/>
      <c r="D329" s="6"/>
      <c r="E329" s="6"/>
      <c r="F329" s="6"/>
      <c r="G329" s="20"/>
      <c r="H329" s="20"/>
      <c r="I329" s="20"/>
      <c r="J329" s="20"/>
      <c r="K329" s="20"/>
      <c r="L329" s="20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s="187" customFormat="1" outlineLevel="1">
      <c r="A335" s="18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17"/>
      <c r="B337" s="6"/>
      <c r="C337" s="6"/>
      <c r="D337" s="6"/>
      <c r="E337" s="6"/>
      <c r="F337" s="6"/>
      <c r="G337" s="51"/>
      <c r="H337" s="51"/>
      <c r="I337" s="51"/>
      <c r="J337" s="51"/>
      <c r="K337" s="51"/>
      <c r="L337" s="51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17"/>
      <c r="B338" s="6"/>
      <c r="C338" s="6"/>
      <c r="D338" s="6"/>
      <c r="E338" s="6"/>
      <c r="F338" s="6"/>
      <c r="G338" s="51"/>
      <c r="H338" s="51"/>
      <c r="I338" s="51"/>
      <c r="J338" s="51"/>
      <c r="K338" s="51"/>
      <c r="L338" s="51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outlineLevel="1">
      <c r="A339" s="6"/>
      <c r="B339" s="52"/>
      <c r="C339" s="52"/>
      <c r="D339" s="52"/>
      <c r="E339" s="6"/>
      <c r="F339" s="6"/>
      <c r="G339" s="53"/>
      <c r="H339" s="53"/>
      <c r="I339" s="53"/>
      <c r="J339" s="53"/>
      <c r="K339" s="53"/>
      <c r="L339" s="53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outlineLevel="1">
      <c r="A340" s="17"/>
      <c r="B340" s="56"/>
      <c r="C340" s="56"/>
      <c r="D340" s="5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outlineLevel="1">
      <c r="A341" s="18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88"/>
      <c r="B342" s="6"/>
      <c r="C342" s="6"/>
      <c r="D342" s="6"/>
      <c r="E342" s="6"/>
      <c r="F342" s="6"/>
      <c r="G342" s="20"/>
      <c r="H342" s="20"/>
      <c r="I342" s="20"/>
      <c r="J342" s="20"/>
      <c r="K342" s="20"/>
      <c r="L342" s="20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188"/>
      <c r="B343" s="6"/>
      <c r="C343" s="6"/>
      <c r="D343" s="6"/>
      <c r="E343" s="6"/>
      <c r="F343" s="6"/>
      <c r="G343" s="20"/>
      <c r="H343" s="20"/>
      <c r="I343" s="20"/>
      <c r="J343" s="20"/>
      <c r="K343" s="20"/>
      <c r="L343" s="20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88"/>
      <c r="B344" s="6"/>
      <c r="C344" s="6"/>
      <c r="D344" s="6"/>
      <c r="E344" s="6"/>
      <c r="F344" s="6"/>
      <c r="G344" s="20"/>
      <c r="H344" s="20"/>
      <c r="I344" s="20"/>
      <c r="J344" s="20"/>
      <c r="K344" s="20"/>
      <c r="L344" s="20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188"/>
      <c r="B345" s="6"/>
      <c r="C345" s="6"/>
      <c r="D345" s="6"/>
      <c r="E345" s="6"/>
      <c r="F345" s="6"/>
      <c r="G345" s="20"/>
      <c r="H345" s="20"/>
      <c r="I345" s="20"/>
      <c r="J345" s="20"/>
      <c r="K345" s="20"/>
      <c r="L345" s="20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88"/>
      <c r="B346" s="6"/>
      <c r="C346" s="6"/>
      <c r="D346" s="6"/>
      <c r="E346" s="6"/>
      <c r="F346" s="6"/>
      <c r="G346" s="51"/>
      <c r="H346" s="51"/>
      <c r="I346" s="51"/>
      <c r="J346" s="51"/>
      <c r="K346" s="51"/>
      <c r="L346" s="51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7"/>
      <c r="B347" s="6"/>
      <c r="C347" s="6"/>
      <c r="D347" s="6"/>
      <c r="E347" s="6"/>
      <c r="F347" s="6"/>
      <c r="G347" s="56"/>
      <c r="H347" s="56"/>
      <c r="I347" s="56"/>
      <c r="J347" s="56"/>
      <c r="K347" s="56"/>
      <c r="L347" s="5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14"/>
      <c r="C348" s="14"/>
      <c r="D348" s="14"/>
      <c r="E348" s="6"/>
      <c r="F348" s="6"/>
      <c r="G348" s="189"/>
      <c r="H348" s="189"/>
      <c r="I348" s="189"/>
      <c r="J348" s="189"/>
      <c r="K348" s="189"/>
      <c r="L348" s="189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189"/>
      <c r="H349" s="189"/>
      <c r="I349" s="189"/>
      <c r="J349" s="189"/>
      <c r="K349" s="189"/>
      <c r="L349" s="189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88"/>
      <c r="B350" s="6"/>
      <c r="C350" s="6"/>
      <c r="D350" s="6"/>
      <c r="E350" s="6"/>
      <c r="F350" s="6"/>
      <c r="G350" s="189"/>
      <c r="H350" s="189"/>
      <c r="I350" s="189"/>
      <c r="J350" s="189"/>
      <c r="K350" s="189"/>
      <c r="L350" s="189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88"/>
      <c r="B351" s="6"/>
      <c r="C351" s="6"/>
      <c r="D351" s="6"/>
      <c r="E351" s="6"/>
      <c r="F351" s="6"/>
      <c r="G351" s="189"/>
      <c r="H351" s="189"/>
      <c r="I351" s="189"/>
      <c r="J351" s="189"/>
      <c r="K351" s="189"/>
      <c r="L351" s="189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88"/>
      <c r="B352" s="6"/>
      <c r="C352" s="6"/>
      <c r="D352" s="6"/>
      <c r="E352" s="6"/>
      <c r="F352" s="6"/>
      <c r="G352" s="56"/>
      <c r="H352" s="56"/>
      <c r="I352" s="56"/>
      <c r="J352" s="56"/>
      <c r="K352" s="56"/>
      <c r="L352" s="5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6"/>
      <c r="B354" s="6"/>
      <c r="C354" s="6"/>
      <c r="D354" s="6"/>
      <c r="E354" s="6"/>
      <c r="F354" s="6"/>
      <c r="G354" s="20"/>
      <c r="H354" s="20"/>
      <c r="I354" s="20"/>
      <c r="J354" s="20"/>
      <c r="K354" s="20"/>
      <c r="L354" s="20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6"/>
      <c r="B355" s="6"/>
      <c r="C355" s="6"/>
      <c r="D355" s="6"/>
      <c r="E355" s="6"/>
      <c r="F355" s="6"/>
      <c r="G355" s="20"/>
      <c r="H355" s="20"/>
      <c r="I355" s="20"/>
      <c r="J355" s="20"/>
      <c r="K355" s="20"/>
      <c r="L355" s="20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6"/>
      <c r="B356" s="6"/>
      <c r="C356" s="6"/>
      <c r="D356" s="6"/>
      <c r="E356" s="6"/>
      <c r="F356" s="6"/>
      <c r="G356" s="20"/>
      <c r="H356" s="20"/>
      <c r="I356" s="20"/>
      <c r="J356" s="20"/>
      <c r="K356" s="20"/>
      <c r="L356" s="20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6"/>
      <c r="B357" s="6"/>
      <c r="C357" s="6"/>
      <c r="D357" s="6"/>
      <c r="E357" s="20"/>
      <c r="F357" s="20"/>
      <c r="G357" s="20"/>
      <c r="H357" s="20"/>
      <c r="I357" s="20"/>
      <c r="J357" s="20"/>
      <c r="K357" s="20"/>
      <c r="L357" s="20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1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51"/>
      <c r="H360" s="51"/>
      <c r="I360" s="51"/>
      <c r="J360" s="51"/>
      <c r="K360" s="51"/>
      <c r="L360" s="51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188"/>
      <c r="B361" s="6"/>
      <c r="C361" s="6"/>
      <c r="D361" s="6"/>
      <c r="E361" s="6"/>
      <c r="F361" s="6"/>
      <c r="G361" s="51"/>
      <c r="H361" s="51"/>
      <c r="I361" s="51"/>
      <c r="J361" s="51"/>
      <c r="K361" s="51"/>
      <c r="L361" s="51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188"/>
      <c r="B362" s="6"/>
      <c r="C362" s="6"/>
      <c r="D362" s="6"/>
      <c r="E362" s="6"/>
      <c r="F362" s="6"/>
      <c r="G362" s="51"/>
      <c r="H362" s="51"/>
      <c r="I362" s="51"/>
      <c r="J362" s="51"/>
      <c r="K362" s="51"/>
      <c r="L362" s="51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188"/>
      <c r="B363" s="6"/>
      <c r="C363" s="6"/>
      <c r="D363" s="6"/>
      <c r="E363" s="20"/>
      <c r="F363" s="20"/>
      <c r="G363" s="51"/>
      <c r="H363" s="51"/>
      <c r="I363" s="51"/>
      <c r="J363" s="51"/>
      <c r="K363" s="51"/>
      <c r="L363" s="51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51"/>
      <c r="H364" s="51"/>
      <c r="I364" s="51"/>
      <c r="J364" s="51"/>
      <c r="K364" s="51"/>
      <c r="L364" s="5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6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6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6"/>
      <c r="B367" s="6"/>
      <c r="C367" s="6"/>
      <c r="D367" s="6"/>
      <c r="E367" s="6"/>
      <c r="F367" s="6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6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17"/>
      <c r="B371" s="6"/>
      <c r="C371" s="6"/>
      <c r="D371" s="6"/>
      <c r="E371" s="59"/>
      <c r="F371" s="59"/>
      <c r="G371" s="59"/>
      <c r="H371" s="59"/>
      <c r="I371" s="59"/>
      <c r="J371" s="59"/>
      <c r="K371" s="59"/>
      <c r="L371" s="59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17"/>
      <c r="B372" s="6"/>
      <c r="C372" s="6"/>
      <c r="D372" s="14"/>
      <c r="E372" s="20"/>
      <c r="F372" s="20"/>
      <c r="G372" s="59"/>
      <c r="H372" s="59"/>
      <c r="I372" s="59"/>
      <c r="J372" s="59"/>
      <c r="K372" s="59"/>
      <c r="L372" s="59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17"/>
      <c r="B373" s="6"/>
      <c r="C373" s="6"/>
      <c r="D373" s="6"/>
      <c r="E373" s="59"/>
      <c r="F373" s="59"/>
      <c r="G373" s="59"/>
      <c r="H373" s="59"/>
      <c r="I373" s="59"/>
      <c r="J373" s="59"/>
      <c r="K373" s="59"/>
      <c r="L373" s="59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17"/>
      <c r="B374" s="6"/>
      <c r="C374" s="6"/>
      <c r="D374" s="6"/>
      <c r="E374" s="6"/>
      <c r="F374" s="6"/>
      <c r="G374" s="59"/>
      <c r="H374" s="59"/>
      <c r="I374" s="59"/>
      <c r="J374" s="59"/>
      <c r="K374" s="59"/>
      <c r="L374" s="59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6"/>
      <c r="B379" s="6"/>
      <c r="C379" s="6"/>
      <c r="D379" s="6"/>
      <c r="E379" s="6"/>
      <c r="F379" s="6"/>
      <c r="G379" s="45"/>
      <c r="H379" s="45"/>
      <c r="I379" s="45"/>
      <c r="J379" s="45"/>
      <c r="K379" s="45"/>
      <c r="L379" s="4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6"/>
      <c r="B380" s="6"/>
      <c r="C380" s="6"/>
      <c r="D380" s="6"/>
      <c r="E380" s="6"/>
      <c r="F380" s="6"/>
      <c r="G380" s="59"/>
      <c r="H380" s="59"/>
      <c r="I380" s="59"/>
      <c r="J380" s="59"/>
      <c r="K380" s="59"/>
      <c r="L380" s="59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6"/>
      <c r="B381" s="6"/>
      <c r="C381" s="6"/>
      <c r="D381" s="6"/>
      <c r="E381" s="6"/>
      <c r="F381" s="6"/>
      <c r="G381" s="45"/>
      <c r="H381" s="45"/>
      <c r="I381" s="45"/>
      <c r="J381" s="45"/>
      <c r="K381" s="45"/>
      <c r="L381" s="4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6"/>
      <c r="B382" s="6"/>
      <c r="C382" s="6"/>
      <c r="D382" s="6"/>
      <c r="E382" s="6"/>
      <c r="F382" s="6"/>
      <c r="G382" s="45"/>
      <c r="H382" s="45"/>
      <c r="I382" s="45"/>
      <c r="J382" s="45"/>
      <c r="K382" s="45"/>
      <c r="L382" s="4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45"/>
      <c r="H383" s="45"/>
      <c r="I383" s="45"/>
      <c r="J383" s="45"/>
      <c r="K383" s="45"/>
      <c r="L383" s="4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61"/>
      <c r="H384" s="61"/>
      <c r="I384" s="61"/>
      <c r="J384" s="61"/>
      <c r="K384" s="61"/>
      <c r="L384" s="61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30" outlineLevel="1">
      <c r="A385" s="6"/>
      <c r="B385" s="6"/>
      <c r="C385" s="6"/>
      <c r="D385" s="6"/>
      <c r="E385" s="6"/>
      <c r="F385" s="6"/>
      <c r="G385" s="61"/>
      <c r="H385" s="61"/>
      <c r="I385" s="61"/>
      <c r="J385" s="61"/>
      <c r="K385" s="61"/>
      <c r="L385" s="61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30" hidden="1" outlineLevel="2">
      <c r="A386" s="17"/>
      <c r="B386" s="6"/>
      <c r="C386" s="6"/>
      <c r="D386" s="6"/>
      <c r="E386" s="6"/>
      <c r="F386" s="6"/>
      <c r="G386" s="61"/>
      <c r="H386" s="61"/>
      <c r="I386" s="61"/>
      <c r="J386" s="61"/>
      <c r="K386" s="61"/>
      <c r="L386" s="61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30" hidden="1" outlineLevel="2">
      <c r="A387" s="17"/>
      <c r="B387" s="6"/>
      <c r="C387" s="6"/>
      <c r="D387" s="6"/>
      <c r="E387" s="6"/>
      <c r="F387" s="6"/>
      <c r="G387" s="61"/>
      <c r="H387" s="61"/>
      <c r="I387" s="61"/>
      <c r="J387" s="61"/>
      <c r="K387" s="61"/>
      <c r="L387" s="61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30" hidden="1" outlineLevel="2">
      <c r="A388" s="6"/>
      <c r="B388" s="6"/>
      <c r="C388" s="6"/>
      <c r="D388" s="6"/>
      <c r="E388" s="6"/>
      <c r="F388" s="6"/>
      <c r="G388" s="61"/>
      <c r="H388" s="61"/>
      <c r="I388" s="61"/>
      <c r="J388" s="61"/>
      <c r="K388" s="61"/>
      <c r="L388" s="6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30" hidden="1" outlineLevel="2">
      <c r="A389" s="17"/>
      <c r="B389" s="9"/>
      <c r="C389" s="9"/>
      <c r="D389" s="9"/>
      <c r="E389" s="10"/>
      <c r="F389" s="10"/>
      <c r="G389" s="10"/>
      <c r="H389" s="9"/>
      <c r="I389" s="9"/>
      <c r="J389" s="10"/>
      <c r="K389" s="10"/>
      <c r="L389" s="9"/>
      <c r="M389" s="10"/>
      <c r="N389" s="10"/>
      <c r="O389" s="10"/>
      <c r="P389" s="9"/>
      <c r="Q389" s="10"/>
      <c r="R389" s="10"/>
      <c r="S389" s="6"/>
      <c r="T389" s="6"/>
      <c r="U389" s="6"/>
      <c r="V389" s="6"/>
      <c r="W389" s="6"/>
      <c r="X389" s="10"/>
      <c r="Y389" s="6"/>
    </row>
    <row r="390" spans="1:30" hidden="1" outlineLevel="2">
      <c r="A390" s="1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30" hidden="1" outlineLevel="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30" hidden="1" outlineLevel="2">
      <c r="A392" s="6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6"/>
      <c r="T392" s="6"/>
      <c r="U392" s="6"/>
      <c r="V392" s="6"/>
      <c r="W392" s="6"/>
      <c r="X392" s="45"/>
      <c r="Y392" s="6"/>
    </row>
    <row r="393" spans="1:30" hidden="1" outlineLevel="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30" hidden="1" outlineLevel="2">
      <c r="A394" s="6"/>
      <c r="B394" s="59"/>
      <c r="C394" s="59"/>
      <c r="D394" s="59"/>
      <c r="E394" s="59"/>
      <c r="F394" s="59"/>
      <c r="G394" s="59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6"/>
      <c r="T394" s="6"/>
      <c r="U394" s="6"/>
      <c r="V394" s="6"/>
      <c r="W394" s="6"/>
      <c r="X394" s="45"/>
      <c r="Y394" s="6"/>
    </row>
    <row r="395" spans="1:30" hidden="1" outlineLevel="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30" hidden="1" outlineLevel="2">
      <c r="A396" s="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6"/>
      <c r="T396" s="6"/>
      <c r="U396" s="6"/>
      <c r="V396" s="6"/>
      <c r="W396" s="6"/>
      <c r="X396" s="45"/>
      <c r="Y396" s="45"/>
      <c r="Z396" s="45"/>
      <c r="AA396" s="45"/>
      <c r="AB396" s="45"/>
      <c r="AC396" s="45"/>
      <c r="AD396" s="45"/>
    </row>
    <row r="397" spans="1:30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30" hidden="1" outlineLevel="2">
      <c r="A398" s="6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30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30" hidden="1" outlineLevel="2">
      <c r="A400" s="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45"/>
    </row>
    <row r="401" spans="1:25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45"/>
    </row>
    <row r="403" spans="1:25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outlineLevel="1" collapsed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outlineLevel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outlineLevel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outlineLevel="1">
      <c r="A407" s="3"/>
      <c r="B407" s="3"/>
      <c r="C407" s="3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1">
      <c r="A408" s="17"/>
      <c r="B408" s="17"/>
      <c r="C408" s="1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1">
      <c r="A409" s="17"/>
      <c r="B409" s="43"/>
      <c r="C409" s="43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1">
      <c r="A411" s="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outlineLevel="1">
      <c r="A412" s="17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outlineLevel="1">
      <c r="A413" s="44"/>
      <c r="B413" s="17"/>
      <c r="C413" s="17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</row>
    <row r="414" spans="1:25" outlineLevel="1">
      <c r="A414" s="44"/>
      <c r="B414" s="17"/>
      <c r="C414" s="17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</row>
    <row r="415" spans="1:25" outlineLevel="1">
      <c r="A415" s="44"/>
      <c r="B415" s="44"/>
      <c r="C415" s="44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</row>
    <row r="416" spans="1:25" outlineLevel="1">
      <c r="A416" s="44"/>
      <c r="B416" s="44"/>
      <c r="C416" s="44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</row>
    <row r="417" spans="1:25" outlineLevel="1">
      <c r="A417" s="44"/>
      <c r="B417" s="3"/>
      <c r="C417" s="3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outlineLevel="1">
      <c r="A418" s="6"/>
      <c r="B418" s="6"/>
      <c r="C418" s="6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17"/>
      <c r="B419" s="17"/>
      <c r="C419" s="17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17"/>
      <c r="C420" s="17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17"/>
      <c r="C421" s="17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44"/>
      <c r="B422" s="17"/>
      <c r="C422" s="17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44"/>
      <c r="B423" s="17"/>
      <c r="C423" s="17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44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44"/>
      <c r="C429" s="44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44"/>
      <c r="C430" s="44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17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44"/>
      <c r="C432" s="44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17"/>
      <c r="B433" s="17"/>
      <c r="C433" s="17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6"/>
      <c r="C434" s="46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17"/>
      <c r="B435" s="17"/>
      <c r="C435" s="17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6"/>
      <c r="B436" s="6"/>
      <c r="C436" s="6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4"/>
      <c r="C438" s="44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44"/>
      <c r="B439" s="44"/>
      <c r="C439" s="44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44"/>
      <c r="B440" s="44"/>
      <c r="C440" s="44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44"/>
      <c r="B441" s="6"/>
      <c r="C441" s="6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17"/>
      <c r="B442" s="17"/>
      <c r="C442" s="17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17"/>
      <c r="B443" s="17"/>
      <c r="C443" s="17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17"/>
      <c r="C444" s="17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17"/>
      <c r="C445" s="17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44"/>
      <c r="B446" s="17"/>
      <c r="C446" s="17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44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44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3"/>
      <c r="B449" s="46"/>
      <c r="C449" s="46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17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6"/>
      <c r="B451" s="6"/>
      <c r="C451" s="6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17"/>
      <c r="B452" s="43"/>
      <c r="C452" s="43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17"/>
      <c r="B453" s="43"/>
      <c r="C453" s="43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17"/>
      <c r="B454" s="43"/>
      <c r="C454" s="43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outlineLevel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outlineLevel="1">
      <c r="A457" s="3"/>
      <c r="B457" s="3"/>
      <c r="C457" s="3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outlineLevel="1">
      <c r="A458" s="17"/>
      <c r="B458" s="17"/>
      <c r="C458" s="1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outlineLevel="1">
      <c r="A459" s="17"/>
      <c r="B459" s="43"/>
      <c r="C459" s="43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3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6"/>
      <c r="T461" s="6"/>
      <c r="U461" s="6"/>
      <c r="V461" s="6"/>
      <c r="W461" s="6"/>
      <c r="X461" s="6"/>
      <c r="Y461" s="6"/>
    </row>
    <row r="462" spans="1:25" outlineLevel="1">
      <c r="A462" s="17"/>
      <c r="B462" s="17"/>
      <c r="C462" s="17"/>
      <c r="D462" s="17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44"/>
      <c r="B463" s="17"/>
      <c r="C463" s="17"/>
      <c r="D463" s="17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6"/>
      <c r="T463" s="6"/>
      <c r="U463" s="6"/>
      <c r="V463" s="6"/>
      <c r="W463" s="6"/>
      <c r="X463" s="6"/>
      <c r="Y463" s="6"/>
    </row>
    <row r="464" spans="1:25" outlineLevel="1">
      <c r="A464" s="44"/>
      <c r="B464" s="17"/>
      <c r="C464" s="17"/>
      <c r="D464" s="17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6"/>
      <c r="T464" s="6"/>
      <c r="U464" s="6"/>
      <c r="V464" s="6"/>
      <c r="W464" s="6"/>
      <c r="X464" s="6"/>
      <c r="Y464" s="6"/>
    </row>
    <row r="465" spans="1:25" outlineLevel="1">
      <c r="A465" s="44"/>
      <c r="B465" s="44"/>
      <c r="C465" s="44"/>
      <c r="D465" s="44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6"/>
      <c r="T465" s="6"/>
      <c r="U465" s="6"/>
      <c r="V465" s="6"/>
      <c r="W465" s="6"/>
      <c r="X465" s="6"/>
      <c r="Y465" s="6"/>
    </row>
    <row r="466" spans="1:25" outlineLevel="1">
      <c r="A466" s="44"/>
      <c r="B466" s="44"/>
      <c r="C466" s="44"/>
      <c r="D466" s="44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6"/>
      <c r="T466" s="6"/>
      <c r="U466" s="6"/>
      <c r="V466" s="6"/>
      <c r="W466" s="6"/>
      <c r="X466" s="6"/>
      <c r="Y466" s="6"/>
    </row>
    <row r="467" spans="1:25" outlineLevel="1">
      <c r="A467" s="44"/>
      <c r="B467" s="3"/>
      <c r="C467" s="3"/>
      <c r="D467" s="3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3"/>
      <c r="C468" s="3"/>
      <c r="D468" s="3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6"/>
      <c r="T468" s="6"/>
      <c r="U468" s="6"/>
      <c r="V468" s="6"/>
      <c r="W468" s="6"/>
      <c r="X468" s="6"/>
      <c r="Y468" s="6"/>
    </row>
    <row r="469" spans="1:25" outlineLevel="1">
      <c r="A469" s="17"/>
      <c r="B469" s="17"/>
      <c r="C469" s="17"/>
      <c r="D469" s="17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17"/>
      <c r="C470" s="17"/>
      <c r="D470" s="17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17"/>
      <c r="C471" s="17"/>
      <c r="D471" s="17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17"/>
      <c r="C472" s="17"/>
      <c r="D472" s="17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44"/>
      <c r="B473" s="17"/>
      <c r="C473" s="17"/>
      <c r="D473" s="17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17"/>
      <c r="C474" s="17"/>
      <c r="D474" s="17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44"/>
      <c r="C480" s="44"/>
      <c r="D480" s="44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44"/>
      <c r="C481" s="44"/>
      <c r="D481" s="44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17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6"/>
      <c r="B483" s="17"/>
      <c r="C483" s="17"/>
      <c r="D483" s="17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44"/>
      <c r="C484" s="44"/>
      <c r="D484" s="44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17"/>
      <c r="B485" s="17"/>
      <c r="C485" s="17"/>
      <c r="D485" s="17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44"/>
      <c r="B486" s="46"/>
      <c r="C486" s="46"/>
      <c r="D486" s="46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17"/>
      <c r="B487" s="17"/>
      <c r="C487" s="17"/>
      <c r="D487" s="17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17"/>
      <c r="B488" s="17"/>
      <c r="C488" s="17"/>
      <c r="D488" s="17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17"/>
      <c r="B489" s="17"/>
      <c r="C489" s="17"/>
      <c r="D489" s="17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17"/>
      <c r="B490" s="43"/>
      <c r="C490" s="43"/>
      <c r="D490" s="43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43"/>
      <c r="C491" s="43"/>
      <c r="D491" s="43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43"/>
      <c r="C492" s="43"/>
      <c r="D492" s="43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43"/>
      <c r="C493" s="43"/>
      <c r="D493" s="43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43"/>
      <c r="C494" s="43"/>
      <c r="D494" s="43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6"/>
      <c r="B495" s="43"/>
      <c r="C495" s="43"/>
      <c r="D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</row>
    <row r="496" spans="1:25" outlineLevel="1">
      <c r="A496" s="6"/>
      <c r="B496" s="45"/>
      <c r="C496" s="45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</row>
    <row r="497" spans="1:25" outlineLevel="1">
      <c r="A497" s="6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</row>
    <row r="498" spans="1:25" outlineLevel="1">
      <c r="A498" s="6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</row>
    <row r="499" spans="1:25" outlineLevel="1">
      <c r="A499" s="6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</row>
    <row r="500" spans="1:25" outlineLevel="1">
      <c r="A500" s="6"/>
      <c r="B500" s="43"/>
      <c r="C500" s="43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spans="1:25" outlineLevel="1">
      <c r="A501" s="17"/>
      <c r="B501" s="43"/>
      <c r="C501" s="43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3"/>
      <c r="C502" s="43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17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17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6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6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6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6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6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6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6"/>
      <c r="T513" s="6"/>
      <c r="U513" s="6"/>
      <c r="V513" s="6"/>
      <c r="W513" s="6"/>
      <c r="X513" s="6"/>
      <c r="Y513" s="6"/>
    </row>
    <row r="514" spans="1:25" outlineLevel="1">
      <c r="A514" s="17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6"/>
      <c r="T514" s="6"/>
      <c r="U514" s="6"/>
      <c r="V514" s="6"/>
      <c r="W514" s="6"/>
      <c r="X514" s="6"/>
      <c r="Y514" s="6"/>
    </row>
    <row r="515" spans="1:25" outlineLevel="1">
      <c r="A515" s="17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6"/>
      <c r="T515" s="6"/>
      <c r="U515" s="6"/>
      <c r="V515" s="6"/>
      <c r="W515" s="6"/>
      <c r="X515" s="6"/>
      <c r="Y515" s="6"/>
    </row>
    <row r="516" spans="1:25" outlineLevel="1">
      <c r="A516" s="17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6"/>
      <c r="T516" s="6"/>
      <c r="U516" s="6"/>
      <c r="V516" s="6"/>
      <c r="W516" s="6"/>
      <c r="X516" s="6"/>
      <c r="Y516" s="6"/>
    </row>
    <row r="517" spans="1:25" outlineLevel="1">
      <c r="A517" s="17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6"/>
      <c r="T517" s="6"/>
      <c r="U517" s="6"/>
      <c r="V517" s="6"/>
      <c r="W517" s="6"/>
      <c r="X517" s="6"/>
      <c r="Y517" s="6"/>
    </row>
    <row r="518" spans="1:25" outlineLevel="1">
      <c r="A518" s="17"/>
      <c r="B518" s="43"/>
      <c r="C518" s="43"/>
      <c r="D518" s="43"/>
      <c r="E518" s="6"/>
      <c r="F518" s="6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6"/>
      <c r="T518" s="6"/>
      <c r="U518" s="6"/>
      <c r="V518" s="6"/>
      <c r="W518" s="6"/>
      <c r="X518" s="6"/>
      <c r="Y518" s="6"/>
    </row>
    <row r="519" spans="1:25" outlineLevel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outlineLevel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outlineLevel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1">
      <c r="A524" s="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outlineLevel="1">
      <c r="A525" s="6"/>
      <c r="B525" s="6"/>
      <c r="C525" s="6"/>
      <c r="D525" s="6"/>
      <c r="E525" s="6"/>
      <c r="F525" s="6"/>
      <c r="G525" s="3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17"/>
      <c r="B526" s="6"/>
      <c r="C526" s="6"/>
      <c r="D526" s="6"/>
      <c r="E526" s="6"/>
      <c r="F526" s="6"/>
      <c r="G526" s="31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6"/>
      <c r="T527" s="6"/>
      <c r="U527" s="6"/>
      <c r="V527" s="6"/>
      <c r="W527" s="6"/>
      <c r="X527" s="6"/>
      <c r="Y527" s="6"/>
    </row>
    <row r="528" spans="1:25" outlineLevel="1">
      <c r="A528" s="6"/>
      <c r="B528" s="6"/>
      <c r="C528" s="6"/>
      <c r="D528" s="6"/>
      <c r="E528" s="6"/>
      <c r="F528" s="6"/>
      <c r="G528" s="31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6"/>
      <c r="T528" s="6"/>
      <c r="U528" s="6"/>
      <c r="V528" s="6"/>
      <c r="W528" s="6"/>
      <c r="X528" s="6"/>
      <c r="Y528" s="6"/>
    </row>
    <row r="529" spans="1:25" outlineLevel="1">
      <c r="A529" s="6"/>
      <c r="B529" s="6"/>
      <c r="C529" s="6"/>
      <c r="D529" s="6"/>
      <c r="E529" s="6"/>
      <c r="F529" s="6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6"/>
      <c r="T529" s="6"/>
      <c r="U529" s="6"/>
      <c r="V529" s="6"/>
      <c r="W529" s="6"/>
      <c r="X529" s="6"/>
      <c r="Y529" s="6"/>
    </row>
    <row r="530" spans="1:25" outlineLevel="1">
      <c r="A530" s="6"/>
      <c r="B530" s="6"/>
      <c r="C530" s="6"/>
      <c r="D530" s="6"/>
      <c r="E530" s="6"/>
      <c r="F530" s="6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6"/>
      <c r="T530" s="6"/>
      <c r="U530" s="6"/>
      <c r="V530" s="6"/>
      <c r="W530" s="6"/>
      <c r="X530" s="6"/>
      <c r="Y530" s="6"/>
    </row>
    <row r="531" spans="1:25" outlineLevel="1">
      <c r="A531" s="188"/>
      <c r="B531" s="6"/>
      <c r="C531" s="6"/>
      <c r="D531" s="6"/>
      <c r="E531" s="6"/>
      <c r="F531" s="6"/>
      <c r="G531" s="31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6"/>
      <c r="T531" s="6"/>
      <c r="U531" s="6"/>
      <c r="V531" s="6"/>
      <c r="W531" s="6"/>
      <c r="X531" s="6"/>
      <c r="Y531" s="6"/>
    </row>
    <row r="532" spans="1:25" outlineLevel="1">
      <c r="A532" s="188"/>
      <c r="B532" s="6"/>
      <c r="C532" s="6"/>
      <c r="D532" s="6"/>
      <c r="E532" s="6"/>
      <c r="F532" s="6"/>
      <c r="G532" s="31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6"/>
      <c r="T532" s="6"/>
      <c r="U532" s="6"/>
      <c r="V532" s="6"/>
      <c r="W532" s="6"/>
      <c r="X532" s="6"/>
      <c r="Y532" s="6"/>
    </row>
    <row r="533" spans="1:25" outlineLevel="1">
      <c r="A533" s="17"/>
      <c r="B533" s="6"/>
      <c r="C533" s="6"/>
      <c r="D533" s="6"/>
      <c r="E533" s="6"/>
      <c r="F533" s="6"/>
      <c r="G533" s="3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6"/>
      <c r="B535" s="6"/>
      <c r="C535" s="6"/>
      <c r="D535" s="6"/>
      <c r="E535" s="6"/>
      <c r="F535" s="6"/>
      <c r="G535" s="3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outlineLevel="1">
      <c r="A536" s="17"/>
      <c r="B536" s="6"/>
      <c r="C536" s="6"/>
      <c r="D536" s="6"/>
      <c r="E536" s="6"/>
      <c r="F536" s="6"/>
      <c r="G536" s="31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6"/>
      <c r="T536" s="6"/>
      <c r="U536" s="6"/>
      <c r="V536" s="6"/>
      <c r="W536" s="6"/>
      <c r="X536" s="6"/>
      <c r="Y536" s="6"/>
    </row>
    <row r="537" spans="1:25" outlineLevel="1">
      <c r="A537" s="6"/>
      <c r="B537" s="14"/>
      <c r="C537" s="14"/>
      <c r="D537" s="6"/>
      <c r="E537" s="6"/>
      <c r="F537" s="6"/>
      <c r="G537" s="31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6"/>
      <c r="T537" s="6"/>
      <c r="U537" s="6"/>
      <c r="V537" s="6"/>
      <c r="W537" s="6"/>
      <c r="X537" s="6"/>
      <c r="Y537" s="6"/>
    </row>
    <row r="538" spans="1:25" outlineLevel="1">
      <c r="A538" s="17"/>
      <c r="B538" s="6"/>
      <c r="C538" s="6"/>
      <c r="D538" s="6"/>
      <c r="E538" s="6"/>
      <c r="F538" s="6"/>
      <c r="G538" s="31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s="67" customFormat="1" outlineLevel="1">
      <c r="A541" s="66"/>
      <c r="B541" s="66"/>
      <c r="C541" s="66"/>
      <c r="D541" s="66"/>
      <c r="E541" s="66"/>
      <c r="F541" s="66"/>
      <c r="G541" s="66"/>
    </row>
    <row r="542" spans="1:25" s="67" customFormat="1" outlineLevel="1">
      <c r="A542" s="66"/>
      <c r="B542" s="66"/>
      <c r="C542" s="66"/>
      <c r="D542" s="66"/>
      <c r="E542" s="66"/>
      <c r="F542" s="68"/>
      <c r="G542" s="69"/>
      <c r="H542" s="66"/>
      <c r="I542" s="70"/>
    </row>
    <row r="543" spans="1:25" s="67" customFormat="1" outlineLevel="1">
      <c r="A543" s="66"/>
      <c r="B543" s="69"/>
      <c r="C543" s="69"/>
      <c r="D543" s="69"/>
      <c r="E543" s="69"/>
      <c r="F543" s="71"/>
      <c r="G543" s="47"/>
      <c r="H543" s="47"/>
      <c r="I543" s="70"/>
    </row>
    <row r="544" spans="1:25" s="67" customFormat="1" outlineLevel="1">
      <c r="A544" s="66"/>
      <c r="B544" s="47"/>
      <c r="C544" s="47"/>
      <c r="D544" s="47"/>
      <c r="E544" s="47"/>
      <c r="F544" s="47"/>
      <c r="G544" s="70"/>
      <c r="H544" s="47"/>
      <c r="I544" s="71"/>
    </row>
    <row r="545" spans="1:25" s="67" customFormat="1" outlineLevel="1">
      <c r="A545" s="72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</row>
    <row r="546" spans="1:25" s="67" customFormat="1" outlineLevel="1">
      <c r="A546" s="40"/>
      <c r="B546" s="66"/>
      <c r="C546" s="66"/>
      <c r="D546" s="66"/>
      <c r="E546" s="66"/>
      <c r="F546" s="66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</row>
    <row r="547" spans="1:25" s="67" customFormat="1" outlineLevel="1">
      <c r="A547" s="39"/>
      <c r="B547" s="66"/>
      <c r="C547" s="66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</row>
    <row r="548" spans="1:25" s="67" customFormat="1" outlineLevel="1">
      <c r="A548" s="39"/>
      <c r="B548" s="74"/>
      <c r="C548" s="74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</row>
    <row r="549" spans="1:25" s="67" customFormat="1" outlineLevel="1">
      <c r="A549" s="39"/>
      <c r="B549" s="155"/>
      <c r="C549" s="155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</row>
    <row r="550" spans="1:25" s="67" customFormat="1" outlineLevel="1">
      <c r="A550" s="38"/>
      <c r="B550" s="72"/>
      <c r="C550" s="72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s="67" customFormat="1" outlineLevel="1">
      <c r="A551" s="27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40"/>
      <c r="B552" s="66"/>
      <c r="C552" s="66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76"/>
      <c r="B553" s="77"/>
      <c r="C553" s="77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76"/>
      <c r="B554" s="77"/>
      <c r="C554" s="77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76"/>
      <c r="B555" s="77"/>
      <c r="C555" s="77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76"/>
      <c r="B556" s="77"/>
      <c r="C556" s="77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76"/>
      <c r="B557" s="77"/>
      <c r="C557" s="7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42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76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40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40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40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40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39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39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39"/>
      <c r="B571" s="77"/>
      <c r="C571" s="77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</row>
    <row r="572" spans="1:25" s="67" customFormat="1" outlineLevel="1">
      <c r="A572" s="39"/>
      <c r="B572" s="80"/>
      <c r="C572" s="80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ht="13.9" customHeight="1" outlineLevel="1">
      <c r="A573" s="38"/>
      <c r="B573" s="80"/>
      <c r="C573" s="80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39"/>
      <c r="B574" s="74"/>
      <c r="C574" s="74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38"/>
      <c r="B575" s="74"/>
      <c r="C575" s="74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</row>
    <row r="576" spans="1:25" s="67" customFormat="1" outlineLevel="1">
      <c r="A576" s="39"/>
      <c r="B576" s="74"/>
      <c r="C576" s="74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outlineLevel="1">
      <c r="A577" s="39"/>
      <c r="B577" s="74"/>
      <c r="C577" s="74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outlineLevel="1">
      <c r="A578" s="39"/>
      <c r="B578" s="74"/>
      <c r="C578" s="74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9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40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40"/>
      <c r="B581" s="66"/>
      <c r="C581" s="66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66"/>
      <c r="C582" s="66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66"/>
      <c r="C583" s="66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39"/>
      <c r="B584" s="66"/>
      <c r="C584" s="66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39"/>
      <c r="B585" s="66"/>
      <c r="C585" s="66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39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39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82"/>
      <c r="C588" s="82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82"/>
      <c r="C589" s="82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8"/>
      <c r="B590" s="80"/>
      <c r="C590" s="80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40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40"/>
      <c r="B592" s="66"/>
      <c r="C592" s="66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40"/>
      <c r="B593" s="66"/>
      <c r="C593" s="66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40"/>
      <c r="B594" s="80"/>
      <c r="C594" s="80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40"/>
      <c r="B595" s="80"/>
      <c r="C595" s="80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80"/>
      <c r="C596" s="80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outlineLevel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outlineLevel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outlineLevel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outlineLevel="1">
      <c r="A600" s="3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outlineLevel="1">
      <c r="A601" s="1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outlineLevel="1">
      <c r="A602" s="83"/>
      <c r="B602" s="6"/>
      <c r="C602" s="6"/>
      <c r="D602" s="6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3"/>
      <c r="B604" s="3"/>
      <c r="C604" s="3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idden="1" outlineLevel="2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idden="1" outlineLevel="2">
      <c r="A606" s="44"/>
      <c r="B606" s="6"/>
      <c r="C606" s="6"/>
      <c r="D606" s="6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idden="1" outlineLevel="2">
      <c r="A607" s="44"/>
      <c r="B607" s="6"/>
      <c r="C607" s="6"/>
      <c r="D607" s="6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idden="1" outlineLevel="2">
      <c r="A608" s="44"/>
      <c r="B608" s="6"/>
      <c r="C608" s="6"/>
      <c r="D608" s="6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idden="1" outlineLevel="2">
      <c r="A609" s="44"/>
      <c r="B609" s="6"/>
      <c r="C609" s="6"/>
      <c r="D609" s="6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6"/>
      <c r="B610" s="6"/>
      <c r="C610" s="6"/>
      <c r="D610" s="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17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44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44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44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6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6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6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6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17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44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outlineLevel="1" collapsed="1">
      <c r="A630" s="17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outlineLevel="1">
      <c r="A631" s="17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outlineLevel="1">
      <c r="A632" s="17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outlineLevel="1">
      <c r="A633" s="6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outlineLevel="1">
      <c r="A634" s="6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17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17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>
      <c r="A639" s="6"/>
      <c r="B639" s="6"/>
      <c r="C639" s="6"/>
      <c r="D639" s="6"/>
      <c r="E639" s="6"/>
      <c r="F639" s="6"/>
      <c r="G639" s="6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>
      <c r="A640" s="6"/>
      <c r="B640" s="6"/>
      <c r="C640" s="6"/>
      <c r="D640" s="6"/>
      <c r="E640" s="6"/>
      <c r="F640" s="6"/>
      <c r="G640" s="6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8:16" s="6" customFormat="1">
      <c r="H641" s="45"/>
      <c r="I641" s="45"/>
      <c r="J641" s="45"/>
      <c r="K641" s="45"/>
      <c r="L641" s="45"/>
      <c r="M641" s="45"/>
      <c r="N641" s="45"/>
      <c r="O641" s="45"/>
      <c r="P641" s="45"/>
    </row>
    <row r="642" spans="8:16" s="6" customFormat="1">
      <c r="H642" s="45"/>
      <c r="I642" s="45"/>
      <c r="J642" s="45"/>
      <c r="K642" s="45"/>
      <c r="L642" s="45"/>
      <c r="M642" s="45"/>
      <c r="N642" s="45"/>
      <c r="O642" s="45"/>
      <c r="P642" s="45"/>
    </row>
    <row r="643" spans="8:16" s="6" customFormat="1">
      <c r="H643" s="45"/>
      <c r="I643" s="45"/>
      <c r="J643" s="45"/>
      <c r="K643" s="45"/>
      <c r="L643" s="45"/>
      <c r="M643" s="45"/>
      <c r="N643" s="45"/>
      <c r="O643" s="45"/>
      <c r="P643" s="45"/>
    </row>
    <row r="644" spans="8:16" s="6" customFormat="1"/>
    <row r="645" spans="8:16" s="6" customFormat="1"/>
    <row r="646" spans="8:16" s="6" customFormat="1"/>
    <row r="647" spans="8:16" s="6" customFormat="1"/>
    <row r="648" spans="8:16" s="6" customFormat="1"/>
    <row r="649" spans="8:16" s="6" customFormat="1"/>
    <row r="650" spans="8:16" s="6" customFormat="1"/>
    <row r="651" spans="8:16" s="6" customFormat="1"/>
    <row r="652" spans="8:16" s="6" customFormat="1"/>
    <row r="653" spans="8:16" s="6" customFormat="1"/>
    <row r="654" spans="8:16" s="6" customFormat="1"/>
    <row r="655" spans="8:16" s="6" customFormat="1"/>
    <row r="656" spans="8:1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D856"/>
  <sheetViews>
    <sheetView topLeftCell="A153" zoomScale="75" zoomScaleNormal="75" workbookViewId="0">
      <selection activeCell="A169" sqref="A169:F193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94</v>
      </c>
      <c r="C1" s="418">
        <v>83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>
        <f>[8]Financials!I$14</f>
        <v>5017.8074424975784</v>
      </c>
      <c r="F10" s="163">
        <f>[8]Financials!J$14</f>
        <v>5017.8074424975784</v>
      </c>
      <c r="G10" s="163">
        <f>[8]Financials!K$14</f>
        <v>5017.8074424975784</v>
      </c>
      <c r="H10" s="163">
        <f>[8]Financials!L$14</f>
        <v>5017.8074424975784</v>
      </c>
      <c r="I10" s="163">
        <f>[8]Financials!M$14</f>
        <v>5017.8074424975784</v>
      </c>
      <c r="J10" s="163">
        <f>[8]Financials!N$14</f>
        <v>5017.8074424975784</v>
      </c>
      <c r="K10" s="163">
        <f>[8]Financials!O$14</f>
        <v>5017.8074424975784</v>
      </c>
      <c r="L10" s="163">
        <f>[8]Financials!P$14</f>
        <v>5017.8074424975784</v>
      </c>
      <c r="M10" s="163">
        <f>[8]Financials!Q$14</f>
        <v>5017.8074424975784</v>
      </c>
      <c r="N10" s="163">
        <f>[8]Financials!R$14</f>
        <v>5017.8074424975784</v>
      </c>
      <c r="O10" s="163">
        <f>[8]Financials!S$14</f>
        <v>5017.8074424975784</v>
      </c>
      <c r="P10" s="163">
        <f>[8]Financials!T$14</f>
        <v>5017.8074424975784</v>
      </c>
      <c r="Q10" s="163">
        <f>[8]Financials!U$14</f>
        <v>5017.8074424975784</v>
      </c>
      <c r="R10" s="163">
        <f>[8]Financials!V$14</f>
        <v>4342.6538596838018</v>
      </c>
      <c r="S10" s="163">
        <f>[8]Financials!W$14</f>
        <v>0</v>
      </c>
      <c r="T10" s="163">
        <f>[8]Financials!X$14</f>
        <v>0</v>
      </c>
      <c r="U10" s="163">
        <f>[8]Financials!Y$14</f>
        <v>0</v>
      </c>
      <c r="V10" s="163">
        <f>[8]Financials!Z$14</f>
        <v>0</v>
      </c>
      <c r="W10" s="163">
        <f>[8]Financials!AA$14</f>
        <v>0</v>
      </c>
      <c r="X10" s="163">
        <f>[8]Financials!AB$14</f>
        <v>0</v>
      </c>
      <c r="Y10" s="163">
        <f>[8]Financials!AC$14</f>
        <v>0</v>
      </c>
      <c r="AA10" s="355">
        <f t="shared" ref="AA10:AA38" si="1">SUM(F10:Y10)</f>
        <v>64556.343169654741</v>
      </c>
      <c r="AB10" s="356">
        <f>AA10*$C$60</f>
        <v>32278.171584827371</v>
      </c>
    </row>
    <row r="11" spans="1:28">
      <c r="A11" s="4" t="s">
        <v>8</v>
      </c>
      <c r="B11" s="9"/>
      <c r="C11" s="9"/>
      <c r="D11" s="86">
        <v>1</v>
      </c>
      <c r="E11" s="163">
        <f>[8]Financials!I$13</f>
        <v>6510.4640269834763</v>
      </c>
      <c r="F11" s="163">
        <f>[8]Financials!J$13</f>
        <v>6585.9324047872169</v>
      </c>
      <c r="G11" s="163">
        <f>[8]Financials!K$13</f>
        <v>6688.3438920187346</v>
      </c>
      <c r="H11" s="163">
        <f>[8]Financials!L$13</f>
        <v>7371.3983890953104</v>
      </c>
      <c r="I11" s="163">
        <f>[8]Financials!M$13</f>
        <v>8054.4528861718863</v>
      </c>
      <c r="J11" s="163">
        <f>[8]Financials!N$13</f>
        <v>8737.5073832484632</v>
      </c>
      <c r="K11" s="163">
        <f>[8]Financials!O$13</f>
        <v>9420.56188032504</v>
      </c>
      <c r="L11" s="163">
        <f>[8]Financials!P$13</f>
        <v>10103.616377401615</v>
      </c>
      <c r="M11" s="163">
        <f>[8]Financials!Q$13</f>
        <v>10786.670874478195</v>
      </c>
      <c r="N11" s="163">
        <f>[8]Financials!R$13</f>
        <v>11273.232427280929</v>
      </c>
      <c r="O11" s="163">
        <f>[8]Financials!S$13</f>
        <v>11759.793980083665</v>
      </c>
      <c r="P11" s="163">
        <f>[8]Financials!T$13</f>
        <v>12246.355532886399</v>
      </c>
      <c r="Q11" s="163">
        <f>[8]Financials!U$13</f>
        <v>12732.917085689132</v>
      </c>
      <c r="R11" s="163">
        <f>[8]Financials!V$13</f>
        <v>13138.740806365076</v>
      </c>
      <c r="S11" s="163">
        <f>[8]Financials!W$13</f>
        <v>0</v>
      </c>
      <c r="T11" s="163">
        <f>[8]Financials!X$13</f>
        <v>0</v>
      </c>
      <c r="U11" s="163">
        <f>[8]Financials!Y$13</f>
        <v>0</v>
      </c>
      <c r="V11" s="163">
        <f>[8]Financials!Z$13</f>
        <v>0</v>
      </c>
      <c r="W11" s="163">
        <f>[8]Financials!AA$13</f>
        <v>0</v>
      </c>
      <c r="X11" s="163">
        <f>[8]Financials!AB$13</f>
        <v>0</v>
      </c>
      <c r="Y11" s="163">
        <f>[8]Financials!AC$13</f>
        <v>0</v>
      </c>
      <c r="AA11" s="355">
        <f t="shared" si="1"/>
        <v>128899.52391983167</v>
      </c>
      <c r="AB11" s="356">
        <f t="shared" ref="AB11:AB74" si="2">AA11*$C$60</f>
        <v>64449.761959915835</v>
      </c>
    </row>
    <row r="12" spans="1:28">
      <c r="A12" s="4" t="s">
        <v>118</v>
      </c>
      <c r="B12" s="9"/>
      <c r="C12" s="9"/>
      <c r="D12" s="86">
        <v>1</v>
      </c>
      <c r="E12" s="163">
        <f>[8]Financials!I$15</f>
        <v>1268.6483908297475</v>
      </c>
      <c r="F12" s="163">
        <f>[8]Financials!J$15</f>
        <v>1001.5287980829073</v>
      </c>
      <c r="G12" s="163">
        <f>[8]Financials!K$15</f>
        <v>0</v>
      </c>
      <c r="H12" s="163">
        <f>[8]Financials!L$15</f>
        <v>0</v>
      </c>
      <c r="I12" s="163">
        <f>[8]Financials!M$15</f>
        <v>0</v>
      </c>
      <c r="J12" s="163">
        <f>[8]Financials!N$15</f>
        <v>0</v>
      </c>
      <c r="K12" s="163">
        <f>[8]Financials!O$15</f>
        <v>0</v>
      </c>
      <c r="L12" s="163">
        <f>[8]Financials!P$15</f>
        <v>0</v>
      </c>
      <c r="M12" s="163">
        <f>[8]Financials!Q$15</f>
        <v>0</v>
      </c>
      <c r="N12" s="163">
        <f>[8]Financials!R$15</f>
        <v>0</v>
      </c>
      <c r="O12" s="163">
        <f>[8]Financials!S$15</f>
        <v>0</v>
      </c>
      <c r="P12" s="163">
        <f>[8]Financials!T$15</f>
        <v>0</v>
      </c>
      <c r="Q12" s="163">
        <f>[8]Financials!U$15</f>
        <v>0</v>
      </c>
      <c r="R12" s="163">
        <f>[8]Financials!V$15</f>
        <v>0</v>
      </c>
      <c r="S12" s="163">
        <f>[8]Financials!W$15</f>
        <v>0</v>
      </c>
      <c r="T12" s="163">
        <f>[8]Financials!X$15</f>
        <v>0</v>
      </c>
      <c r="U12" s="163">
        <f>[8]Financials!Y$15</f>
        <v>0</v>
      </c>
      <c r="V12" s="163">
        <f>[8]Financials!Z$15</f>
        <v>0</v>
      </c>
      <c r="W12" s="163">
        <f>[8]Financials!AA$15</f>
        <v>0</v>
      </c>
      <c r="X12" s="163">
        <f>[8]Financials!AB$15</f>
        <v>0</v>
      </c>
      <c r="Y12" s="163">
        <f>[8]Financials!AC$15</f>
        <v>0</v>
      </c>
      <c r="AA12" s="355">
        <f t="shared" si="1"/>
        <v>1001.5287980829073</v>
      </c>
      <c r="AB12" s="356">
        <f t="shared" si="2"/>
        <v>500.76439904145366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12796.919860310802</v>
      </c>
      <c r="F20" s="86">
        <f t="shared" si="3"/>
        <v>12605.268645367703</v>
      </c>
      <c r="G20" s="86">
        <f t="shared" si="3"/>
        <v>11706.151334516313</v>
      </c>
      <c r="H20" s="86">
        <f t="shared" si="3"/>
        <v>12389.205831592888</v>
      </c>
      <c r="I20" s="86">
        <f t="shared" si="3"/>
        <v>13072.260328669465</v>
      </c>
      <c r="J20" s="86">
        <f t="shared" si="3"/>
        <v>13755.314825746042</v>
      </c>
      <c r="K20" s="86">
        <f t="shared" si="3"/>
        <v>14438.369322822618</v>
      </c>
      <c r="L20" s="86">
        <f t="shared" si="3"/>
        <v>15121.423819899193</v>
      </c>
      <c r="M20" s="86">
        <f t="shared" si="3"/>
        <v>15804.478316975774</v>
      </c>
      <c r="N20" s="86">
        <f t="shared" si="3"/>
        <v>16291.039869778508</v>
      </c>
      <c r="O20" s="86">
        <f t="shared" si="3"/>
        <v>16777.601422581243</v>
      </c>
      <c r="P20" s="86">
        <f t="shared" si="3"/>
        <v>17264.162975383977</v>
      </c>
      <c r="Q20" s="86">
        <f t="shared" si="3"/>
        <v>17750.724528186711</v>
      </c>
      <c r="R20" s="86">
        <f t="shared" si="3"/>
        <v>17481.39466604888</v>
      </c>
      <c r="S20" s="86">
        <f t="shared" si="3"/>
        <v>0</v>
      </c>
      <c r="T20" s="86">
        <f t="shared" si="3"/>
        <v>0</v>
      </c>
      <c r="U20" s="86">
        <f t="shared" si="3"/>
        <v>0</v>
      </c>
      <c r="V20" s="86">
        <f t="shared" si="3"/>
        <v>0</v>
      </c>
      <c r="W20" s="86">
        <f t="shared" si="3"/>
        <v>0</v>
      </c>
      <c r="X20" s="86">
        <f t="shared" si="3"/>
        <v>0</v>
      </c>
      <c r="Y20" s="86">
        <f t="shared" si="3"/>
        <v>0</v>
      </c>
      <c r="AA20" s="355">
        <f t="shared" si="1"/>
        <v>194457.39588756932</v>
      </c>
      <c r="AB20" s="356">
        <f t="shared" si="2"/>
        <v>97228.69794378466</v>
      </c>
    </row>
    <row r="21" spans="1:28">
      <c r="A21" s="4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94.917955592495034</v>
      </c>
      <c r="F23" s="417">
        <f>F25/$C$1</f>
        <v>100.63478050633255</v>
      </c>
      <c r="G23" s="417">
        <f>G25/$C$1</f>
        <v>101.81159309780649</v>
      </c>
      <c r="H23" s="417">
        <f>H25/$C$1</f>
        <v>104.18443653824636</v>
      </c>
      <c r="I23" s="417">
        <f t="shared" ref="I23:Y23" si="4">I25/$C$1</f>
        <v>106.35891583324818</v>
      </c>
      <c r="J23" s="417">
        <f t="shared" si="4"/>
        <v>109.03397716528913</v>
      </c>
      <c r="K23" s="417">
        <f t="shared" si="4"/>
        <v>111.88280272432655</v>
      </c>
      <c r="L23" s="417">
        <f t="shared" si="4"/>
        <v>114.82829022690102</v>
      </c>
      <c r="M23" s="417">
        <f t="shared" si="4"/>
        <v>121.64090171836072</v>
      </c>
      <c r="N23" s="417">
        <f t="shared" si="4"/>
        <v>126.64340877820206</v>
      </c>
      <c r="O23" s="417">
        <f t="shared" si="4"/>
        <v>129.80343382635974</v>
      </c>
      <c r="P23" s="417">
        <f t="shared" si="4"/>
        <v>133.0266104951391</v>
      </c>
      <c r="Q23" s="417">
        <f t="shared" si="4"/>
        <v>136.31445390364738</v>
      </c>
      <c r="R23" s="417">
        <f t="shared" si="4"/>
        <v>138.84887423040519</v>
      </c>
      <c r="S23" s="417">
        <f t="shared" si="4"/>
        <v>0</v>
      </c>
      <c r="T23" s="417">
        <f t="shared" si="4"/>
        <v>0</v>
      </c>
      <c r="U23" s="417">
        <f t="shared" si="4"/>
        <v>0</v>
      </c>
      <c r="V23" s="417">
        <f t="shared" si="4"/>
        <v>0</v>
      </c>
      <c r="W23" s="417">
        <f t="shared" si="4"/>
        <v>0</v>
      </c>
      <c r="X23" s="417">
        <f t="shared" si="4"/>
        <v>0</v>
      </c>
      <c r="Y23" s="417">
        <f t="shared" si="4"/>
        <v>0</v>
      </c>
      <c r="AA23" s="355">
        <f t="shared" si="1"/>
        <v>1535.0124790442642</v>
      </c>
      <c r="AB23" s="356">
        <f t="shared" si="2"/>
        <v>767.50623952213209</v>
      </c>
    </row>
    <row r="24" spans="1:28">
      <c r="A24" s="4" t="s">
        <v>36</v>
      </c>
      <c r="D24" s="86">
        <v>0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SUM([8]Financials!I$20:I$29)</f>
        <v>7878.1903141770881</v>
      </c>
      <c r="F25" s="163">
        <f>SUM([8]Financials!J$20:J$29)</f>
        <v>8352.6867820256011</v>
      </c>
      <c r="G25" s="163">
        <f>SUM([8]Financials!K$20:K$29)</f>
        <v>8450.3622271179393</v>
      </c>
      <c r="H25" s="163">
        <f>SUM([8]Financials!L$20:L$29)</f>
        <v>8647.3082326744479</v>
      </c>
      <c r="I25" s="163">
        <f>SUM([8]Financials!M$20:M$29)</f>
        <v>8827.7900141595983</v>
      </c>
      <c r="J25" s="163">
        <f>SUM([8]Financials!N$20:N$29)</f>
        <v>9049.8201047189978</v>
      </c>
      <c r="K25" s="163">
        <f>SUM([8]Financials!O$20:O$29)</f>
        <v>9286.2726261191037</v>
      </c>
      <c r="L25" s="163">
        <f>SUM([8]Financials!P$20:P$29)</f>
        <v>9530.7480888327846</v>
      </c>
      <c r="M25" s="163">
        <f>SUM([8]Financials!Q$20:Q$29)</f>
        <v>10096.19484262394</v>
      </c>
      <c r="N25" s="163">
        <f>SUM([8]Financials!R$20:R$29)</f>
        <v>10511.402928590771</v>
      </c>
      <c r="O25" s="163">
        <f>SUM([8]Financials!S$20:S$29)</f>
        <v>10773.685007587857</v>
      </c>
      <c r="P25" s="163">
        <f>SUM([8]Financials!T$20:T$29)</f>
        <v>11041.208671096545</v>
      </c>
      <c r="Q25" s="163">
        <f>SUM([8]Financials!U$20:U$29)</f>
        <v>11314.099674002733</v>
      </c>
      <c r="R25" s="163">
        <f>SUM([8]Financials!V$20:V$29)</f>
        <v>11524.45656112363</v>
      </c>
      <c r="S25" s="163">
        <f>SUM([8]Financials!W$20:W$29)</f>
        <v>0</v>
      </c>
      <c r="T25" s="163">
        <f>SUM([8]Financials!X$20:X$29)</f>
        <v>0</v>
      </c>
      <c r="U25" s="163">
        <f>SUM([8]Financials!Y$20:Y$29)</f>
        <v>0</v>
      </c>
      <c r="V25" s="163">
        <f>SUM([8]Financials!Z$20:Z$29)</f>
        <v>0</v>
      </c>
      <c r="W25" s="163">
        <f>SUM([8]Financials!AA$20:AA$29)</f>
        <v>0</v>
      </c>
      <c r="X25" s="163">
        <f>SUM([8]Financials!AB$20:AB$29)</f>
        <v>0</v>
      </c>
      <c r="Y25" s="163">
        <f>SUM([8]Financials!AC$20:AC$29)</f>
        <v>0</v>
      </c>
      <c r="AA25" s="355">
        <f t="shared" si="1"/>
        <v>127406.03576067396</v>
      </c>
      <c r="AB25" s="356">
        <f t="shared" si="2"/>
        <v>63703.017880336978</v>
      </c>
    </row>
    <row r="26" spans="1:28">
      <c r="A26" s="4" t="s">
        <v>16</v>
      </c>
      <c r="D26" s="86">
        <v>0</v>
      </c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>
        <f>[8]Financials!I$30</f>
        <v>318</v>
      </c>
      <c r="F28" s="163">
        <f>[8]Financials!J$30</f>
        <v>324.99599999999998</v>
      </c>
      <c r="G28" s="163">
        <f>[8]Financials!K$30</f>
        <v>332.79590400000001</v>
      </c>
      <c r="H28" s="163">
        <f>[8]Financials!L$30</f>
        <v>340.78300569600003</v>
      </c>
      <c r="I28" s="163">
        <f>[8]Financials!M$30</f>
        <v>348.62101482700803</v>
      </c>
      <c r="J28" s="163">
        <f>[8]Financials!N$30</f>
        <v>356.98791918285622</v>
      </c>
      <c r="K28" s="163">
        <f>[8]Financials!O$30</f>
        <v>365.55562924324477</v>
      </c>
      <c r="L28" s="163">
        <f>[8]Financials!P$30</f>
        <v>374.32896434508262</v>
      </c>
      <c r="M28" s="163">
        <f>[8]Financials!Q$30</f>
        <v>383.3128594893646</v>
      </c>
      <c r="N28" s="163">
        <f>[8]Financials!R$30</f>
        <v>392.51236811710936</v>
      </c>
      <c r="O28" s="163">
        <f>[8]Financials!S$30</f>
        <v>401.93266495192</v>
      </c>
      <c r="P28" s="163">
        <f>[8]Financials!T$30</f>
        <v>411.57904891076612</v>
      </c>
      <c r="Q28" s="163">
        <f>[8]Financials!U$30</f>
        <v>421.45694608462452</v>
      </c>
      <c r="R28" s="163">
        <f>[8]Financials!V$30</f>
        <v>431.57191279065552</v>
      </c>
      <c r="S28" s="163">
        <f>[8]Financials!W$30</f>
        <v>0</v>
      </c>
      <c r="T28" s="163">
        <f>[8]Financials!X$30</f>
        <v>0</v>
      </c>
      <c r="U28" s="163">
        <f>[8]Financials!Y$30</f>
        <v>0</v>
      </c>
      <c r="V28" s="163">
        <f>[8]Financials!Z$30</f>
        <v>0</v>
      </c>
      <c r="W28" s="163">
        <f>[8]Financials!AA$30</f>
        <v>0</v>
      </c>
      <c r="X28" s="163">
        <f>[8]Financials!AB$30</f>
        <v>0</v>
      </c>
      <c r="Y28" s="163">
        <f>[8]Financials!AC$30</f>
        <v>0</v>
      </c>
      <c r="AA28" s="355">
        <f t="shared" si="1"/>
        <v>4886.4342376386321</v>
      </c>
      <c r="AB28" s="356">
        <f t="shared" si="2"/>
        <v>2443.2171188193161</v>
      </c>
    </row>
    <row r="29" spans="1:28">
      <c r="A29" s="4" t="s">
        <v>3</v>
      </c>
      <c r="D29" s="86">
        <v>0</v>
      </c>
      <c r="E29" s="163">
        <f>[8]Financials!I$31</f>
        <v>104</v>
      </c>
      <c r="F29" s="163">
        <f>[8]Financials!J$31</f>
        <v>106.288</v>
      </c>
      <c r="G29" s="163">
        <f>[8]Financials!K$31</f>
        <v>108.83891199999999</v>
      </c>
      <c r="H29" s="163">
        <f>[8]Financials!L$31</f>
        <v>111.451045888</v>
      </c>
      <c r="I29" s="163">
        <f>[8]Financials!M$31</f>
        <v>114.01441994342399</v>
      </c>
      <c r="J29" s="163">
        <f>[8]Financials!N$31</f>
        <v>116.75076602206616</v>
      </c>
      <c r="K29" s="163">
        <f>[8]Financials!O$31</f>
        <v>119.55278440659575</v>
      </c>
      <c r="L29" s="163">
        <f>[8]Financials!P$31</f>
        <v>122.42205123235405</v>
      </c>
      <c r="M29" s="163">
        <f>[8]Financials!Q$31</f>
        <v>125.36018046193055</v>
      </c>
      <c r="N29" s="163">
        <f>[8]Financials!R$31</f>
        <v>128.3688247930169</v>
      </c>
      <c r="O29" s="163">
        <f>[8]Financials!S$31</f>
        <v>131.4496765880493</v>
      </c>
      <c r="P29" s="163">
        <f>[8]Financials!T$31</f>
        <v>134.60446882616247</v>
      </c>
      <c r="Q29" s="163">
        <f>[8]Financials!U$31</f>
        <v>137.83497607799038</v>
      </c>
      <c r="R29" s="163">
        <f>[8]Financials!V$31</f>
        <v>141.14301550386216</v>
      </c>
      <c r="S29" s="163">
        <f>[8]Financials!W$31</f>
        <v>0</v>
      </c>
      <c r="T29" s="163">
        <f>[8]Financials!X$31</f>
        <v>0</v>
      </c>
      <c r="U29" s="163">
        <f>[8]Financials!Y$31</f>
        <v>0</v>
      </c>
      <c r="V29" s="163">
        <f>[8]Financials!Z$31</f>
        <v>0</v>
      </c>
      <c r="W29" s="163">
        <f>[8]Financials!AA$31</f>
        <v>0</v>
      </c>
      <c r="X29" s="163">
        <f>[8]Financials!AB$31</f>
        <v>0</v>
      </c>
      <c r="Y29" s="163">
        <f>[8]Financials!AC$31</f>
        <v>0</v>
      </c>
      <c r="AA29" s="355">
        <f t="shared" si="1"/>
        <v>1598.0791217434517</v>
      </c>
      <c r="AB29" s="356">
        <f t="shared" si="2"/>
        <v>799.03956087172583</v>
      </c>
    </row>
    <row r="30" spans="1:28">
      <c r="A30" s="4" t="s">
        <v>38</v>
      </c>
      <c r="D30" s="86">
        <v>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86">
        <v>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AA31" s="355">
        <f t="shared" si="1"/>
        <v>0</v>
      </c>
      <c r="AB31" s="356">
        <f t="shared" si="2"/>
        <v>0</v>
      </c>
    </row>
    <row r="32" spans="1:28">
      <c r="A32" s="4" t="s">
        <v>34</v>
      </c>
      <c r="D32" s="86">
        <v>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>
        <f>[8]Financials!I$33</f>
        <v>346.13088000000005</v>
      </c>
      <c r="F34" s="163">
        <f>[8]Financials!J$33</f>
        <v>353.05349760000007</v>
      </c>
      <c r="G34" s="163">
        <f>[8]Financials!K$33</f>
        <v>360.82067454720004</v>
      </c>
      <c r="H34" s="163">
        <f>[8]Financials!L$33</f>
        <v>369.48037073633287</v>
      </c>
      <c r="I34" s="163">
        <f>[8]Financials!M$33</f>
        <v>378.34789963400488</v>
      </c>
      <c r="J34" s="163">
        <f>[8]Financials!N$33</f>
        <v>387.04990132558697</v>
      </c>
      <c r="K34" s="163">
        <f>[8]Financials!O$33</f>
        <v>396.33909895740101</v>
      </c>
      <c r="L34" s="163">
        <f>[8]Financials!P$33</f>
        <v>405.85123733237867</v>
      </c>
      <c r="M34" s="163">
        <f>[8]Financials!Q$33</f>
        <v>415.5916670283558</v>
      </c>
      <c r="N34" s="163">
        <f>[8]Financials!R$33</f>
        <v>425.56586703703636</v>
      </c>
      <c r="O34" s="163">
        <f>[8]Financials!S$33</f>
        <v>435.77944784592523</v>
      </c>
      <c r="P34" s="163">
        <f>[8]Financials!T$33</f>
        <v>446.23815459422741</v>
      </c>
      <c r="Q34" s="163">
        <f>[8]Financials!U$33</f>
        <v>456.9478703044889</v>
      </c>
      <c r="R34" s="163">
        <f>[8]Financials!V$33</f>
        <v>467.91461919179665</v>
      </c>
      <c r="S34" s="163">
        <f>[8]Financials!W$33</f>
        <v>0</v>
      </c>
      <c r="T34" s="163">
        <f>[8]Financials!X$33</f>
        <v>0</v>
      </c>
      <c r="U34" s="163">
        <f>[8]Financials!Y$33</f>
        <v>0</v>
      </c>
      <c r="V34" s="163">
        <f>[8]Financials!Z$33</f>
        <v>0</v>
      </c>
      <c r="W34" s="163">
        <f>[8]Financials!AA$33</f>
        <v>0</v>
      </c>
      <c r="X34" s="163">
        <f>[8]Financials!AB$33</f>
        <v>0</v>
      </c>
      <c r="Y34" s="163">
        <f>[8]Financials!AC$33</f>
        <v>0</v>
      </c>
      <c r="AA34" s="355">
        <f t="shared" si="1"/>
        <v>5298.9803061347338</v>
      </c>
      <c r="AB34" s="356">
        <f t="shared" si="2"/>
        <v>2649.4901530673669</v>
      </c>
    </row>
    <row r="35" spans="1:28">
      <c r="A35" s="4" t="s">
        <v>19</v>
      </c>
      <c r="B35" s="6"/>
      <c r="C35" s="6"/>
      <c r="D35" s="87">
        <v>0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8646.3211941770896</v>
      </c>
      <c r="F36" s="86">
        <f t="shared" si="5"/>
        <v>9137.0242796256007</v>
      </c>
      <c r="G36" s="86">
        <f t="shared" si="5"/>
        <v>9252.8177176651388</v>
      </c>
      <c r="H36" s="86">
        <f t="shared" si="5"/>
        <v>9469.0226549947802</v>
      </c>
      <c r="I36" s="86">
        <f t="shared" si="5"/>
        <v>9668.7733485640347</v>
      </c>
      <c r="J36" s="86">
        <f t="shared" si="5"/>
        <v>9910.6086912495066</v>
      </c>
      <c r="K36" s="86">
        <f t="shared" si="5"/>
        <v>10167.720138726347</v>
      </c>
      <c r="L36" s="86">
        <f t="shared" si="5"/>
        <v>10433.3503417426</v>
      </c>
      <c r="M36" s="86">
        <f t="shared" si="5"/>
        <v>11020.459549603589</v>
      </c>
      <c r="N36" s="86">
        <f t="shared" si="5"/>
        <v>11457.849988537933</v>
      </c>
      <c r="O36" s="86">
        <f t="shared" si="5"/>
        <v>11742.846796973752</v>
      </c>
      <c r="P36" s="86">
        <f t="shared" si="5"/>
        <v>12033.630343427702</v>
      </c>
      <c r="Q36" s="86">
        <f t="shared" si="5"/>
        <v>12330.339466469839</v>
      </c>
      <c r="R36" s="86">
        <f t="shared" si="5"/>
        <v>12565.086108609945</v>
      </c>
      <c r="S36" s="86">
        <f t="shared" si="5"/>
        <v>0</v>
      </c>
      <c r="T36" s="86">
        <f t="shared" si="5"/>
        <v>0</v>
      </c>
      <c r="U36" s="86">
        <f t="shared" si="5"/>
        <v>0</v>
      </c>
      <c r="V36" s="86">
        <f t="shared" si="5"/>
        <v>0</v>
      </c>
      <c r="W36" s="86">
        <f t="shared" si="5"/>
        <v>0</v>
      </c>
      <c r="X36" s="86">
        <f t="shared" si="5"/>
        <v>0</v>
      </c>
      <c r="Y36" s="86">
        <f t="shared" si="5"/>
        <v>0</v>
      </c>
      <c r="AA36" s="355">
        <f t="shared" si="1"/>
        <v>139189.52942619077</v>
      </c>
      <c r="AB36" s="356">
        <f t="shared" si="2"/>
        <v>69594.764713095385</v>
      </c>
    </row>
    <row r="37" spans="1:28" outlineLevel="1">
      <c r="A37" s="4"/>
      <c r="B37" s="92"/>
      <c r="C37" s="92"/>
      <c r="D37" s="86"/>
      <c r="E37" s="416">
        <f>E36/E20</f>
        <v>0.67565643049725987</v>
      </c>
      <c r="F37" s="416">
        <f t="shared" ref="F37:Y37" si="6">F36/F20</f>
        <v>0.72485756049184691</v>
      </c>
      <c r="G37" s="416">
        <f t="shared" si="6"/>
        <v>0.79042355196473768</v>
      </c>
      <c r="H37" s="416">
        <f t="shared" si="6"/>
        <v>0.76429617714869635</v>
      </c>
      <c r="I37" s="416">
        <f t="shared" si="6"/>
        <v>0.73964051399427355</v>
      </c>
      <c r="J37" s="416">
        <f t="shared" si="6"/>
        <v>0.72049304700025207</v>
      </c>
      <c r="K37" s="416">
        <f t="shared" si="6"/>
        <v>0.70421526914776378</v>
      </c>
      <c r="L37" s="416">
        <f t="shared" si="6"/>
        <v>0.68997142504614717</v>
      </c>
      <c r="M37" s="416">
        <f t="shared" si="6"/>
        <v>0.69729979873909442</v>
      </c>
      <c r="N37" s="416">
        <f t="shared" si="6"/>
        <v>0.70332219920432337</v>
      </c>
      <c r="O37" s="416">
        <f t="shared" si="6"/>
        <v>0.69991213292079202</v>
      </c>
      <c r="P37" s="416">
        <f t="shared" si="6"/>
        <v>0.69702946853466308</v>
      </c>
      <c r="Q37" s="416">
        <f t="shared" si="6"/>
        <v>0.69463865809478709</v>
      </c>
      <c r="R37" s="416">
        <f t="shared" si="6"/>
        <v>0.71876908843051068</v>
      </c>
      <c r="S37" s="416" t="e">
        <f t="shared" si="6"/>
        <v>#DIV/0!</v>
      </c>
      <c r="T37" s="416" t="e">
        <f t="shared" si="6"/>
        <v>#DIV/0!</v>
      </c>
      <c r="U37" s="416" t="e">
        <f t="shared" si="6"/>
        <v>#DIV/0!</v>
      </c>
      <c r="V37" s="416" t="e">
        <f t="shared" si="6"/>
        <v>#DIV/0!</v>
      </c>
      <c r="W37" s="416" t="e">
        <f t="shared" si="6"/>
        <v>#DIV/0!</v>
      </c>
      <c r="X37" s="416" t="e">
        <f t="shared" si="6"/>
        <v>#DIV/0!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4150.598666133712</v>
      </c>
      <c r="F39" s="89">
        <f t="shared" si="7"/>
        <v>3468.2443657421027</v>
      </c>
      <c r="G39" s="89">
        <f t="shared" si="7"/>
        <v>2453.3336168511742</v>
      </c>
      <c r="H39" s="89">
        <f t="shared" si="7"/>
        <v>2920.1831765981078</v>
      </c>
      <c r="I39" s="89">
        <f t="shared" si="7"/>
        <v>3403.4869801054301</v>
      </c>
      <c r="J39" s="89">
        <f t="shared" si="7"/>
        <v>3844.706134496535</v>
      </c>
      <c r="K39" s="89">
        <f t="shared" si="7"/>
        <v>4270.6491840962717</v>
      </c>
      <c r="L39" s="89">
        <f t="shared" si="7"/>
        <v>4688.0734781565934</v>
      </c>
      <c r="M39" s="89">
        <f t="shared" si="7"/>
        <v>4784.0187673721848</v>
      </c>
      <c r="N39" s="89">
        <f t="shared" si="7"/>
        <v>4833.1898812405743</v>
      </c>
      <c r="O39" s="89">
        <f t="shared" si="7"/>
        <v>5034.7546256074911</v>
      </c>
      <c r="P39" s="89">
        <f t="shared" si="7"/>
        <v>5230.5326319562755</v>
      </c>
      <c r="Q39" s="89">
        <f t="shared" si="7"/>
        <v>5420.3850617168719</v>
      </c>
      <c r="R39" s="89">
        <f t="shared" si="7"/>
        <v>4916.3085574389352</v>
      </c>
      <c r="S39" s="89">
        <f t="shared" si="7"/>
        <v>0</v>
      </c>
      <c r="T39" s="89">
        <f t="shared" si="7"/>
        <v>0</v>
      </c>
      <c r="U39" s="89">
        <f t="shared" si="7"/>
        <v>0</v>
      </c>
      <c r="V39" s="89">
        <f t="shared" si="7"/>
        <v>0</v>
      </c>
      <c r="W39" s="89">
        <f t="shared" si="7"/>
        <v>0</v>
      </c>
      <c r="X39" s="89">
        <f t="shared" si="7"/>
        <v>0</v>
      </c>
      <c r="Y39" s="89">
        <f t="shared" si="7"/>
        <v>0</v>
      </c>
      <c r="AA39" s="355">
        <f>SUM(F39:Y39)</f>
        <v>55267.866461378544</v>
      </c>
      <c r="AB39" s="356">
        <f t="shared" si="2"/>
        <v>27633.933230689272</v>
      </c>
    </row>
    <row r="40" spans="1:28" s="17" customFormat="1">
      <c r="A40" s="1"/>
      <c r="B40" s="1"/>
      <c r="C40" s="1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1345</v>
      </c>
      <c r="G41" s="86">
        <f t="shared" ref="G41:Y41" si="9">+G109</f>
        <v>1345</v>
      </c>
      <c r="H41" s="86">
        <f t="shared" si="9"/>
        <v>1345</v>
      </c>
      <c r="I41" s="86">
        <f t="shared" si="9"/>
        <v>1345</v>
      </c>
      <c r="J41" s="86">
        <f t="shared" si="9"/>
        <v>1345</v>
      </c>
      <c r="K41" s="86">
        <f t="shared" si="9"/>
        <v>1345</v>
      </c>
      <c r="L41" s="86">
        <f t="shared" si="9"/>
        <v>1345</v>
      </c>
      <c r="M41" s="86">
        <f t="shared" si="9"/>
        <v>1345</v>
      </c>
      <c r="N41" s="86">
        <f t="shared" si="9"/>
        <v>1345</v>
      </c>
      <c r="O41" s="86">
        <f t="shared" si="9"/>
        <v>1345</v>
      </c>
      <c r="P41" s="86">
        <f t="shared" si="9"/>
        <v>1345</v>
      </c>
      <c r="Q41" s="86">
        <f t="shared" si="9"/>
        <v>1345</v>
      </c>
      <c r="R41" s="86">
        <f t="shared" si="9"/>
        <v>1345</v>
      </c>
      <c r="S41" s="86">
        <f t="shared" si="9"/>
        <v>0</v>
      </c>
      <c r="T41" s="86">
        <f t="shared" si="9"/>
        <v>0</v>
      </c>
      <c r="U41" s="86">
        <f t="shared" si="9"/>
        <v>0</v>
      </c>
      <c r="V41" s="86">
        <f t="shared" si="9"/>
        <v>0</v>
      </c>
      <c r="W41" s="86">
        <f t="shared" si="9"/>
        <v>0</v>
      </c>
      <c r="X41" s="86">
        <f t="shared" si="9"/>
        <v>0</v>
      </c>
      <c r="Y41" s="86">
        <f t="shared" si="9"/>
        <v>0</v>
      </c>
      <c r="AA41" s="355">
        <f t="shared" si="8"/>
        <v>17485</v>
      </c>
      <c r="AB41" s="356">
        <f t="shared" si="2"/>
        <v>8742.5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4150.598666133712</v>
      </c>
      <c r="F44" s="89">
        <f t="shared" si="10"/>
        <v>2123.2443657421027</v>
      </c>
      <c r="G44" s="89">
        <f t="shared" si="10"/>
        <v>1108.3336168511742</v>
      </c>
      <c r="H44" s="89">
        <f t="shared" si="10"/>
        <v>1575.1831765981078</v>
      </c>
      <c r="I44" s="89">
        <f t="shared" si="10"/>
        <v>2058.4869801054301</v>
      </c>
      <c r="J44" s="89">
        <f t="shared" si="10"/>
        <v>2499.706134496535</v>
      </c>
      <c r="K44" s="89">
        <f t="shared" si="10"/>
        <v>2925.6491840962717</v>
      </c>
      <c r="L44" s="89">
        <f t="shared" si="10"/>
        <v>3343.0734781565934</v>
      </c>
      <c r="M44" s="89">
        <f t="shared" si="10"/>
        <v>3439.0187673721848</v>
      </c>
      <c r="N44" s="89">
        <f t="shared" si="10"/>
        <v>3488.1898812405743</v>
      </c>
      <c r="O44" s="89">
        <f t="shared" si="10"/>
        <v>3689.7546256074911</v>
      </c>
      <c r="P44" s="89">
        <f t="shared" si="10"/>
        <v>3885.5326319562755</v>
      </c>
      <c r="Q44" s="89">
        <f t="shared" si="10"/>
        <v>4075.3850617168719</v>
      </c>
      <c r="R44" s="89">
        <f t="shared" si="10"/>
        <v>3571.3085574389352</v>
      </c>
      <c r="S44" s="89">
        <f t="shared" si="10"/>
        <v>0</v>
      </c>
      <c r="T44" s="89">
        <f t="shared" si="10"/>
        <v>0</v>
      </c>
      <c r="U44" s="89">
        <f t="shared" si="10"/>
        <v>0</v>
      </c>
      <c r="V44" s="89">
        <f t="shared" si="10"/>
        <v>0</v>
      </c>
      <c r="W44" s="89">
        <f t="shared" si="10"/>
        <v>0</v>
      </c>
      <c r="X44" s="89">
        <f t="shared" si="10"/>
        <v>0</v>
      </c>
      <c r="Y44" s="89">
        <f t="shared" si="10"/>
        <v>0</v>
      </c>
      <c r="AA44" s="355">
        <f t="shared" si="8"/>
        <v>37782.866461378544</v>
      </c>
      <c r="AB44" s="356">
        <f t="shared" si="2"/>
        <v>18891.433230689272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4150.598666133712</v>
      </c>
      <c r="F49" s="89">
        <f t="shared" si="11"/>
        <v>2123.2443657421027</v>
      </c>
      <c r="G49" s="89">
        <f t="shared" si="11"/>
        <v>1108.3336168511742</v>
      </c>
      <c r="H49" s="89">
        <f t="shared" si="11"/>
        <v>1575.1831765981078</v>
      </c>
      <c r="I49" s="89">
        <f t="shared" si="11"/>
        <v>2058.4869801054301</v>
      </c>
      <c r="J49" s="89">
        <f t="shared" si="11"/>
        <v>2499.706134496535</v>
      </c>
      <c r="K49" s="89">
        <f t="shared" si="11"/>
        <v>2925.6491840962717</v>
      </c>
      <c r="L49" s="89">
        <f t="shared" si="11"/>
        <v>3343.0734781565934</v>
      </c>
      <c r="M49" s="89">
        <f t="shared" si="11"/>
        <v>3439.0187673721848</v>
      </c>
      <c r="N49" s="89">
        <f t="shared" si="11"/>
        <v>3488.1898812405743</v>
      </c>
      <c r="O49" s="89">
        <f t="shared" si="11"/>
        <v>3689.7546256074911</v>
      </c>
      <c r="P49" s="89">
        <f t="shared" si="11"/>
        <v>3885.5326319562755</v>
      </c>
      <c r="Q49" s="89">
        <f t="shared" si="11"/>
        <v>4075.3850617168719</v>
      </c>
      <c r="R49" s="89">
        <f t="shared" si="11"/>
        <v>3571.3085574389352</v>
      </c>
      <c r="S49" s="89">
        <f t="shared" si="11"/>
        <v>0</v>
      </c>
      <c r="T49" s="89">
        <f t="shared" si="11"/>
        <v>0</v>
      </c>
      <c r="U49" s="89">
        <f t="shared" si="11"/>
        <v>0</v>
      </c>
      <c r="V49" s="89">
        <f t="shared" si="11"/>
        <v>0</v>
      </c>
      <c r="W49" s="89">
        <f t="shared" si="11"/>
        <v>0</v>
      </c>
      <c r="X49" s="89">
        <f t="shared" si="11"/>
        <v>0</v>
      </c>
      <c r="Y49" s="89">
        <f t="shared" si="11"/>
        <v>0</v>
      </c>
      <c r="AA49" s="355">
        <f t="shared" si="8"/>
        <v>37782.866461378544</v>
      </c>
      <c r="AB49" s="356">
        <f t="shared" si="2"/>
        <v>18891.433230689272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7">
        <v>0.05</v>
      </c>
      <c r="D51" s="86"/>
      <c r="E51" s="86">
        <f t="shared" ref="E51:Y51" si="12">E49*-$C$51</f>
        <v>-207.52993330668562</v>
      </c>
      <c r="F51" s="86">
        <f t="shared" si="12"/>
        <v>-106.16221828710513</v>
      </c>
      <c r="G51" s="51">
        <f t="shared" si="12"/>
        <v>-55.416680842558712</v>
      </c>
      <c r="H51" s="86">
        <f t="shared" si="12"/>
        <v>-78.759158829905402</v>
      </c>
      <c r="I51" s="86">
        <f t="shared" si="12"/>
        <v>-102.92434900527151</v>
      </c>
      <c r="J51" s="86">
        <f t="shared" si="12"/>
        <v>-124.98530672482676</v>
      </c>
      <c r="K51" s="86">
        <f t="shared" si="12"/>
        <v>-146.28245920481359</v>
      </c>
      <c r="L51" s="86">
        <f t="shared" si="12"/>
        <v>-167.15367390782967</v>
      </c>
      <c r="M51" s="86">
        <f t="shared" si="12"/>
        <v>-171.95093836860926</v>
      </c>
      <c r="N51" s="86">
        <f t="shared" si="12"/>
        <v>-174.40949406202873</v>
      </c>
      <c r="O51" s="86">
        <f t="shared" si="12"/>
        <v>-184.48773128037456</v>
      </c>
      <c r="P51" s="86">
        <f t="shared" si="12"/>
        <v>-194.27663159781378</v>
      </c>
      <c r="Q51" s="86">
        <f t="shared" si="12"/>
        <v>-203.76925308584362</v>
      </c>
      <c r="R51" s="86">
        <f t="shared" si="12"/>
        <v>-178.56542787194678</v>
      </c>
      <c r="S51" s="86">
        <f t="shared" si="12"/>
        <v>0</v>
      </c>
      <c r="T51" s="86">
        <f t="shared" si="12"/>
        <v>0</v>
      </c>
      <c r="U51" s="86">
        <f t="shared" si="12"/>
        <v>0</v>
      </c>
      <c r="V51" s="86">
        <f t="shared" si="12"/>
        <v>0</v>
      </c>
      <c r="W51" s="86">
        <f t="shared" si="12"/>
        <v>0</v>
      </c>
      <c r="X51" s="86">
        <f t="shared" si="12"/>
        <v>0</v>
      </c>
      <c r="Y51" s="86">
        <f t="shared" si="12"/>
        <v>0</v>
      </c>
      <c r="AA51" s="355">
        <f t="shared" si="8"/>
        <v>-1889.1433230689277</v>
      </c>
      <c r="AB51" s="356">
        <f t="shared" si="2"/>
        <v>-944.57166153446383</v>
      </c>
    </row>
    <row r="52" spans="1:28">
      <c r="A52" s="4" t="s">
        <v>27</v>
      </c>
      <c r="C52" s="168">
        <v>0.35</v>
      </c>
      <c r="D52" s="85"/>
      <c r="E52" s="85">
        <f>((E49+E51)*-$C$52)+E56</f>
        <v>-854.92205745265926</v>
      </c>
      <c r="F52" s="85">
        <f t="shared" ref="F52:Y52" si="13">((F49+F51)*-$C$52)+F56</f>
        <v>-180.8267525724491</v>
      </c>
      <c r="G52" s="85">
        <f t="shared" si="13"/>
        <v>156.6310714337846</v>
      </c>
      <c r="H52" s="85">
        <f t="shared" si="13"/>
        <v>34.225592757729146</v>
      </c>
      <c r="I52" s="85">
        <f t="shared" si="13"/>
        <v>-684.44692088505542</v>
      </c>
      <c r="J52" s="85">
        <f t="shared" si="13"/>
        <v>-831.15228972009777</v>
      </c>
      <c r="K52" s="85">
        <f t="shared" si="13"/>
        <v>-972.77835371201024</v>
      </c>
      <c r="L52" s="85">
        <f t="shared" si="13"/>
        <v>-1111.5719314870673</v>
      </c>
      <c r="M52" s="85">
        <f t="shared" si="13"/>
        <v>-1143.4737401512514</v>
      </c>
      <c r="N52" s="85">
        <f t="shared" si="13"/>
        <v>-1159.8231355124908</v>
      </c>
      <c r="O52" s="85">
        <f t="shared" si="13"/>
        <v>-1226.8434130144906</v>
      </c>
      <c r="P52" s="85">
        <f t="shared" si="13"/>
        <v>-1291.9396001254615</v>
      </c>
      <c r="Q52" s="85">
        <f t="shared" si="13"/>
        <v>-1355.0655330208599</v>
      </c>
      <c r="R52" s="85">
        <f t="shared" si="13"/>
        <v>-1187.460095348446</v>
      </c>
      <c r="S52" s="85">
        <f t="shared" si="13"/>
        <v>0</v>
      </c>
      <c r="T52" s="85">
        <f t="shared" si="13"/>
        <v>0</v>
      </c>
      <c r="U52" s="85">
        <f t="shared" si="13"/>
        <v>0</v>
      </c>
      <c r="V52" s="85">
        <f t="shared" si="13"/>
        <v>0</v>
      </c>
      <c r="W52" s="85">
        <f t="shared" si="13"/>
        <v>0</v>
      </c>
      <c r="X52" s="85">
        <f t="shared" si="13"/>
        <v>0</v>
      </c>
      <c r="Y52" s="85">
        <f t="shared" si="13"/>
        <v>0</v>
      </c>
      <c r="AA52" s="355">
        <f t="shared" si="8"/>
        <v>-10954.525101358166</v>
      </c>
      <c r="AB52" s="356">
        <f t="shared" si="2"/>
        <v>-5477.2625506790828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3088.1466753743671</v>
      </c>
      <c r="F54" s="89">
        <f t="shared" si="14"/>
        <v>1836.2553948825484</v>
      </c>
      <c r="G54" s="89">
        <f t="shared" si="14"/>
        <v>1209.5480074424001</v>
      </c>
      <c r="H54" s="89">
        <f t="shared" si="14"/>
        <v>1530.6496105259316</v>
      </c>
      <c r="I54" s="89">
        <f t="shared" si="14"/>
        <v>1271.1157102151033</v>
      </c>
      <c r="J54" s="89">
        <f t="shared" si="14"/>
        <v>1543.5685380516104</v>
      </c>
      <c r="K54" s="89">
        <f t="shared" si="14"/>
        <v>1806.5883711794477</v>
      </c>
      <c r="L54" s="89">
        <f t="shared" si="14"/>
        <v>2064.3478727616966</v>
      </c>
      <c r="M54" s="89">
        <f t="shared" si="14"/>
        <v>2123.5940888523246</v>
      </c>
      <c r="N54" s="89">
        <f t="shared" si="14"/>
        <v>2153.9572516660546</v>
      </c>
      <c r="O54" s="89">
        <f t="shared" si="14"/>
        <v>2278.4234813126259</v>
      </c>
      <c r="P54" s="89">
        <f t="shared" si="14"/>
        <v>2399.3164002330004</v>
      </c>
      <c r="Q54" s="89">
        <f t="shared" si="14"/>
        <v>2516.5502756101687</v>
      </c>
      <c r="R54" s="89">
        <f t="shared" si="14"/>
        <v>2205.2830342185425</v>
      </c>
      <c r="S54" s="89">
        <f t="shared" si="14"/>
        <v>0</v>
      </c>
      <c r="T54" s="89">
        <f t="shared" si="14"/>
        <v>0</v>
      </c>
      <c r="U54" s="89">
        <f t="shared" si="14"/>
        <v>0</v>
      </c>
      <c r="V54" s="89">
        <f t="shared" si="14"/>
        <v>0</v>
      </c>
      <c r="W54" s="89">
        <f t="shared" si="14"/>
        <v>0</v>
      </c>
      <c r="X54" s="89">
        <f t="shared" si="14"/>
        <v>0</v>
      </c>
      <c r="Y54" s="89">
        <f t="shared" si="14"/>
        <v>0</v>
      </c>
      <c r="AA54" s="355">
        <f t="shared" si="8"/>
        <v>24939.198036951457</v>
      </c>
      <c r="AB54" s="356">
        <f t="shared" si="2"/>
        <v>12469.599018475728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f>[8]Tax!I$48</f>
        <v>525.15199903680002</v>
      </c>
      <c r="F56" s="169">
        <f>[8]Tax!J$48</f>
        <v>525.15199903680002</v>
      </c>
      <c r="G56" s="169">
        <f>[8]Tax!K$48</f>
        <v>525.15199903680002</v>
      </c>
      <c r="H56" s="169">
        <f>[8]Tax!L$48</f>
        <v>557.9739989766</v>
      </c>
      <c r="I56" s="169">
        <f>[8]Tax!M$48</f>
        <v>0</v>
      </c>
      <c r="J56" s="169">
        <f>[8]Tax!N$48</f>
        <v>0</v>
      </c>
      <c r="K56" s="169">
        <f>[8]Tax!O$48</f>
        <v>0</v>
      </c>
      <c r="L56" s="169">
        <f>[8]Tax!P$48</f>
        <v>0</v>
      </c>
      <c r="M56" s="169">
        <f>[8]Tax!Q$48</f>
        <v>0</v>
      </c>
      <c r="N56" s="169">
        <f>[8]Tax!R$48</f>
        <v>0</v>
      </c>
      <c r="O56" s="169">
        <f>[8]Tax!S$48</f>
        <v>0</v>
      </c>
      <c r="P56" s="169">
        <f>[8]Tax!T$48</f>
        <v>0</v>
      </c>
      <c r="Q56" s="169">
        <f>[8]Tax!U$48</f>
        <v>0</v>
      </c>
      <c r="R56" s="169">
        <f>[8]Tax!V$48</f>
        <v>0</v>
      </c>
      <c r="S56" s="169">
        <f>[8]Tax!W$48</f>
        <v>0</v>
      </c>
      <c r="T56" s="169">
        <f>[8]Tax!X$48</f>
        <v>0</v>
      </c>
      <c r="U56" s="169">
        <f>[8]Tax!Y$48</f>
        <v>0</v>
      </c>
      <c r="V56" s="169">
        <f>[8]Tax!Z$48</f>
        <v>0</v>
      </c>
      <c r="W56" s="169">
        <f>[8]Tax!AA$48</f>
        <v>0</v>
      </c>
      <c r="X56" s="169">
        <f>[8]Tax!AB$48</f>
        <v>0</v>
      </c>
      <c r="Y56" s="169">
        <f>[8]Tax!AC$48</f>
        <v>0</v>
      </c>
      <c r="AA56" s="355">
        <f t="shared" si="8"/>
        <v>1608.2779970502002</v>
      </c>
      <c r="AB56" s="356">
        <f t="shared" si="2"/>
        <v>804.13899852510008</v>
      </c>
    </row>
    <row r="57" spans="1:28" outlineLevel="1">
      <c r="A57" s="12"/>
      <c r="D57" s="419" t="s">
        <v>181</v>
      </c>
      <c r="E57" s="420">
        <f>E56/(0.017*C1*8760)</f>
        <v>4.2486788332767006E-2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0.5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4150.598666133712</v>
      </c>
      <c r="F64" s="16">
        <f t="shared" si="16"/>
        <v>3468.2443657421027</v>
      </c>
      <c r="G64" s="20">
        <f t="shared" si="16"/>
        <v>2453.3336168511742</v>
      </c>
      <c r="H64" s="16">
        <f t="shared" si="16"/>
        <v>2920.1831765981078</v>
      </c>
      <c r="I64" s="16">
        <f t="shared" si="16"/>
        <v>3403.4869801054301</v>
      </c>
      <c r="J64" s="16">
        <f t="shared" si="16"/>
        <v>3844.706134496535</v>
      </c>
      <c r="K64" s="16">
        <f t="shared" si="16"/>
        <v>4270.6491840962717</v>
      </c>
      <c r="L64" s="16">
        <f t="shared" si="16"/>
        <v>4688.0734781565934</v>
      </c>
      <c r="M64" s="16">
        <f t="shared" si="16"/>
        <v>4784.0187673721848</v>
      </c>
      <c r="N64" s="16">
        <f t="shared" si="16"/>
        <v>4833.1898812405743</v>
      </c>
      <c r="O64" s="16">
        <f t="shared" si="16"/>
        <v>5034.7546256074911</v>
      </c>
      <c r="P64" s="16">
        <f t="shared" si="16"/>
        <v>5230.5326319562755</v>
      </c>
      <c r="Q64" s="16">
        <f t="shared" si="16"/>
        <v>5420.3850617168719</v>
      </c>
      <c r="R64" s="16">
        <f t="shared" si="16"/>
        <v>4916.3085574389352</v>
      </c>
      <c r="S64" s="16">
        <f t="shared" si="16"/>
        <v>0</v>
      </c>
      <c r="T64" s="16">
        <f t="shared" si="16"/>
        <v>0</v>
      </c>
      <c r="U64" s="16">
        <f t="shared" si="16"/>
        <v>0</v>
      </c>
      <c r="V64" s="16">
        <f t="shared" si="16"/>
        <v>0</v>
      </c>
      <c r="W64" s="16">
        <f t="shared" si="16"/>
        <v>0</v>
      </c>
      <c r="X64" s="16">
        <f t="shared" si="16"/>
        <v>0</v>
      </c>
      <c r="Y64" s="16">
        <f t="shared" si="16"/>
        <v>0</v>
      </c>
      <c r="AA64" s="355">
        <f t="shared" si="8"/>
        <v>55267.866461378544</v>
      </c>
      <c r="AB64" s="356">
        <f t="shared" si="2"/>
        <v>27633.933230689272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171">
        <v>0</v>
      </c>
      <c r="F66" s="171">
        <v>0</v>
      </c>
      <c r="G66" s="171">
        <v>0</v>
      </c>
      <c r="H66" s="171">
        <v>0</v>
      </c>
      <c r="I66" s="171">
        <v>0</v>
      </c>
      <c r="J66" s="171">
        <v>0</v>
      </c>
      <c r="K66" s="171">
        <v>0</v>
      </c>
      <c r="L66" s="171">
        <v>0</v>
      </c>
      <c r="M66" s="171">
        <v>0</v>
      </c>
      <c r="N66" s="171">
        <v>0</v>
      </c>
      <c r="O66" s="171">
        <v>0</v>
      </c>
      <c r="P66" s="171">
        <v>0</v>
      </c>
      <c r="Q66" s="171">
        <v>0</v>
      </c>
      <c r="R66" s="171">
        <v>0</v>
      </c>
      <c r="S66" s="171">
        <v>0</v>
      </c>
      <c r="T66" s="171">
        <v>0</v>
      </c>
      <c r="U66" s="171">
        <v>0</v>
      </c>
      <c r="V66" s="171">
        <v>0</v>
      </c>
      <c r="W66" s="171">
        <v>0</v>
      </c>
      <c r="X66" s="171">
        <v>0</v>
      </c>
      <c r="Y66" s="171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7">SUM(E64:E66)</f>
        <v>4150.598666133712</v>
      </c>
      <c r="F69" s="91">
        <f t="shared" si="17"/>
        <v>3468.2443657421027</v>
      </c>
      <c r="G69" s="91">
        <f t="shared" si="17"/>
        <v>2453.3336168511742</v>
      </c>
      <c r="H69" s="91">
        <f t="shared" si="17"/>
        <v>2920.1831765981078</v>
      </c>
      <c r="I69" s="91">
        <f t="shared" si="17"/>
        <v>3403.4869801054301</v>
      </c>
      <c r="J69" s="91">
        <f t="shared" si="17"/>
        <v>3844.706134496535</v>
      </c>
      <c r="K69" s="91">
        <f t="shared" si="17"/>
        <v>4270.6491840962717</v>
      </c>
      <c r="L69" s="91">
        <f t="shared" si="17"/>
        <v>4688.0734781565934</v>
      </c>
      <c r="M69" s="91">
        <f t="shared" si="17"/>
        <v>4784.0187673721848</v>
      </c>
      <c r="N69" s="91">
        <f t="shared" si="17"/>
        <v>4833.1898812405743</v>
      </c>
      <c r="O69" s="91">
        <f t="shared" si="17"/>
        <v>5034.7546256074911</v>
      </c>
      <c r="P69" s="91">
        <f t="shared" si="17"/>
        <v>5230.5326319562755</v>
      </c>
      <c r="Q69" s="91">
        <f t="shared" si="17"/>
        <v>5420.3850617168719</v>
      </c>
      <c r="R69" s="91">
        <f t="shared" si="17"/>
        <v>4916.3085574389352</v>
      </c>
      <c r="S69" s="91">
        <f t="shared" si="17"/>
        <v>0</v>
      </c>
      <c r="T69" s="91">
        <f t="shared" si="17"/>
        <v>0</v>
      </c>
      <c r="U69" s="91">
        <f t="shared" si="17"/>
        <v>0</v>
      </c>
      <c r="V69" s="91">
        <f t="shared" si="17"/>
        <v>0</v>
      </c>
      <c r="W69" s="91">
        <f t="shared" si="17"/>
        <v>0</v>
      </c>
      <c r="X69" s="91">
        <f t="shared" si="17"/>
        <v>0</v>
      </c>
      <c r="Y69" s="91">
        <f t="shared" si="17"/>
        <v>0</v>
      </c>
      <c r="AA69" s="355">
        <f t="shared" si="8"/>
        <v>55267.866461378544</v>
      </c>
      <c r="AB69" s="356">
        <f t="shared" si="2"/>
        <v>27633.933230689272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8">F89</f>
        <v>1759.6443776202659</v>
      </c>
      <c r="G71" s="94">
        <f t="shared" si="18"/>
        <v>3999.5964475810188</v>
      </c>
      <c r="H71" s="94">
        <f t="shared" si="18"/>
        <v>1845.8278685671794</v>
      </c>
      <c r="I71" s="94">
        <f t="shared" si="18"/>
        <v>475.84499027924642</v>
      </c>
      <c r="J71" s="94">
        <f t="shared" si="18"/>
        <v>307.07866372464878</v>
      </c>
      <c r="K71" s="94">
        <f t="shared" si="18"/>
        <v>-744.68393283203716</v>
      </c>
      <c r="L71" s="94">
        <f t="shared" si="18"/>
        <v>-1793.1881053948971</v>
      </c>
      <c r="M71" s="94">
        <f t="shared" si="18"/>
        <v>-1829.8871785198608</v>
      </c>
      <c r="N71" s="94">
        <f t="shared" si="18"/>
        <v>-1848.6951295745196</v>
      </c>
      <c r="O71" s="94">
        <f t="shared" si="18"/>
        <v>-1925.7936442948653</v>
      </c>
      <c r="P71" s="94">
        <f t="shared" si="18"/>
        <v>-2000.6787317232754</v>
      </c>
      <c r="Q71" s="94">
        <f t="shared" si="18"/>
        <v>-2073.2972861067033</v>
      </c>
      <c r="R71" s="94">
        <f t="shared" si="18"/>
        <v>-1880.4880232203927</v>
      </c>
      <c r="S71" s="94">
        <f t="shared" si="18"/>
        <v>0</v>
      </c>
      <c r="T71" s="94">
        <f t="shared" si="18"/>
        <v>0</v>
      </c>
      <c r="U71" s="94">
        <f t="shared" si="18"/>
        <v>0</v>
      </c>
      <c r="V71" s="94">
        <f t="shared" si="18"/>
        <v>0</v>
      </c>
      <c r="W71" s="94">
        <f t="shared" si="18"/>
        <v>0</v>
      </c>
      <c r="X71" s="94">
        <f t="shared" si="18"/>
        <v>0</v>
      </c>
      <c r="Y71" s="94">
        <f t="shared" si="18"/>
        <v>0</v>
      </c>
      <c r="AA71" s="355">
        <f t="shared" si="8"/>
        <v>-5708.7196838941927</v>
      </c>
      <c r="AB71" s="356">
        <f t="shared" si="2"/>
        <v>-2854.3598419470964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19">E69+E71</f>
        <v>4150.598666133712</v>
      </c>
      <c r="F73" s="24">
        <f t="shared" si="19"/>
        <v>5227.8887433623686</v>
      </c>
      <c r="G73" s="24">
        <f t="shared" si="19"/>
        <v>6452.9300644321929</v>
      </c>
      <c r="H73" s="24">
        <f t="shared" si="19"/>
        <v>4766.0110451652872</v>
      </c>
      <c r="I73" s="24">
        <f t="shared" si="19"/>
        <v>3879.3319703846764</v>
      </c>
      <c r="J73" s="24">
        <f t="shared" si="19"/>
        <v>4151.7847982211842</v>
      </c>
      <c r="K73" s="24">
        <f t="shared" si="19"/>
        <v>3525.9652512642347</v>
      </c>
      <c r="L73" s="24">
        <f t="shared" si="19"/>
        <v>2894.8853727616961</v>
      </c>
      <c r="M73" s="24">
        <f t="shared" si="19"/>
        <v>2954.1315888523241</v>
      </c>
      <c r="N73" s="24">
        <f t="shared" si="19"/>
        <v>2984.494751666055</v>
      </c>
      <c r="O73" s="24">
        <f t="shared" si="19"/>
        <v>3108.9609813126258</v>
      </c>
      <c r="P73" s="24">
        <f t="shared" si="19"/>
        <v>3229.8539002329999</v>
      </c>
      <c r="Q73" s="24">
        <f t="shared" si="19"/>
        <v>3347.0877756101686</v>
      </c>
      <c r="R73" s="24">
        <f t="shared" si="19"/>
        <v>3035.8205342185424</v>
      </c>
      <c r="S73" s="24">
        <f t="shared" si="19"/>
        <v>0</v>
      </c>
      <c r="T73" s="24">
        <f t="shared" si="19"/>
        <v>0</v>
      </c>
      <c r="U73" s="24">
        <f t="shared" si="19"/>
        <v>0</v>
      </c>
      <c r="V73" s="24">
        <f t="shared" si="19"/>
        <v>0</v>
      </c>
      <c r="W73" s="24">
        <f t="shared" si="19"/>
        <v>0</v>
      </c>
      <c r="X73" s="24">
        <f t="shared" si="19"/>
        <v>0</v>
      </c>
      <c r="Y73" s="24">
        <f t="shared" si="19"/>
        <v>0</v>
      </c>
      <c r="AA73" s="355">
        <f t="shared" si="8"/>
        <v>49559.146777484348</v>
      </c>
      <c r="AB73" s="356">
        <f t="shared" si="2"/>
        <v>24779.573388742174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"/>
      <c r="C76" s="159">
        <f>+C$60</f>
        <v>0.5</v>
      </c>
      <c r="D76" s="24"/>
      <c r="E76" s="24">
        <f t="shared" ref="E76:Y76" si="21">$C$76*E54</f>
        <v>1544.0733376871835</v>
      </c>
      <c r="F76" s="24">
        <f t="shared" si="21"/>
        <v>918.12769744127422</v>
      </c>
      <c r="G76" s="91">
        <f t="shared" si="21"/>
        <v>604.77400372120007</v>
      </c>
      <c r="H76" s="24">
        <f t="shared" si="21"/>
        <v>765.32480526296581</v>
      </c>
      <c r="I76" s="24">
        <f t="shared" si="21"/>
        <v>635.55785510755163</v>
      </c>
      <c r="J76" s="24">
        <f t="shared" si="21"/>
        <v>771.7842690258052</v>
      </c>
      <c r="K76" s="24">
        <f t="shared" si="21"/>
        <v>903.29418558972384</v>
      </c>
      <c r="L76" s="24">
        <f t="shared" si="21"/>
        <v>1032.1739363808483</v>
      </c>
      <c r="M76" s="24">
        <f t="shared" si="21"/>
        <v>1061.7970444261623</v>
      </c>
      <c r="N76" s="24">
        <f t="shared" si="21"/>
        <v>1076.9786258330273</v>
      </c>
      <c r="O76" s="24">
        <f t="shared" si="21"/>
        <v>1139.2117406563129</v>
      </c>
      <c r="P76" s="24">
        <f t="shared" si="21"/>
        <v>1199.6582001165002</v>
      </c>
      <c r="Q76" s="24">
        <f t="shared" si="21"/>
        <v>1258.2751378050843</v>
      </c>
      <c r="R76" s="24">
        <f t="shared" si="21"/>
        <v>1102.6415171092713</v>
      </c>
      <c r="S76" s="24">
        <f t="shared" si="21"/>
        <v>0</v>
      </c>
      <c r="T76" s="24">
        <f t="shared" si="21"/>
        <v>0</v>
      </c>
      <c r="U76" s="24">
        <f t="shared" si="21"/>
        <v>0</v>
      </c>
      <c r="V76" s="24">
        <f t="shared" si="21"/>
        <v>0</v>
      </c>
      <c r="W76" s="24">
        <f t="shared" si="21"/>
        <v>0</v>
      </c>
      <c r="X76" s="24">
        <f t="shared" si="21"/>
        <v>0</v>
      </c>
      <c r="Y76" s="24">
        <f t="shared" si="21"/>
        <v>0</v>
      </c>
      <c r="AA76" s="355">
        <f t="shared" si="8"/>
        <v>12469.599018475728</v>
      </c>
      <c r="AB76" s="356">
        <f>AA76</f>
        <v>12469.599018475728</v>
      </c>
    </row>
    <row r="77" spans="1:28" outlineLevel="1">
      <c r="A77" s="13" t="s">
        <v>136</v>
      </c>
      <c r="B77" s="22"/>
      <c r="C77" s="159">
        <f>+C60</f>
        <v>0.5</v>
      </c>
      <c r="D77" s="24"/>
      <c r="E77" s="24">
        <f t="shared" ref="E77:Y77" si="22">$C$77*E73</f>
        <v>2075.299333066856</v>
      </c>
      <c r="F77" s="24">
        <f t="shared" si="22"/>
        <v>2613.9443716811843</v>
      </c>
      <c r="G77" s="91">
        <f t="shared" si="22"/>
        <v>3226.4650322160965</v>
      </c>
      <c r="H77" s="24">
        <f t="shared" si="22"/>
        <v>2383.0055225826436</v>
      </c>
      <c r="I77" s="24">
        <f t="shared" si="22"/>
        <v>1939.6659851923382</v>
      </c>
      <c r="J77" s="24">
        <f t="shared" si="22"/>
        <v>2075.8923991105921</v>
      </c>
      <c r="K77" s="24">
        <f t="shared" si="22"/>
        <v>1762.9826256321173</v>
      </c>
      <c r="L77" s="24">
        <f t="shared" si="22"/>
        <v>1447.442686380848</v>
      </c>
      <c r="M77" s="24">
        <f t="shared" si="22"/>
        <v>1477.065794426162</v>
      </c>
      <c r="N77" s="24">
        <f t="shared" si="22"/>
        <v>1492.2473758330275</v>
      </c>
      <c r="O77" s="24">
        <f t="shared" si="22"/>
        <v>1554.4804906563129</v>
      </c>
      <c r="P77" s="24">
        <f t="shared" si="22"/>
        <v>1614.9269501164999</v>
      </c>
      <c r="Q77" s="24">
        <f t="shared" si="22"/>
        <v>1673.5438878050843</v>
      </c>
      <c r="R77" s="24">
        <f t="shared" si="22"/>
        <v>1517.9102671092712</v>
      </c>
      <c r="S77" s="24">
        <f t="shared" si="22"/>
        <v>0</v>
      </c>
      <c r="T77" s="24">
        <f t="shared" si="22"/>
        <v>0</v>
      </c>
      <c r="U77" s="24">
        <f t="shared" si="22"/>
        <v>0</v>
      </c>
      <c r="V77" s="24">
        <f t="shared" si="22"/>
        <v>0</v>
      </c>
      <c r="W77" s="24">
        <f t="shared" si="22"/>
        <v>0</v>
      </c>
      <c r="X77" s="24">
        <f t="shared" si="22"/>
        <v>0</v>
      </c>
      <c r="Y77" s="24">
        <f t="shared" si="22"/>
        <v>0</v>
      </c>
      <c r="AA77" s="355">
        <f t="shared" si="8"/>
        <v>24779.573388742174</v>
      </c>
      <c r="AB77" s="356">
        <f>AA77</f>
        <v>24779.573388742174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0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0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0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0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0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0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0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0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3">G62</f>
        <v>2002</v>
      </c>
      <c r="H86" s="99">
        <f t="shared" si="23"/>
        <v>2003</v>
      </c>
      <c r="I86" s="99">
        <f t="shared" si="23"/>
        <v>2004</v>
      </c>
      <c r="J86" s="99">
        <f t="shared" si="23"/>
        <v>2005</v>
      </c>
      <c r="K86" s="99">
        <f t="shared" si="23"/>
        <v>2006</v>
      </c>
      <c r="L86" s="99">
        <f t="shared" si="23"/>
        <v>2007</v>
      </c>
      <c r="M86" s="99">
        <f t="shared" si="23"/>
        <v>2008</v>
      </c>
      <c r="N86" s="99">
        <f t="shared" si="23"/>
        <v>2009</v>
      </c>
      <c r="O86" s="99">
        <f t="shared" si="23"/>
        <v>2010</v>
      </c>
      <c r="P86" s="99">
        <f t="shared" si="23"/>
        <v>2011</v>
      </c>
      <c r="Q86" s="99">
        <f t="shared" si="23"/>
        <v>2012</v>
      </c>
      <c r="R86" s="99">
        <f t="shared" si="23"/>
        <v>2013</v>
      </c>
      <c r="S86" s="99">
        <f t="shared" si="23"/>
        <v>2014</v>
      </c>
      <c r="T86" s="99">
        <f t="shared" si="23"/>
        <v>2015</v>
      </c>
      <c r="U86" s="99">
        <f t="shared" si="23"/>
        <v>2016</v>
      </c>
      <c r="V86" s="99">
        <f t="shared" si="23"/>
        <v>2017</v>
      </c>
      <c r="W86" s="99">
        <f t="shared" si="23"/>
        <v>2018</v>
      </c>
      <c r="X86" s="99">
        <f t="shared" si="23"/>
        <v>2019</v>
      </c>
      <c r="Y86" s="99">
        <f t="shared" si="23"/>
        <v>2020</v>
      </c>
      <c r="AA86" s="355">
        <f t="shared" si="8"/>
        <v>40210</v>
      </c>
      <c r="AB86" s="356">
        <f t="shared" si="20"/>
        <v>20105</v>
      </c>
    </row>
    <row r="87" spans="1:30" s="128" customFormat="1">
      <c r="AA87" s="355">
        <f t="shared" si="8"/>
        <v>0</v>
      </c>
      <c r="AB87" s="356">
        <f t="shared" si="20"/>
        <v>0</v>
      </c>
    </row>
    <row r="88" spans="1:30" s="128" customFormat="1">
      <c r="A88" s="11" t="s">
        <v>31</v>
      </c>
      <c r="F88" s="129">
        <f>F69</f>
        <v>3468.2443657421027</v>
      </c>
      <c r="G88" s="129">
        <f t="shared" ref="G88:Y88" si="24">G69</f>
        <v>2453.3336168511742</v>
      </c>
      <c r="H88" s="129">
        <f t="shared" si="24"/>
        <v>2920.1831765981078</v>
      </c>
      <c r="I88" s="129">
        <f t="shared" si="24"/>
        <v>3403.4869801054301</v>
      </c>
      <c r="J88" s="129">
        <f t="shared" si="24"/>
        <v>3844.706134496535</v>
      </c>
      <c r="K88" s="129">
        <f t="shared" si="24"/>
        <v>4270.6491840962717</v>
      </c>
      <c r="L88" s="129">
        <f t="shared" si="24"/>
        <v>4688.0734781565934</v>
      </c>
      <c r="M88" s="129">
        <f t="shared" si="24"/>
        <v>4784.0187673721848</v>
      </c>
      <c r="N88" s="129">
        <f t="shared" si="24"/>
        <v>4833.1898812405743</v>
      </c>
      <c r="O88" s="129">
        <f t="shared" si="24"/>
        <v>5034.7546256074911</v>
      </c>
      <c r="P88" s="129">
        <f t="shared" si="24"/>
        <v>5230.5326319562755</v>
      </c>
      <c r="Q88" s="129">
        <f t="shared" si="24"/>
        <v>5420.3850617168719</v>
      </c>
      <c r="R88" s="129">
        <f t="shared" si="24"/>
        <v>4916.3085574389352</v>
      </c>
      <c r="S88" s="129">
        <f t="shared" si="24"/>
        <v>0</v>
      </c>
      <c r="T88" s="129">
        <f t="shared" si="24"/>
        <v>0</v>
      </c>
      <c r="U88" s="129">
        <f t="shared" si="24"/>
        <v>0</v>
      </c>
      <c r="V88" s="129">
        <f t="shared" si="24"/>
        <v>0</v>
      </c>
      <c r="W88" s="129">
        <f t="shared" si="24"/>
        <v>0</v>
      </c>
      <c r="X88" s="129">
        <f t="shared" si="24"/>
        <v>0</v>
      </c>
      <c r="Y88" s="129">
        <f t="shared" si="24"/>
        <v>0</v>
      </c>
      <c r="AA88" s="355">
        <f t="shared" si="8"/>
        <v>55267.866461378544</v>
      </c>
      <c r="AB88" s="356">
        <f t="shared" si="20"/>
        <v>27633.933230689272</v>
      </c>
    </row>
    <row r="89" spans="1:30" s="128" customFormat="1">
      <c r="A89" s="128" t="s">
        <v>42</v>
      </c>
      <c r="F89" s="100">
        <f>F126+F127</f>
        <v>1759.6443776202659</v>
      </c>
      <c r="G89" s="100">
        <f t="shared" ref="G89:Y89" si="25">G126+G127</f>
        <v>3999.5964475810188</v>
      </c>
      <c r="H89" s="100">
        <f t="shared" si="25"/>
        <v>1845.8278685671794</v>
      </c>
      <c r="I89" s="100">
        <f t="shared" si="25"/>
        <v>475.84499027924642</v>
      </c>
      <c r="J89" s="100">
        <f t="shared" si="25"/>
        <v>307.07866372464878</v>
      </c>
      <c r="K89" s="100">
        <f t="shared" si="25"/>
        <v>-744.68393283203716</v>
      </c>
      <c r="L89" s="100">
        <f t="shared" si="25"/>
        <v>-1793.1881053948971</v>
      </c>
      <c r="M89" s="100">
        <f t="shared" si="25"/>
        <v>-1829.8871785198608</v>
      </c>
      <c r="N89" s="100">
        <f t="shared" si="25"/>
        <v>-1848.6951295745196</v>
      </c>
      <c r="O89" s="100">
        <f t="shared" si="25"/>
        <v>-1925.7936442948653</v>
      </c>
      <c r="P89" s="100">
        <f t="shared" si="25"/>
        <v>-2000.6787317232754</v>
      </c>
      <c r="Q89" s="100">
        <f t="shared" si="25"/>
        <v>-2073.2972861067033</v>
      </c>
      <c r="R89" s="100">
        <f t="shared" si="25"/>
        <v>-1880.4880232203927</v>
      </c>
      <c r="S89" s="100">
        <f t="shared" si="25"/>
        <v>0</v>
      </c>
      <c r="T89" s="100">
        <f t="shared" si="25"/>
        <v>0</v>
      </c>
      <c r="U89" s="100">
        <f t="shared" si="25"/>
        <v>0</v>
      </c>
      <c r="V89" s="100">
        <f t="shared" si="25"/>
        <v>0</v>
      </c>
      <c r="W89" s="100">
        <f t="shared" si="25"/>
        <v>0</v>
      </c>
      <c r="X89" s="100">
        <f t="shared" si="25"/>
        <v>0</v>
      </c>
      <c r="Y89" s="100">
        <f t="shared" si="25"/>
        <v>0</v>
      </c>
      <c r="AA89" s="355">
        <f t="shared" si="8"/>
        <v>-5708.7196838941927</v>
      </c>
      <c r="AB89" s="356">
        <f t="shared" si="20"/>
        <v>-2854.3598419470964</v>
      </c>
    </row>
    <row r="90" spans="1:30" s="128" customFormat="1">
      <c r="A90" s="128" t="s">
        <v>109</v>
      </c>
      <c r="F90" s="100">
        <f>F56</f>
        <v>525.15199903680002</v>
      </c>
      <c r="G90" s="100">
        <f t="shared" ref="G90:Y90" si="26">G56</f>
        <v>525.15199903680002</v>
      </c>
      <c r="H90" s="100">
        <f t="shared" si="26"/>
        <v>557.9739989766</v>
      </c>
      <c r="I90" s="100">
        <f t="shared" si="26"/>
        <v>0</v>
      </c>
      <c r="J90" s="100">
        <f t="shared" si="26"/>
        <v>0</v>
      </c>
      <c r="K90" s="100">
        <f t="shared" si="26"/>
        <v>0</v>
      </c>
      <c r="L90" s="100">
        <f t="shared" si="26"/>
        <v>0</v>
      </c>
      <c r="M90" s="100">
        <f t="shared" si="26"/>
        <v>0</v>
      </c>
      <c r="N90" s="100">
        <f t="shared" si="26"/>
        <v>0</v>
      </c>
      <c r="O90" s="100">
        <f t="shared" si="26"/>
        <v>0</v>
      </c>
      <c r="P90" s="100">
        <f t="shared" si="26"/>
        <v>0</v>
      </c>
      <c r="Q90" s="100">
        <f t="shared" si="26"/>
        <v>0</v>
      </c>
      <c r="R90" s="100">
        <f t="shared" si="26"/>
        <v>0</v>
      </c>
      <c r="S90" s="100">
        <f t="shared" si="26"/>
        <v>0</v>
      </c>
      <c r="T90" s="100">
        <f t="shared" si="26"/>
        <v>0</v>
      </c>
      <c r="U90" s="100">
        <f t="shared" si="26"/>
        <v>0</v>
      </c>
      <c r="V90" s="100">
        <f t="shared" si="26"/>
        <v>0</v>
      </c>
      <c r="W90" s="100">
        <f t="shared" si="26"/>
        <v>0</v>
      </c>
      <c r="X90" s="100">
        <f t="shared" si="26"/>
        <v>0</v>
      </c>
      <c r="Y90" s="100">
        <f t="shared" si="26"/>
        <v>0</v>
      </c>
      <c r="AA90" s="355">
        <f t="shared" si="8"/>
        <v>1608.2779970502002</v>
      </c>
      <c r="AB90" s="356">
        <f t="shared" si="20"/>
        <v>804.13899852510008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f>Y99</f>
        <v>39330.468459511481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/>
      <c r="AA91" s="355">
        <f t="shared" si="8"/>
        <v>39330.468459511481</v>
      </c>
      <c r="AB91" s="356">
        <f t="shared" si="20"/>
        <v>19665.234229755741</v>
      </c>
    </row>
    <row r="92" spans="1:30" s="128" customFormat="1">
      <c r="A92" s="128" t="s">
        <v>44</v>
      </c>
      <c r="E92" s="173">
        <v>-44825.67679762702</v>
      </c>
      <c r="F92" s="129">
        <f>SUM(F88:F91)</f>
        <v>5753.0407423991683</v>
      </c>
      <c r="G92" s="129">
        <f t="shared" ref="G92:Y92" si="27">SUM(G88:G91)</f>
        <v>6978.0820634689926</v>
      </c>
      <c r="H92" s="129">
        <f t="shared" si="27"/>
        <v>5323.9850441418876</v>
      </c>
      <c r="I92" s="129">
        <f t="shared" si="27"/>
        <v>3879.3319703846764</v>
      </c>
      <c r="J92" s="129">
        <f t="shared" si="27"/>
        <v>4151.7847982211842</v>
      </c>
      <c r="K92" s="129">
        <f t="shared" si="27"/>
        <v>3525.9652512642347</v>
      </c>
      <c r="L92" s="129">
        <f t="shared" si="27"/>
        <v>2894.8853727616961</v>
      </c>
      <c r="M92" s="129">
        <f t="shared" si="27"/>
        <v>2954.1315888523241</v>
      </c>
      <c r="N92" s="129">
        <f t="shared" si="27"/>
        <v>2984.494751666055</v>
      </c>
      <c r="O92" s="129">
        <f t="shared" si="27"/>
        <v>3108.9609813126258</v>
      </c>
      <c r="P92" s="129">
        <f t="shared" si="27"/>
        <v>3229.8539002329999</v>
      </c>
      <c r="Q92" s="129">
        <f t="shared" si="27"/>
        <v>3347.0877756101686</v>
      </c>
      <c r="R92" s="129">
        <f t="shared" si="27"/>
        <v>42366.288993730021</v>
      </c>
      <c r="S92" s="129">
        <f t="shared" si="27"/>
        <v>0</v>
      </c>
      <c r="T92" s="129">
        <f t="shared" si="27"/>
        <v>0</v>
      </c>
      <c r="U92" s="129">
        <f t="shared" si="27"/>
        <v>0</v>
      </c>
      <c r="V92" s="129">
        <f t="shared" si="27"/>
        <v>0</v>
      </c>
      <c r="W92" s="129">
        <f t="shared" si="27"/>
        <v>0</v>
      </c>
      <c r="X92" s="129">
        <f t="shared" si="27"/>
        <v>0</v>
      </c>
      <c r="Y92" s="129">
        <f t="shared" si="27"/>
        <v>0</v>
      </c>
      <c r="AA92" s="355">
        <f t="shared" si="8"/>
        <v>90497.893234046031</v>
      </c>
      <c r="AB92" s="356">
        <f t="shared" si="20"/>
        <v>45248.946617023015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0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0"/>
        <v>0</v>
      </c>
    </row>
    <row r="95" spans="1:30" s="128" customFormat="1" ht="13.5" thickBot="1">
      <c r="A95" s="128" t="s">
        <v>46</v>
      </c>
      <c r="E95" s="174">
        <f>NPV(C96,E92:Y92)</f>
        <v>-2.0025571415183741E-11</v>
      </c>
      <c r="R95" s="133"/>
      <c r="U95" s="134" t="s">
        <v>119</v>
      </c>
      <c r="V95" s="135"/>
      <c r="W95" s="135"/>
      <c r="X95" s="135"/>
      <c r="Y95" s="136">
        <f>R88</f>
        <v>4916.3085574389352</v>
      </c>
      <c r="AA95" s="355">
        <f t="shared" si="8"/>
        <v>4916.3085574389352</v>
      </c>
      <c r="AB95" s="356">
        <f t="shared" si="20"/>
        <v>2458.1542787194676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0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4916.3085574389352</v>
      </c>
      <c r="AA97" s="355">
        <f t="shared" si="8"/>
        <v>4916.3085574389352</v>
      </c>
      <c r="AB97" s="356">
        <f t="shared" si="20"/>
        <v>2458.1542787194676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0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39330.468459511481</v>
      </c>
      <c r="AA99" s="355">
        <f t="shared" si="8"/>
        <v>39330.468459511481</v>
      </c>
      <c r="AB99" s="356">
        <f t="shared" si="20"/>
        <v>19665.234229755741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0"/>
        <v>0</v>
      </c>
    </row>
    <row r="101" spans="1:28" s="128" customFormat="1">
      <c r="A101" s="128" t="s">
        <v>53</v>
      </c>
      <c r="D101" s="177">
        <v>0</v>
      </c>
      <c r="AA101" s="355">
        <f t="shared" si="8"/>
        <v>0</v>
      </c>
      <c r="AB101" s="356">
        <f t="shared" si="20"/>
        <v>0</v>
      </c>
    </row>
    <row r="102" spans="1:28" s="128" customFormat="1" ht="15">
      <c r="A102" s="128" t="s">
        <v>54</v>
      </c>
      <c r="D102" s="101">
        <f>-E92</f>
        <v>44825.67679762702</v>
      </c>
      <c r="AA102" s="355">
        <f t="shared" si="8"/>
        <v>0</v>
      </c>
      <c r="AB102" s="356">
        <f t="shared" si="20"/>
        <v>0</v>
      </c>
    </row>
    <row r="103" spans="1:28" s="128" customFormat="1">
      <c r="D103" s="142">
        <f>D101+D102</f>
        <v>44825.67679762702</v>
      </c>
      <c r="AA103" s="355">
        <f t="shared" si="8"/>
        <v>0</v>
      </c>
      <c r="AB103" s="356">
        <f t="shared" si="20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28" customFormat="1">
      <c r="A105" s="128" t="s">
        <v>56</v>
      </c>
      <c r="D105" s="142">
        <f>D103*D104</f>
        <v>40343.109117864318</v>
      </c>
      <c r="AA105" s="355">
        <f t="shared" si="28"/>
        <v>0</v>
      </c>
      <c r="AB105" s="356">
        <f t="shared" si="20"/>
        <v>0</v>
      </c>
    </row>
    <row r="106" spans="1:28" s="128" customFormat="1">
      <c r="AA106" s="355">
        <f t="shared" si="28"/>
        <v>0</v>
      </c>
      <c r="AB106" s="356">
        <f t="shared" si="20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29">G107+1</f>
        <v>2003</v>
      </c>
      <c r="I107" s="99">
        <f t="shared" si="29"/>
        <v>2004</v>
      </c>
      <c r="J107" s="99">
        <f t="shared" si="29"/>
        <v>2005</v>
      </c>
      <c r="K107" s="99">
        <f t="shared" si="29"/>
        <v>2006</v>
      </c>
      <c r="L107" s="99">
        <f t="shared" si="29"/>
        <v>2007</v>
      </c>
      <c r="M107" s="99">
        <f t="shared" si="29"/>
        <v>2008</v>
      </c>
      <c r="N107" s="99">
        <f t="shared" si="29"/>
        <v>2009</v>
      </c>
      <c r="O107" s="99">
        <f t="shared" si="29"/>
        <v>2010</v>
      </c>
      <c r="P107" s="99">
        <f t="shared" si="29"/>
        <v>2011</v>
      </c>
      <c r="Q107" s="99">
        <f t="shared" si="29"/>
        <v>2012</v>
      </c>
      <c r="R107" s="99">
        <f t="shared" si="29"/>
        <v>2013</v>
      </c>
      <c r="S107" s="99">
        <f t="shared" si="29"/>
        <v>2014</v>
      </c>
      <c r="T107" s="99">
        <f t="shared" si="29"/>
        <v>2015</v>
      </c>
      <c r="U107" s="99">
        <f t="shared" si="29"/>
        <v>2016</v>
      </c>
      <c r="V107" s="99">
        <f t="shared" si="29"/>
        <v>2017</v>
      </c>
      <c r="W107" s="99">
        <f t="shared" si="29"/>
        <v>2018</v>
      </c>
      <c r="X107" s="99">
        <f t="shared" si="29"/>
        <v>2019</v>
      </c>
      <c r="Y107" s="99">
        <f t="shared" si="29"/>
        <v>2020</v>
      </c>
      <c r="AA107" s="355">
        <f t="shared" si="28"/>
        <v>40210</v>
      </c>
      <c r="AB107" s="356">
        <f t="shared" si="20"/>
        <v>20105</v>
      </c>
    </row>
    <row r="108" spans="1:28" s="128" customFormat="1">
      <c r="A108" s="103" t="s">
        <v>57</v>
      </c>
      <c r="AA108" s="355">
        <f t="shared" si="28"/>
        <v>0</v>
      </c>
      <c r="AB108" s="356">
        <f t="shared" si="20"/>
        <v>0</v>
      </c>
    </row>
    <row r="109" spans="1:28" s="128" customFormat="1">
      <c r="A109" s="128" t="s">
        <v>58</v>
      </c>
      <c r="B109" s="179">
        <v>30</v>
      </c>
      <c r="C109" s="128" t="s">
        <v>0</v>
      </c>
      <c r="D109" s="143">
        <f>D105</f>
        <v>40343.109117864318</v>
      </c>
      <c r="F109" s="132">
        <f>ROUND(D109/$B$109,0)</f>
        <v>1345</v>
      </c>
      <c r="G109" s="132">
        <f>F109</f>
        <v>1345</v>
      </c>
      <c r="H109" s="132">
        <f t="shared" ref="H109:R110" si="30">G109</f>
        <v>1345</v>
      </c>
      <c r="I109" s="132">
        <f t="shared" si="30"/>
        <v>1345</v>
      </c>
      <c r="J109" s="132">
        <f t="shared" si="30"/>
        <v>1345</v>
      </c>
      <c r="K109" s="132">
        <f t="shared" si="30"/>
        <v>1345</v>
      </c>
      <c r="L109" s="132">
        <f t="shared" si="30"/>
        <v>1345</v>
      </c>
      <c r="M109" s="132">
        <f t="shared" si="30"/>
        <v>1345</v>
      </c>
      <c r="N109" s="132">
        <f t="shared" si="30"/>
        <v>1345</v>
      </c>
      <c r="O109" s="132">
        <f t="shared" si="30"/>
        <v>1345</v>
      </c>
      <c r="P109" s="132">
        <f t="shared" si="30"/>
        <v>1345</v>
      </c>
      <c r="Q109" s="132">
        <f t="shared" si="30"/>
        <v>1345</v>
      </c>
      <c r="R109" s="132">
        <f t="shared" si="30"/>
        <v>1345</v>
      </c>
      <c r="S109" s="360"/>
      <c r="T109" s="360"/>
      <c r="U109" s="360"/>
      <c r="V109" s="360"/>
      <c r="W109" s="360"/>
      <c r="X109" s="360"/>
      <c r="Y109" s="360"/>
      <c r="AA109" s="355">
        <f t="shared" si="28"/>
        <v>17485</v>
      </c>
      <c r="AB109" s="356">
        <f t="shared" si="20"/>
        <v>8742.5</v>
      </c>
    </row>
    <row r="110" spans="1:28" s="128" customFormat="1">
      <c r="A110" s="128" t="s">
        <v>138</v>
      </c>
      <c r="D110" s="143">
        <f>D104*'FPLE_Wind Summary'!J20</f>
        <v>3014.1257602324458</v>
      </c>
      <c r="F110" s="132">
        <f>ROUND(D110/$B$109,0)</f>
        <v>100</v>
      </c>
      <c r="G110" s="132">
        <f>F110</f>
        <v>100</v>
      </c>
      <c r="H110" s="132">
        <f t="shared" si="30"/>
        <v>100</v>
      </c>
      <c r="I110" s="132">
        <f t="shared" si="30"/>
        <v>100</v>
      </c>
      <c r="J110" s="132">
        <f t="shared" si="30"/>
        <v>100</v>
      </c>
      <c r="K110" s="132">
        <f t="shared" si="30"/>
        <v>100</v>
      </c>
      <c r="L110" s="132">
        <f t="shared" si="30"/>
        <v>100</v>
      </c>
      <c r="M110" s="132">
        <f t="shared" si="30"/>
        <v>100</v>
      </c>
      <c r="N110" s="132">
        <f t="shared" si="30"/>
        <v>100</v>
      </c>
      <c r="O110" s="132">
        <f t="shared" si="30"/>
        <v>100</v>
      </c>
      <c r="P110" s="132">
        <f t="shared" si="30"/>
        <v>100</v>
      </c>
      <c r="Q110" s="132">
        <f t="shared" si="30"/>
        <v>100</v>
      </c>
      <c r="R110" s="132">
        <f t="shared" si="30"/>
        <v>100</v>
      </c>
      <c r="S110" s="360"/>
      <c r="T110" s="360"/>
      <c r="U110" s="360"/>
      <c r="V110" s="360"/>
      <c r="W110" s="360"/>
      <c r="X110" s="360"/>
      <c r="Y110" s="360"/>
      <c r="AA110" s="355">
        <f t="shared" si="28"/>
        <v>1300</v>
      </c>
      <c r="AB110" s="356">
        <f t="shared" si="20"/>
        <v>650</v>
      </c>
    </row>
    <row r="111" spans="1:28" s="128" customFormat="1">
      <c r="AA111" s="355">
        <f t="shared" si="28"/>
        <v>0</v>
      </c>
      <c r="AB111" s="356">
        <f t="shared" si="20"/>
        <v>0</v>
      </c>
    </row>
    <row r="112" spans="1:28" s="128" customFormat="1">
      <c r="A112" s="103" t="s">
        <v>59</v>
      </c>
      <c r="AA112" s="355">
        <f t="shared" si="28"/>
        <v>0</v>
      </c>
      <c r="AB112" s="356">
        <f t="shared" si="20"/>
        <v>0</v>
      </c>
    </row>
    <row r="113" spans="1:28" s="128" customFormat="1">
      <c r="A113" s="104" t="s">
        <v>60</v>
      </c>
      <c r="D113" s="143">
        <f>D109</f>
        <v>40343.109117864318</v>
      </c>
      <c r="AA113" s="355">
        <f t="shared" si="28"/>
        <v>0</v>
      </c>
      <c r="AB113" s="356">
        <f t="shared" si="20"/>
        <v>0</v>
      </c>
    </row>
    <row r="114" spans="1:28" s="128" customFormat="1">
      <c r="A114" s="128" t="s">
        <v>61</v>
      </c>
      <c r="E114" s="144"/>
      <c r="F114" s="180">
        <v>0.2</v>
      </c>
      <c r="G114" s="180">
        <v>0.32</v>
      </c>
      <c r="H114" s="180">
        <v>0.192</v>
      </c>
      <c r="I114" s="180">
        <v>0.1152</v>
      </c>
      <c r="J114" s="180">
        <v>0.1152</v>
      </c>
      <c r="K114" s="180">
        <v>5.7599999999999998E-2</v>
      </c>
      <c r="L114" s="180">
        <v>0</v>
      </c>
      <c r="M114" s="180">
        <v>0</v>
      </c>
      <c r="N114" s="180">
        <v>0</v>
      </c>
      <c r="O114" s="180">
        <v>0</v>
      </c>
      <c r="P114" s="180">
        <v>0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45"/>
      <c r="AA114" s="355">
        <f t="shared" si="28"/>
        <v>0.99999999999999989</v>
      </c>
      <c r="AB114" s="356">
        <f t="shared" si="20"/>
        <v>0.49999999999999994</v>
      </c>
    </row>
    <row r="115" spans="1:28" s="128" customFormat="1">
      <c r="A115" s="128" t="s">
        <v>59</v>
      </c>
      <c r="F115" s="132">
        <f t="shared" ref="F115:R115" si="31">$D$113*F114</f>
        <v>8068.6218235728638</v>
      </c>
      <c r="G115" s="132">
        <f t="shared" si="31"/>
        <v>12909.794917716583</v>
      </c>
      <c r="H115" s="132">
        <f t="shared" si="31"/>
        <v>7745.8769506299495</v>
      </c>
      <c r="I115" s="132">
        <f t="shared" si="31"/>
        <v>4647.5261703779697</v>
      </c>
      <c r="J115" s="132">
        <f t="shared" si="31"/>
        <v>4647.5261703779697</v>
      </c>
      <c r="K115" s="132">
        <f t="shared" si="31"/>
        <v>2323.7630851889849</v>
      </c>
      <c r="L115" s="132">
        <f t="shared" si="31"/>
        <v>0</v>
      </c>
      <c r="M115" s="132">
        <f t="shared" si="31"/>
        <v>0</v>
      </c>
      <c r="N115" s="132">
        <f t="shared" si="31"/>
        <v>0</v>
      </c>
      <c r="O115" s="132">
        <f t="shared" si="31"/>
        <v>0</v>
      </c>
      <c r="P115" s="132">
        <f t="shared" si="31"/>
        <v>0</v>
      </c>
      <c r="Q115" s="132">
        <f t="shared" si="31"/>
        <v>0</v>
      </c>
      <c r="R115" s="132">
        <f t="shared" si="31"/>
        <v>0</v>
      </c>
      <c r="S115" s="360"/>
      <c r="T115" s="360"/>
      <c r="U115" s="360"/>
      <c r="V115" s="360"/>
      <c r="W115" s="360"/>
      <c r="X115" s="360"/>
      <c r="Y115" s="360"/>
      <c r="AA115" s="355">
        <f t="shared" si="28"/>
        <v>40343.109117864318</v>
      </c>
      <c r="AB115" s="356">
        <f t="shared" si="20"/>
        <v>20171.554558932159</v>
      </c>
    </row>
    <row r="116" spans="1:28" s="128" customFormat="1">
      <c r="A116" s="128" t="s">
        <v>138</v>
      </c>
      <c r="D116" s="143">
        <f>D110</f>
        <v>3014.1257602324458</v>
      </c>
      <c r="F116" s="132">
        <f>$D$116*F114</f>
        <v>602.82515204648917</v>
      </c>
      <c r="G116" s="132">
        <f t="shared" ref="G116:R116" si="32">$D$116*G114</f>
        <v>964.52024327438266</v>
      </c>
      <c r="H116" s="132">
        <f t="shared" si="32"/>
        <v>578.7121459646296</v>
      </c>
      <c r="I116" s="132">
        <f t="shared" si="32"/>
        <v>347.22728757877775</v>
      </c>
      <c r="J116" s="132">
        <f t="shared" si="32"/>
        <v>347.22728757877775</v>
      </c>
      <c r="K116" s="132">
        <f t="shared" si="32"/>
        <v>173.61364378938887</v>
      </c>
      <c r="L116" s="132">
        <f t="shared" si="32"/>
        <v>0</v>
      </c>
      <c r="M116" s="132">
        <f t="shared" si="32"/>
        <v>0</v>
      </c>
      <c r="N116" s="132">
        <f t="shared" si="32"/>
        <v>0</v>
      </c>
      <c r="O116" s="132">
        <f t="shared" si="32"/>
        <v>0</v>
      </c>
      <c r="P116" s="132">
        <f t="shared" si="32"/>
        <v>0</v>
      </c>
      <c r="Q116" s="132">
        <f t="shared" si="32"/>
        <v>0</v>
      </c>
      <c r="R116" s="132">
        <f t="shared" si="32"/>
        <v>0</v>
      </c>
      <c r="S116" s="360"/>
      <c r="T116" s="360"/>
      <c r="U116" s="360"/>
      <c r="V116" s="360"/>
      <c r="W116" s="360"/>
      <c r="X116" s="360"/>
      <c r="Y116" s="360"/>
      <c r="AA116" s="355">
        <f t="shared" si="28"/>
        <v>3014.1257602324454</v>
      </c>
      <c r="AB116" s="356">
        <f t="shared" si="20"/>
        <v>1507.0628801162227</v>
      </c>
    </row>
    <row r="117" spans="1:28" s="128" customFormat="1">
      <c r="AA117" s="355">
        <f t="shared" si="28"/>
        <v>0</v>
      </c>
      <c r="AB117" s="356">
        <f t="shared" si="20"/>
        <v>0</v>
      </c>
    </row>
    <row r="118" spans="1:28" s="128" customFormat="1">
      <c r="AA118" s="355">
        <f t="shared" si="28"/>
        <v>0</v>
      </c>
      <c r="AB118" s="356">
        <f t="shared" si="20"/>
        <v>0</v>
      </c>
    </row>
    <row r="119" spans="1:28" s="128" customFormat="1" ht="13.5" thickBot="1">
      <c r="F119" s="99">
        <f>F107</f>
        <v>2001</v>
      </c>
      <c r="G119" s="99">
        <f t="shared" ref="G119:Y119" si="33">G107</f>
        <v>2002</v>
      </c>
      <c r="H119" s="99">
        <f t="shared" si="33"/>
        <v>2003</v>
      </c>
      <c r="I119" s="99">
        <f t="shared" si="33"/>
        <v>2004</v>
      </c>
      <c r="J119" s="99">
        <f t="shared" si="33"/>
        <v>2005</v>
      </c>
      <c r="K119" s="99">
        <f t="shared" si="33"/>
        <v>2006</v>
      </c>
      <c r="L119" s="99">
        <f t="shared" si="33"/>
        <v>2007</v>
      </c>
      <c r="M119" s="99">
        <f t="shared" si="33"/>
        <v>2008</v>
      </c>
      <c r="N119" s="99">
        <f t="shared" si="33"/>
        <v>2009</v>
      </c>
      <c r="O119" s="99">
        <f t="shared" si="33"/>
        <v>2010</v>
      </c>
      <c r="P119" s="99">
        <f t="shared" si="33"/>
        <v>2011</v>
      </c>
      <c r="Q119" s="99">
        <f t="shared" si="33"/>
        <v>2012</v>
      </c>
      <c r="R119" s="99">
        <f t="shared" si="33"/>
        <v>2013</v>
      </c>
      <c r="S119" s="99">
        <f t="shared" si="33"/>
        <v>2014</v>
      </c>
      <c r="T119" s="99">
        <f t="shared" si="33"/>
        <v>2015</v>
      </c>
      <c r="U119" s="99">
        <f t="shared" si="33"/>
        <v>2016</v>
      </c>
      <c r="V119" s="99">
        <f t="shared" si="33"/>
        <v>2017</v>
      </c>
      <c r="W119" s="99">
        <f t="shared" si="33"/>
        <v>2018</v>
      </c>
      <c r="X119" s="99">
        <f t="shared" si="33"/>
        <v>2019</v>
      </c>
      <c r="Y119" s="99">
        <f t="shared" si="33"/>
        <v>2020</v>
      </c>
      <c r="AA119" s="355">
        <f t="shared" si="28"/>
        <v>40210</v>
      </c>
      <c r="AB119" s="356">
        <f t="shared" si="20"/>
        <v>20105</v>
      </c>
    </row>
    <row r="120" spans="1:28" s="128" customFormat="1">
      <c r="A120" s="98" t="s">
        <v>62</v>
      </c>
      <c r="AA120" s="355">
        <f t="shared" si="28"/>
        <v>0</v>
      </c>
      <c r="AB120" s="356">
        <f t="shared" si="20"/>
        <v>0</v>
      </c>
    </row>
    <row r="121" spans="1:28" s="128" customFormat="1">
      <c r="A121" s="146" t="str">
        <f>A64</f>
        <v>EBITDA</v>
      </c>
      <c r="F121" s="132">
        <f>F39</f>
        <v>3468.2443657421027</v>
      </c>
      <c r="G121" s="132">
        <f t="shared" ref="G121:Y121" si="34">G39</f>
        <v>2453.3336168511742</v>
      </c>
      <c r="H121" s="132">
        <f t="shared" si="34"/>
        <v>2920.1831765981078</v>
      </c>
      <c r="I121" s="132">
        <f t="shared" si="34"/>
        <v>3403.4869801054301</v>
      </c>
      <c r="J121" s="132">
        <f>J39</f>
        <v>3844.706134496535</v>
      </c>
      <c r="K121" s="132">
        <f t="shared" si="34"/>
        <v>4270.6491840962717</v>
      </c>
      <c r="L121" s="132">
        <f t="shared" si="34"/>
        <v>4688.0734781565934</v>
      </c>
      <c r="M121" s="132">
        <f t="shared" si="34"/>
        <v>4784.0187673721848</v>
      </c>
      <c r="N121" s="132">
        <f t="shared" si="34"/>
        <v>4833.1898812405743</v>
      </c>
      <c r="O121" s="132">
        <f t="shared" si="34"/>
        <v>5034.7546256074911</v>
      </c>
      <c r="P121" s="132">
        <f t="shared" si="34"/>
        <v>5230.5326319562755</v>
      </c>
      <c r="Q121" s="132">
        <f t="shared" si="34"/>
        <v>5420.3850617168719</v>
      </c>
      <c r="R121" s="132">
        <f t="shared" si="34"/>
        <v>4916.3085574389352</v>
      </c>
      <c r="S121" s="132">
        <f t="shared" si="34"/>
        <v>0</v>
      </c>
      <c r="T121" s="132">
        <f t="shared" si="34"/>
        <v>0</v>
      </c>
      <c r="U121" s="132">
        <f t="shared" si="34"/>
        <v>0</v>
      </c>
      <c r="V121" s="132">
        <f t="shared" si="34"/>
        <v>0</v>
      </c>
      <c r="W121" s="132">
        <f t="shared" si="34"/>
        <v>0</v>
      </c>
      <c r="X121" s="132">
        <f t="shared" si="34"/>
        <v>0</v>
      </c>
      <c r="Y121" s="132">
        <f t="shared" si="34"/>
        <v>0</v>
      </c>
      <c r="AA121" s="355">
        <f t="shared" si="28"/>
        <v>55267.866461378544</v>
      </c>
      <c r="AB121" s="356">
        <f t="shared" si="20"/>
        <v>27633.933230689272</v>
      </c>
    </row>
    <row r="122" spans="1:28" s="128" customFormat="1">
      <c r="A122" s="128" t="s">
        <v>63</v>
      </c>
      <c r="F122" s="132">
        <f>-F115</f>
        <v>-8068.6218235728638</v>
      </c>
      <c r="G122" s="132">
        <f t="shared" ref="G122:Y122" si="35">-G115</f>
        <v>-12909.794917716583</v>
      </c>
      <c r="H122" s="132">
        <f t="shared" si="35"/>
        <v>-7745.8769506299495</v>
      </c>
      <c r="I122" s="132">
        <f t="shared" si="35"/>
        <v>-4647.5261703779697</v>
      </c>
      <c r="J122" s="132">
        <f t="shared" si="35"/>
        <v>-4647.5261703779697</v>
      </c>
      <c r="K122" s="132">
        <f t="shared" si="35"/>
        <v>-2323.7630851889849</v>
      </c>
      <c r="L122" s="132">
        <f t="shared" si="35"/>
        <v>0</v>
      </c>
      <c r="M122" s="132">
        <f t="shared" si="35"/>
        <v>0</v>
      </c>
      <c r="N122" s="132">
        <f t="shared" si="35"/>
        <v>0</v>
      </c>
      <c r="O122" s="132">
        <f t="shared" si="35"/>
        <v>0</v>
      </c>
      <c r="P122" s="132">
        <f t="shared" si="35"/>
        <v>0</v>
      </c>
      <c r="Q122" s="132">
        <f t="shared" si="35"/>
        <v>0</v>
      </c>
      <c r="R122" s="132">
        <f t="shared" si="35"/>
        <v>0</v>
      </c>
      <c r="S122" s="132">
        <f t="shared" si="35"/>
        <v>0</v>
      </c>
      <c r="T122" s="132">
        <f t="shared" si="35"/>
        <v>0</v>
      </c>
      <c r="U122" s="132">
        <f t="shared" si="35"/>
        <v>0</v>
      </c>
      <c r="V122" s="132">
        <f t="shared" si="35"/>
        <v>0</v>
      </c>
      <c r="W122" s="132">
        <f t="shared" si="35"/>
        <v>0</v>
      </c>
      <c r="X122" s="132">
        <f t="shared" si="35"/>
        <v>0</v>
      </c>
      <c r="Y122" s="132">
        <f t="shared" si="35"/>
        <v>0</v>
      </c>
      <c r="AA122" s="355">
        <f t="shared" si="28"/>
        <v>-40343.109117864318</v>
      </c>
      <c r="AB122" s="356">
        <f t="shared" si="20"/>
        <v>-20171.554558932159</v>
      </c>
    </row>
    <row r="123" spans="1:28" s="128" customFormat="1">
      <c r="A123" s="128" t="s">
        <v>64</v>
      </c>
      <c r="F123" s="147">
        <f>-F46</f>
        <v>0</v>
      </c>
      <c r="G123" s="147">
        <f t="shared" ref="G123:Y123" si="36">-G46</f>
        <v>0</v>
      </c>
      <c r="H123" s="147">
        <f t="shared" si="36"/>
        <v>0</v>
      </c>
      <c r="I123" s="147">
        <f t="shared" si="36"/>
        <v>0</v>
      </c>
      <c r="J123" s="147">
        <f t="shared" si="36"/>
        <v>0</v>
      </c>
      <c r="K123" s="147">
        <f t="shared" si="36"/>
        <v>0</v>
      </c>
      <c r="L123" s="147">
        <f t="shared" si="36"/>
        <v>0</v>
      </c>
      <c r="M123" s="147">
        <f t="shared" si="36"/>
        <v>0</v>
      </c>
      <c r="N123" s="147">
        <f t="shared" si="36"/>
        <v>0</v>
      </c>
      <c r="O123" s="147">
        <f t="shared" si="36"/>
        <v>0</v>
      </c>
      <c r="P123" s="147">
        <f t="shared" si="36"/>
        <v>0</v>
      </c>
      <c r="Q123" s="147">
        <f t="shared" si="36"/>
        <v>0</v>
      </c>
      <c r="R123" s="147">
        <f t="shared" si="36"/>
        <v>0</v>
      </c>
      <c r="S123" s="147">
        <f t="shared" si="36"/>
        <v>0</v>
      </c>
      <c r="T123" s="147">
        <f t="shared" si="36"/>
        <v>0</v>
      </c>
      <c r="U123" s="147">
        <f t="shared" si="36"/>
        <v>0</v>
      </c>
      <c r="V123" s="147">
        <f t="shared" si="36"/>
        <v>0</v>
      </c>
      <c r="W123" s="147">
        <f t="shared" si="36"/>
        <v>0</v>
      </c>
      <c r="X123" s="147">
        <f t="shared" si="36"/>
        <v>0</v>
      </c>
      <c r="Y123" s="147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28" customFormat="1">
      <c r="A124" s="128" t="s">
        <v>65</v>
      </c>
      <c r="F124" s="132">
        <f>SUM(F121:F123)</f>
        <v>-4600.3774578307612</v>
      </c>
      <c r="G124" s="132">
        <f t="shared" ref="G124:Y124" si="37">SUM(G121:G123)</f>
        <v>-10456.461300865409</v>
      </c>
      <c r="H124" s="132">
        <f t="shared" si="37"/>
        <v>-4825.6937740318417</v>
      </c>
      <c r="I124" s="132">
        <f t="shared" si="37"/>
        <v>-1244.0391902725396</v>
      </c>
      <c r="J124" s="132">
        <f t="shared" si="37"/>
        <v>-802.82003588143471</v>
      </c>
      <c r="K124" s="132">
        <f t="shared" si="37"/>
        <v>1946.8860989072869</v>
      </c>
      <c r="L124" s="132">
        <f t="shared" si="37"/>
        <v>4688.0734781565934</v>
      </c>
      <c r="M124" s="132">
        <f t="shared" si="37"/>
        <v>4784.0187673721848</v>
      </c>
      <c r="N124" s="132">
        <f t="shared" si="37"/>
        <v>4833.1898812405743</v>
      </c>
      <c r="O124" s="132">
        <f t="shared" si="37"/>
        <v>5034.7546256074911</v>
      </c>
      <c r="P124" s="132">
        <f t="shared" si="37"/>
        <v>5230.5326319562755</v>
      </c>
      <c r="Q124" s="132">
        <f t="shared" si="37"/>
        <v>5420.3850617168719</v>
      </c>
      <c r="R124" s="132">
        <f t="shared" si="37"/>
        <v>4916.3085574389352</v>
      </c>
      <c r="S124" s="132">
        <f t="shared" si="37"/>
        <v>0</v>
      </c>
      <c r="T124" s="132">
        <f t="shared" si="37"/>
        <v>0</v>
      </c>
      <c r="U124" s="132">
        <f t="shared" si="37"/>
        <v>0</v>
      </c>
      <c r="V124" s="132">
        <f t="shared" si="37"/>
        <v>0</v>
      </c>
      <c r="W124" s="132">
        <f t="shared" si="37"/>
        <v>0</v>
      </c>
      <c r="X124" s="132">
        <f t="shared" si="37"/>
        <v>0</v>
      </c>
      <c r="Y124" s="132">
        <f t="shared" si="37"/>
        <v>0</v>
      </c>
      <c r="AA124" s="355">
        <f t="shared" si="28"/>
        <v>14924.757343514226</v>
      </c>
      <c r="AB124" s="356">
        <f t="shared" si="20"/>
        <v>7462.3786717571129</v>
      </c>
    </row>
    <row r="125" spans="1:28" s="128" customFormat="1">
      <c r="AA125" s="355">
        <f t="shared" si="28"/>
        <v>0</v>
      </c>
      <c r="AB125" s="356">
        <f t="shared" si="20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230.01887289153808</v>
      </c>
      <c r="G126" s="132">
        <f t="shared" ref="G126:Y126" si="38">-G124*$C$126</f>
        <v>522.8230650432705</v>
      </c>
      <c r="H126" s="132">
        <f t="shared" si="38"/>
        <v>241.2846887015921</v>
      </c>
      <c r="I126" s="132">
        <f t="shared" si="38"/>
        <v>62.201959513626981</v>
      </c>
      <c r="J126" s="132">
        <f t="shared" si="38"/>
        <v>40.141001794071741</v>
      </c>
      <c r="K126" s="132">
        <f t="shared" si="38"/>
        <v>-97.344304945364343</v>
      </c>
      <c r="L126" s="132">
        <f t="shared" si="38"/>
        <v>-234.40367390782967</v>
      </c>
      <c r="M126" s="132">
        <f t="shared" si="38"/>
        <v>-239.20093836860926</v>
      </c>
      <c r="N126" s="132">
        <f t="shared" si="38"/>
        <v>-241.65949406202873</v>
      </c>
      <c r="O126" s="132">
        <f t="shared" si="38"/>
        <v>-251.73773128037456</v>
      </c>
      <c r="P126" s="132">
        <f t="shared" si="38"/>
        <v>-261.52663159781378</v>
      </c>
      <c r="Q126" s="132">
        <f t="shared" si="38"/>
        <v>-271.01925308584362</v>
      </c>
      <c r="R126" s="132">
        <f t="shared" si="38"/>
        <v>-245.81542787194678</v>
      </c>
      <c r="S126" s="132">
        <f t="shared" si="38"/>
        <v>0</v>
      </c>
      <c r="T126" s="132">
        <f t="shared" si="38"/>
        <v>0</v>
      </c>
      <c r="U126" s="132">
        <f t="shared" si="38"/>
        <v>0</v>
      </c>
      <c r="V126" s="132">
        <f t="shared" si="38"/>
        <v>0</v>
      </c>
      <c r="W126" s="132">
        <f t="shared" si="38"/>
        <v>0</v>
      </c>
      <c r="X126" s="132">
        <f t="shared" si="38"/>
        <v>0</v>
      </c>
      <c r="Y126" s="132">
        <f t="shared" si="38"/>
        <v>0</v>
      </c>
      <c r="AA126" s="355">
        <f t="shared" si="28"/>
        <v>-746.23786717571136</v>
      </c>
      <c r="AB126" s="356">
        <f t="shared" si="20"/>
        <v>-373.11893358785568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1529.6255047287279</v>
      </c>
      <c r="G127" s="132">
        <f t="shared" ref="G127:Y127" si="39">-(G124+G126)*$C$127</f>
        <v>3476.7733825377481</v>
      </c>
      <c r="H127" s="132">
        <f t="shared" si="39"/>
        <v>1604.5431798655873</v>
      </c>
      <c r="I127" s="132">
        <f t="shared" si="39"/>
        <v>413.64303076561941</v>
      </c>
      <c r="J127" s="132">
        <f t="shared" si="39"/>
        <v>266.93766193057701</v>
      </c>
      <c r="K127" s="132">
        <f t="shared" si="39"/>
        <v>-647.33962788667282</v>
      </c>
      <c r="L127" s="132">
        <f t="shared" si="39"/>
        <v>-1558.7844314870674</v>
      </c>
      <c r="M127" s="132">
        <f t="shared" si="39"/>
        <v>-1590.6862401512515</v>
      </c>
      <c r="N127" s="132">
        <f t="shared" si="39"/>
        <v>-1607.0356355124909</v>
      </c>
      <c r="O127" s="132">
        <f t="shared" si="39"/>
        <v>-1674.0559130144907</v>
      </c>
      <c r="P127" s="132">
        <f t="shared" si="39"/>
        <v>-1739.1521001254616</v>
      </c>
      <c r="Q127" s="132">
        <f t="shared" si="39"/>
        <v>-1802.2780330208595</v>
      </c>
      <c r="R127" s="132">
        <f t="shared" si="39"/>
        <v>-1634.6725953484458</v>
      </c>
      <c r="S127" s="132">
        <f t="shared" si="39"/>
        <v>0</v>
      </c>
      <c r="T127" s="132">
        <f t="shared" si="39"/>
        <v>0</v>
      </c>
      <c r="U127" s="132">
        <f t="shared" si="39"/>
        <v>0</v>
      </c>
      <c r="V127" s="132">
        <f t="shared" si="39"/>
        <v>0</v>
      </c>
      <c r="W127" s="132">
        <f t="shared" si="39"/>
        <v>0</v>
      </c>
      <c r="X127" s="132">
        <f t="shared" si="39"/>
        <v>0</v>
      </c>
      <c r="Y127" s="132">
        <f t="shared" si="39"/>
        <v>0</v>
      </c>
      <c r="AA127" s="355">
        <f t="shared" si="28"/>
        <v>-4962.4818167184812</v>
      </c>
      <c r="AB127" s="356">
        <f t="shared" si="20"/>
        <v>-2481.2409083592406</v>
      </c>
    </row>
    <row r="128" spans="1:28" s="128" customFormat="1">
      <c r="AA128" s="355">
        <f t="shared" si="28"/>
        <v>0</v>
      </c>
      <c r="AB128" s="356">
        <f t="shared" si="20"/>
        <v>0</v>
      </c>
    </row>
    <row r="129" spans="1:28" s="128" customFormat="1">
      <c r="AA129" s="355">
        <f t="shared" si="28"/>
        <v>0</v>
      </c>
      <c r="AB129" s="356">
        <f t="shared" si="20"/>
        <v>0</v>
      </c>
    </row>
    <row r="130" spans="1:28" s="128" customFormat="1">
      <c r="AA130" s="355">
        <f t="shared" si="28"/>
        <v>0</v>
      </c>
      <c r="AB130" s="356">
        <f t="shared" si="20"/>
        <v>0</v>
      </c>
    </row>
    <row r="131" spans="1:28" s="128" customFormat="1">
      <c r="AA131" s="355">
        <f t="shared" si="28"/>
        <v>0</v>
      </c>
      <c r="AB131" s="356">
        <f t="shared" si="20"/>
        <v>0</v>
      </c>
    </row>
    <row r="132" spans="1:28" s="128" customFormat="1">
      <c r="AA132" s="355">
        <f t="shared" si="28"/>
        <v>0</v>
      </c>
      <c r="AB132" s="356">
        <f t="shared" si="20"/>
        <v>0</v>
      </c>
    </row>
    <row r="133" spans="1:28" s="128" customFormat="1">
      <c r="AA133" s="355">
        <f t="shared" si="28"/>
        <v>0</v>
      </c>
      <c r="AB133" s="356">
        <f t="shared" si="20"/>
        <v>0</v>
      </c>
    </row>
    <row r="134" spans="1:28" s="128" customFormat="1">
      <c r="AA134" s="355">
        <f t="shared" si="28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0">G119</f>
        <v>2002</v>
      </c>
      <c r="H135" s="99">
        <f t="shared" si="40"/>
        <v>2003</v>
      </c>
      <c r="I135" s="99">
        <f t="shared" si="40"/>
        <v>2004</v>
      </c>
      <c r="J135" s="99">
        <f t="shared" si="40"/>
        <v>2005</v>
      </c>
      <c r="K135" s="99">
        <f t="shared" si="40"/>
        <v>2006</v>
      </c>
      <c r="L135" s="99">
        <f t="shared" si="40"/>
        <v>2007</v>
      </c>
      <c r="M135" s="99">
        <f t="shared" si="40"/>
        <v>2008</v>
      </c>
      <c r="N135" s="99">
        <f t="shared" si="40"/>
        <v>2009</v>
      </c>
      <c r="O135" s="99">
        <f t="shared" si="40"/>
        <v>2010</v>
      </c>
      <c r="P135" s="99">
        <f t="shared" si="40"/>
        <v>2011</v>
      </c>
      <c r="Q135" s="99">
        <f t="shared" si="40"/>
        <v>2012</v>
      </c>
      <c r="R135" s="99">
        <f t="shared" si="40"/>
        <v>2013</v>
      </c>
      <c r="S135" s="99">
        <f t="shared" si="40"/>
        <v>2014</v>
      </c>
      <c r="T135" s="99">
        <f t="shared" si="40"/>
        <v>2015</v>
      </c>
      <c r="U135" s="99">
        <f t="shared" si="40"/>
        <v>2016</v>
      </c>
      <c r="V135" s="99">
        <f t="shared" si="40"/>
        <v>2017</v>
      </c>
      <c r="W135" s="99">
        <f t="shared" si="40"/>
        <v>2018</v>
      </c>
      <c r="X135" s="99">
        <f t="shared" si="40"/>
        <v>2019</v>
      </c>
      <c r="Y135" s="9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28" customFormat="1">
      <c r="AA136" s="355">
        <f t="shared" si="28"/>
        <v>0</v>
      </c>
      <c r="AB136" s="356">
        <f t="shared" si="41"/>
        <v>0</v>
      </c>
    </row>
    <row r="137" spans="1:28" s="128" customFormat="1">
      <c r="A137" s="128" t="s">
        <v>78</v>
      </c>
      <c r="F137" s="181">
        <f>F46</f>
        <v>0</v>
      </c>
      <c r="G137" s="181">
        <f t="shared" ref="G137:Y137" si="42">G46</f>
        <v>0</v>
      </c>
      <c r="H137" s="181">
        <f t="shared" si="42"/>
        <v>0</v>
      </c>
      <c r="I137" s="181">
        <f t="shared" si="42"/>
        <v>0</v>
      </c>
      <c r="J137" s="181">
        <f t="shared" si="42"/>
        <v>0</v>
      </c>
      <c r="K137" s="181">
        <f t="shared" si="42"/>
        <v>0</v>
      </c>
      <c r="L137" s="181">
        <f t="shared" si="42"/>
        <v>0</v>
      </c>
      <c r="M137" s="181">
        <f t="shared" si="42"/>
        <v>0</v>
      </c>
      <c r="N137" s="181">
        <f t="shared" si="42"/>
        <v>0</v>
      </c>
      <c r="O137" s="181">
        <f t="shared" si="42"/>
        <v>0</v>
      </c>
      <c r="P137" s="181">
        <f t="shared" si="42"/>
        <v>0</v>
      </c>
      <c r="Q137" s="181">
        <f t="shared" si="42"/>
        <v>0</v>
      </c>
      <c r="R137" s="181">
        <f t="shared" si="42"/>
        <v>0</v>
      </c>
      <c r="S137" s="181">
        <f t="shared" si="42"/>
        <v>0</v>
      </c>
      <c r="T137" s="181">
        <f t="shared" si="42"/>
        <v>0</v>
      </c>
      <c r="U137" s="181">
        <f t="shared" si="42"/>
        <v>0</v>
      </c>
      <c r="V137" s="181">
        <f t="shared" si="42"/>
        <v>0</v>
      </c>
      <c r="W137" s="181">
        <f t="shared" si="42"/>
        <v>0</v>
      </c>
      <c r="X137" s="181">
        <f t="shared" si="42"/>
        <v>0</v>
      </c>
      <c r="Y137" s="181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28" customFormat="1">
      <c r="A138" s="128" t="s">
        <v>67</v>
      </c>
      <c r="F138" s="147">
        <f t="shared" ref="F138:Y138" si="43">SUM(F33:F35)</f>
        <v>353.05349760000007</v>
      </c>
      <c r="G138" s="147">
        <f t="shared" si="43"/>
        <v>360.82067454720004</v>
      </c>
      <c r="H138" s="147">
        <f t="shared" si="43"/>
        <v>369.48037073633287</v>
      </c>
      <c r="I138" s="147">
        <f t="shared" si="43"/>
        <v>378.34789963400488</v>
      </c>
      <c r="J138" s="147">
        <f t="shared" si="43"/>
        <v>387.04990132558697</v>
      </c>
      <c r="K138" s="147">
        <f t="shared" si="43"/>
        <v>396.33909895740101</v>
      </c>
      <c r="L138" s="147">
        <f t="shared" si="43"/>
        <v>405.85123733237867</v>
      </c>
      <c r="M138" s="147">
        <f t="shared" si="43"/>
        <v>415.5916670283558</v>
      </c>
      <c r="N138" s="147">
        <f t="shared" si="43"/>
        <v>425.56586703703636</v>
      </c>
      <c r="O138" s="147">
        <f t="shared" si="43"/>
        <v>435.77944784592523</v>
      </c>
      <c r="P138" s="147">
        <f t="shared" si="43"/>
        <v>446.23815459422741</v>
      </c>
      <c r="Q138" s="147">
        <f t="shared" si="43"/>
        <v>456.9478703044889</v>
      </c>
      <c r="R138" s="147">
        <f t="shared" si="43"/>
        <v>467.91461919179665</v>
      </c>
      <c r="S138" s="147">
        <f t="shared" si="43"/>
        <v>0</v>
      </c>
      <c r="T138" s="147">
        <f t="shared" si="43"/>
        <v>0</v>
      </c>
      <c r="U138" s="147">
        <f t="shared" si="43"/>
        <v>0</v>
      </c>
      <c r="V138" s="147">
        <f t="shared" si="43"/>
        <v>0</v>
      </c>
      <c r="W138" s="147">
        <f t="shared" si="43"/>
        <v>0</v>
      </c>
      <c r="X138" s="147">
        <f t="shared" si="43"/>
        <v>0</v>
      </c>
      <c r="Y138" s="147">
        <f t="shared" si="43"/>
        <v>0</v>
      </c>
      <c r="AA138" s="355">
        <f t="shared" si="28"/>
        <v>5298.9803061347338</v>
      </c>
      <c r="AB138" s="356">
        <f t="shared" si="41"/>
        <v>5298.9803061347338</v>
      </c>
    </row>
    <row r="139" spans="1:28" s="128" customFormat="1">
      <c r="A139" s="128" t="s">
        <v>68</v>
      </c>
      <c r="F139" s="132">
        <f>F137+F138</f>
        <v>353.05349760000007</v>
      </c>
      <c r="G139" s="132">
        <f t="shared" ref="G139:Y139" si="44">G137+G138</f>
        <v>360.82067454720004</v>
      </c>
      <c r="H139" s="132">
        <f t="shared" si="44"/>
        <v>369.48037073633287</v>
      </c>
      <c r="I139" s="132">
        <f t="shared" si="44"/>
        <v>378.34789963400488</v>
      </c>
      <c r="J139" s="132">
        <f t="shared" si="44"/>
        <v>387.04990132558697</v>
      </c>
      <c r="K139" s="132">
        <f t="shared" si="44"/>
        <v>396.33909895740101</v>
      </c>
      <c r="L139" s="132">
        <f t="shared" si="44"/>
        <v>405.85123733237867</v>
      </c>
      <c r="M139" s="132">
        <f t="shared" si="44"/>
        <v>415.5916670283558</v>
      </c>
      <c r="N139" s="132">
        <f t="shared" si="44"/>
        <v>425.56586703703636</v>
      </c>
      <c r="O139" s="132">
        <f t="shared" si="44"/>
        <v>435.77944784592523</v>
      </c>
      <c r="P139" s="132">
        <f t="shared" si="44"/>
        <v>446.23815459422741</v>
      </c>
      <c r="Q139" s="132">
        <f t="shared" si="44"/>
        <v>456.9478703044889</v>
      </c>
      <c r="R139" s="132">
        <f t="shared" si="44"/>
        <v>467.91461919179665</v>
      </c>
      <c r="S139" s="132">
        <f t="shared" si="44"/>
        <v>0</v>
      </c>
      <c r="T139" s="132">
        <f t="shared" si="44"/>
        <v>0</v>
      </c>
      <c r="U139" s="132">
        <f t="shared" si="44"/>
        <v>0</v>
      </c>
      <c r="V139" s="132">
        <f t="shared" si="44"/>
        <v>0</v>
      </c>
      <c r="W139" s="132">
        <f t="shared" si="44"/>
        <v>0</v>
      </c>
      <c r="X139" s="132">
        <f t="shared" si="44"/>
        <v>0</v>
      </c>
      <c r="Y139" s="132">
        <f t="shared" si="44"/>
        <v>0</v>
      </c>
      <c r="AA139" s="355">
        <f t="shared" si="28"/>
        <v>5298.9803061347338</v>
      </c>
      <c r="AB139" s="356">
        <f t="shared" si="41"/>
        <v>5298.9803061347338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17.652674880000003</v>
      </c>
      <c r="G140" s="132">
        <f t="shared" ref="G140:Y140" si="45">G139*$C$140</f>
        <v>18.041033727360002</v>
      </c>
      <c r="H140" s="132">
        <f t="shared" si="45"/>
        <v>18.474018536816644</v>
      </c>
      <c r="I140" s="132">
        <f t="shared" si="45"/>
        <v>18.917394981700244</v>
      </c>
      <c r="J140" s="132">
        <f t="shared" si="45"/>
        <v>19.352495066279349</v>
      </c>
      <c r="K140" s="132">
        <f t="shared" si="45"/>
        <v>19.816954947870052</v>
      </c>
      <c r="L140" s="132">
        <f t="shared" si="45"/>
        <v>20.292561866618936</v>
      </c>
      <c r="M140" s="132">
        <f t="shared" si="45"/>
        <v>20.779583351417791</v>
      </c>
      <c r="N140" s="132">
        <f t="shared" si="45"/>
        <v>21.278293351851818</v>
      </c>
      <c r="O140" s="132">
        <f t="shared" si="45"/>
        <v>21.788972392296262</v>
      </c>
      <c r="P140" s="132">
        <f t="shared" si="45"/>
        <v>22.311907729711372</v>
      </c>
      <c r="Q140" s="132">
        <f t="shared" si="45"/>
        <v>22.847393515224447</v>
      </c>
      <c r="R140" s="132">
        <f t="shared" si="45"/>
        <v>23.395730959589834</v>
      </c>
      <c r="S140" s="132">
        <f t="shared" si="45"/>
        <v>0</v>
      </c>
      <c r="T140" s="132">
        <f t="shared" si="45"/>
        <v>0</v>
      </c>
      <c r="U140" s="132">
        <f t="shared" si="45"/>
        <v>0</v>
      </c>
      <c r="V140" s="132">
        <f t="shared" si="45"/>
        <v>0</v>
      </c>
      <c r="W140" s="132">
        <f t="shared" si="45"/>
        <v>0</v>
      </c>
      <c r="X140" s="132">
        <f t="shared" si="45"/>
        <v>0</v>
      </c>
      <c r="Y140" s="132">
        <f t="shared" si="45"/>
        <v>0</v>
      </c>
      <c r="AA140" s="355">
        <f t="shared" si="28"/>
        <v>264.94901530673678</v>
      </c>
      <c r="AB140" s="356">
        <f t="shared" si="41"/>
        <v>264.94901530673678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117.39028795200001</v>
      </c>
      <c r="G141" s="147">
        <f t="shared" ref="G141:Y141" si="46">(G139-G140)*$C$141</f>
        <v>119.97287428694401</v>
      </c>
      <c r="H141" s="147">
        <f t="shared" si="46"/>
        <v>122.85222326983067</v>
      </c>
      <c r="I141" s="147">
        <f t="shared" si="46"/>
        <v>125.80067662830662</v>
      </c>
      <c r="J141" s="147">
        <f t="shared" si="46"/>
        <v>128.69409219075766</v>
      </c>
      <c r="K141" s="147">
        <f t="shared" si="46"/>
        <v>131.78275040333583</v>
      </c>
      <c r="L141" s="147">
        <f t="shared" si="46"/>
        <v>134.9455364130159</v>
      </c>
      <c r="M141" s="147">
        <f t="shared" si="46"/>
        <v>138.18422928692829</v>
      </c>
      <c r="N141" s="147">
        <f t="shared" si="46"/>
        <v>141.50065078981459</v>
      </c>
      <c r="O141" s="147">
        <f t="shared" si="46"/>
        <v>144.89666640877013</v>
      </c>
      <c r="P141" s="147">
        <f t="shared" si="46"/>
        <v>148.37418640258059</v>
      </c>
      <c r="Q141" s="147">
        <f t="shared" si="46"/>
        <v>151.93516687624256</v>
      </c>
      <c r="R141" s="147">
        <f t="shared" si="46"/>
        <v>155.58161088127235</v>
      </c>
      <c r="S141" s="147">
        <f t="shared" si="46"/>
        <v>0</v>
      </c>
      <c r="T141" s="147">
        <f t="shared" si="46"/>
        <v>0</v>
      </c>
      <c r="U141" s="147">
        <f t="shared" si="46"/>
        <v>0</v>
      </c>
      <c r="V141" s="147">
        <f t="shared" si="46"/>
        <v>0</v>
      </c>
      <c r="W141" s="147">
        <f t="shared" si="46"/>
        <v>0</v>
      </c>
      <c r="X141" s="147">
        <f t="shared" si="46"/>
        <v>0</v>
      </c>
      <c r="Y141" s="147">
        <f t="shared" si="46"/>
        <v>0</v>
      </c>
      <c r="AA141" s="355">
        <f t="shared" si="28"/>
        <v>1761.9109517897994</v>
      </c>
      <c r="AB141" s="356">
        <f t="shared" si="41"/>
        <v>1761.9109517897994</v>
      </c>
    </row>
    <row r="142" spans="1:28" s="128" customFormat="1">
      <c r="A142" s="128" t="s">
        <v>71</v>
      </c>
      <c r="F142" s="132">
        <f>F139-F140-F141</f>
        <v>218.01053476800007</v>
      </c>
      <c r="G142" s="132">
        <f t="shared" ref="G142:Y142" si="47">G139-G140-G141</f>
        <v>222.80676653289603</v>
      </c>
      <c r="H142" s="132">
        <f t="shared" si="47"/>
        <v>228.15412892968556</v>
      </c>
      <c r="I142" s="132">
        <f t="shared" si="47"/>
        <v>233.62982802399802</v>
      </c>
      <c r="J142" s="132">
        <f t="shared" si="47"/>
        <v>239.00331406854997</v>
      </c>
      <c r="K142" s="132">
        <f t="shared" si="47"/>
        <v>244.73939360619514</v>
      </c>
      <c r="L142" s="132">
        <f t="shared" si="47"/>
        <v>250.61313905274383</v>
      </c>
      <c r="M142" s="132">
        <f t="shared" si="47"/>
        <v>256.6278543900097</v>
      </c>
      <c r="N142" s="132">
        <f t="shared" si="47"/>
        <v>262.78692289536997</v>
      </c>
      <c r="O142" s="132">
        <f t="shared" si="47"/>
        <v>269.09380904485886</v>
      </c>
      <c r="P142" s="132">
        <f t="shared" si="47"/>
        <v>275.55206046193541</v>
      </c>
      <c r="Q142" s="132">
        <f t="shared" si="47"/>
        <v>282.16530991302193</v>
      </c>
      <c r="R142" s="132">
        <f t="shared" si="47"/>
        <v>288.93727735093444</v>
      </c>
      <c r="S142" s="132">
        <f t="shared" si="47"/>
        <v>0</v>
      </c>
      <c r="T142" s="132">
        <f t="shared" si="47"/>
        <v>0</v>
      </c>
      <c r="U142" s="132">
        <f t="shared" si="47"/>
        <v>0</v>
      </c>
      <c r="V142" s="132">
        <f t="shared" si="47"/>
        <v>0</v>
      </c>
      <c r="W142" s="132">
        <f t="shared" si="47"/>
        <v>0</v>
      </c>
      <c r="X142" s="132">
        <f t="shared" si="47"/>
        <v>0</v>
      </c>
      <c r="Y142" s="132">
        <f t="shared" si="47"/>
        <v>0</v>
      </c>
      <c r="AA142" s="355">
        <f t="shared" si="28"/>
        <v>3272.1203390381993</v>
      </c>
      <c r="AB142" s="356">
        <f t="shared" si="41"/>
        <v>3272.1203390381993</v>
      </c>
    </row>
    <row r="143" spans="1:28" s="128" customFormat="1">
      <c r="AA143" s="355">
        <f t="shared" si="28"/>
        <v>0</v>
      </c>
      <c r="AB143" s="356">
        <f t="shared" si="41"/>
        <v>0</v>
      </c>
    </row>
    <row r="144" spans="1:28" s="128" customFormat="1">
      <c r="A144" s="146" t="str">
        <f>A76</f>
        <v>Net Income to FPLE</v>
      </c>
      <c r="F144" s="149">
        <f>F76</f>
        <v>918.12769744127422</v>
      </c>
      <c r="G144" s="149">
        <f t="shared" ref="G144:Y144" si="48">G76</f>
        <v>604.77400372120007</v>
      </c>
      <c r="H144" s="149">
        <f t="shared" si="48"/>
        <v>765.32480526296581</v>
      </c>
      <c r="I144" s="149">
        <f t="shared" si="48"/>
        <v>635.55785510755163</v>
      </c>
      <c r="J144" s="149">
        <f t="shared" si="48"/>
        <v>771.7842690258052</v>
      </c>
      <c r="K144" s="149">
        <f t="shared" si="48"/>
        <v>903.29418558972384</v>
      </c>
      <c r="L144" s="149">
        <f t="shared" si="48"/>
        <v>1032.1739363808483</v>
      </c>
      <c r="M144" s="149">
        <f t="shared" si="48"/>
        <v>1061.7970444261623</v>
      </c>
      <c r="N144" s="149">
        <f t="shared" si="48"/>
        <v>1076.9786258330273</v>
      </c>
      <c r="O144" s="149">
        <f t="shared" si="48"/>
        <v>1139.2117406563129</v>
      </c>
      <c r="P144" s="149">
        <f t="shared" si="48"/>
        <v>1199.6582001165002</v>
      </c>
      <c r="Q144" s="149">
        <f t="shared" si="48"/>
        <v>1258.2751378050843</v>
      </c>
      <c r="R144" s="149">
        <f t="shared" si="48"/>
        <v>1102.6415171092713</v>
      </c>
      <c r="S144" s="149">
        <f t="shared" si="48"/>
        <v>0</v>
      </c>
      <c r="T144" s="149">
        <f t="shared" si="48"/>
        <v>0</v>
      </c>
      <c r="U144" s="149">
        <f t="shared" si="48"/>
        <v>0</v>
      </c>
      <c r="V144" s="149">
        <f t="shared" si="48"/>
        <v>0</v>
      </c>
      <c r="W144" s="149">
        <f t="shared" si="48"/>
        <v>0</v>
      </c>
      <c r="X144" s="149">
        <f t="shared" si="48"/>
        <v>0</v>
      </c>
      <c r="Y144" s="149">
        <f t="shared" si="48"/>
        <v>0</v>
      </c>
      <c r="AA144" s="355">
        <f t="shared" si="28"/>
        <v>12469.599018475728</v>
      </c>
      <c r="AB144" s="356">
        <f t="shared" si="41"/>
        <v>12469.599018475728</v>
      </c>
    </row>
    <row r="145" spans="1:28" s="128" customFormat="1">
      <c r="A145" s="103" t="s">
        <v>79</v>
      </c>
      <c r="F145" s="142">
        <f>F142+F144</f>
        <v>1136.1382322092743</v>
      </c>
      <c r="G145" s="142">
        <f t="shared" ref="G145:Y145" si="49">G142+G144</f>
        <v>827.58077025409614</v>
      </c>
      <c r="H145" s="142">
        <f t="shared" si="49"/>
        <v>993.47893419265142</v>
      </c>
      <c r="I145" s="142">
        <f t="shared" si="49"/>
        <v>869.18768313154965</v>
      </c>
      <c r="J145" s="142">
        <f t="shared" si="49"/>
        <v>1010.7875830943551</v>
      </c>
      <c r="K145" s="142">
        <f t="shared" si="49"/>
        <v>1148.0335791959189</v>
      </c>
      <c r="L145" s="142">
        <f t="shared" si="49"/>
        <v>1282.7870754335922</v>
      </c>
      <c r="M145" s="142">
        <f t="shared" si="49"/>
        <v>1318.4248988161721</v>
      </c>
      <c r="N145" s="142">
        <f t="shared" si="49"/>
        <v>1339.7655487283973</v>
      </c>
      <c r="O145" s="142">
        <f t="shared" si="49"/>
        <v>1408.3055497011719</v>
      </c>
      <c r="P145" s="142">
        <f t="shared" si="49"/>
        <v>1475.2102605784357</v>
      </c>
      <c r="Q145" s="142">
        <f t="shared" si="49"/>
        <v>1540.4404477181063</v>
      </c>
      <c r="R145" s="142">
        <f t="shared" si="49"/>
        <v>1391.5787944602057</v>
      </c>
      <c r="S145" s="142">
        <f t="shared" si="49"/>
        <v>0</v>
      </c>
      <c r="T145" s="142">
        <f t="shared" si="49"/>
        <v>0</v>
      </c>
      <c r="U145" s="142">
        <f t="shared" si="49"/>
        <v>0</v>
      </c>
      <c r="V145" s="142">
        <f t="shared" si="49"/>
        <v>0</v>
      </c>
      <c r="W145" s="142">
        <f t="shared" si="49"/>
        <v>0</v>
      </c>
      <c r="X145" s="142">
        <f t="shared" si="49"/>
        <v>0</v>
      </c>
      <c r="Y145" s="142">
        <f t="shared" si="49"/>
        <v>0</v>
      </c>
      <c r="AA145" s="355">
        <f t="shared" si="28"/>
        <v>15741.719357513926</v>
      </c>
      <c r="AB145" s="356">
        <f t="shared" si="41"/>
        <v>15741.719357513926</v>
      </c>
    </row>
    <row r="146" spans="1:28" s="128" customFormat="1">
      <c r="AA146" s="355">
        <f t="shared" si="28"/>
        <v>0</v>
      </c>
      <c r="AB146" s="356">
        <f t="shared" si="41"/>
        <v>0</v>
      </c>
    </row>
    <row r="147" spans="1:28" s="128" customFormat="1">
      <c r="AA147" s="355">
        <f t="shared" si="28"/>
        <v>0</v>
      </c>
      <c r="AB147" s="356">
        <f t="shared" si="41"/>
        <v>0</v>
      </c>
    </row>
    <row r="148" spans="1:28" s="128" customFormat="1">
      <c r="AA148" s="355">
        <f t="shared" si="28"/>
        <v>0</v>
      </c>
      <c r="AB148" s="356">
        <f t="shared" si="41"/>
        <v>0</v>
      </c>
    </row>
    <row r="149" spans="1:28" s="128" customFormat="1">
      <c r="A149" s="105" t="s">
        <v>110</v>
      </c>
      <c r="AA149" s="355">
        <f t="shared" si="28"/>
        <v>0</v>
      </c>
      <c r="AB149" s="356">
        <f t="shared" si="41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218.01053476800007</v>
      </c>
      <c r="G150" s="129">
        <f t="shared" ref="G150:Y150" si="50">G142</f>
        <v>222.80676653289603</v>
      </c>
      <c r="H150" s="129">
        <f t="shared" si="50"/>
        <v>228.15412892968556</v>
      </c>
      <c r="I150" s="129">
        <f t="shared" si="50"/>
        <v>233.62982802399802</v>
      </c>
      <c r="J150" s="129">
        <f t="shared" si="50"/>
        <v>239.00331406854997</v>
      </c>
      <c r="K150" s="129">
        <f t="shared" si="50"/>
        <v>244.73939360619514</v>
      </c>
      <c r="L150" s="129">
        <f t="shared" si="50"/>
        <v>250.61313905274383</v>
      </c>
      <c r="M150" s="129">
        <f t="shared" si="50"/>
        <v>256.6278543900097</v>
      </c>
      <c r="N150" s="129">
        <f t="shared" si="50"/>
        <v>262.78692289536997</v>
      </c>
      <c r="O150" s="129">
        <f t="shared" si="50"/>
        <v>269.09380904485886</v>
      </c>
      <c r="P150" s="129">
        <f t="shared" si="50"/>
        <v>275.55206046193541</v>
      </c>
      <c r="Q150" s="129">
        <f t="shared" si="50"/>
        <v>282.16530991302193</v>
      </c>
      <c r="R150" s="129">
        <f t="shared" si="50"/>
        <v>288.93727735093444</v>
      </c>
      <c r="S150" s="129">
        <f t="shared" si="50"/>
        <v>0</v>
      </c>
      <c r="T150" s="129">
        <f t="shared" si="50"/>
        <v>0</v>
      </c>
      <c r="U150" s="129">
        <f t="shared" si="50"/>
        <v>0</v>
      </c>
      <c r="V150" s="129">
        <f t="shared" si="50"/>
        <v>0</v>
      </c>
      <c r="W150" s="129">
        <f t="shared" si="50"/>
        <v>0</v>
      </c>
      <c r="X150" s="129">
        <f t="shared" si="50"/>
        <v>0</v>
      </c>
      <c r="Y150" s="129">
        <f t="shared" si="50"/>
        <v>0</v>
      </c>
      <c r="AA150" s="355">
        <f t="shared" si="28"/>
        <v>3272.1203390381993</v>
      </c>
      <c r="AB150" s="356">
        <f t="shared" si="41"/>
        <v>3272.1203390381993</v>
      </c>
    </row>
    <row r="151" spans="1:28" s="128" customFormat="1">
      <c r="A151" s="128" t="s">
        <v>111</v>
      </c>
      <c r="F151" s="182">
        <v>0</v>
      </c>
      <c r="G151" s="182">
        <v>0</v>
      </c>
      <c r="H151" s="182">
        <v>0</v>
      </c>
      <c r="I151" s="182">
        <v>0</v>
      </c>
      <c r="J151" s="182">
        <v>0</v>
      </c>
      <c r="K151" s="182">
        <v>0</v>
      </c>
      <c r="L151" s="182">
        <v>0</v>
      </c>
      <c r="M151" s="182">
        <v>0</v>
      </c>
      <c r="N151" s="182">
        <v>0</v>
      </c>
      <c r="O151" s="182">
        <v>0</v>
      </c>
      <c r="P151" s="182">
        <v>0</v>
      </c>
      <c r="Q151" s="182">
        <v>0</v>
      </c>
      <c r="R151" s="182">
        <v>0</v>
      </c>
      <c r="S151" s="182">
        <v>0</v>
      </c>
      <c r="T151" s="182">
        <v>0</v>
      </c>
      <c r="U151" s="182">
        <v>0</v>
      </c>
      <c r="V151" s="182">
        <v>0</v>
      </c>
      <c r="W151" s="182">
        <v>0</v>
      </c>
      <c r="X151" s="182">
        <v>0</v>
      </c>
      <c r="Y151" s="182">
        <v>0</v>
      </c>
      <c r="AA151" s="355">
        <f t="shared" si="28"/>
        <v>0</v>
      </c>
      <c r="AB151" s="356">
        <f t="shared" si="41"/>
        <v>0</v>
      </c>
    </row>
    <row r="152" spans="1:28" s="128" customFormat="1">
      <c r="F152" s="129">
        <f>F150+F151</f>
        <v>218.01053476800007</v>
      </c>
      <c r="G152" s="129">
        <f t="shared" ref="G152:Y152" si="51">G150+G151</f>
        <v>222.80676653289603</v>
      </c>
      <c r="H152" s="129">
        <f t="shared" si="51"/>
        <v>228.15412892968556</v>
      </c>
      <c r="I152" s="129">
        <f t="shared" si="51"/>
        <v>233.62982802399802</v>
      </c>
      <c r="J152" s="129">
        <f t="shared" si="51"/>
        <v>239.00331406854997</v>
      </c>
      <c r="K152" s="129">
        <f t="shared" si="51"/>
        <v>244.73939360619514</v>
      </c>
      <c r="L152" s="129">
        <f t="shared" si="51"/>
        <v>250.61313905274383</v>
      </c>
      <c r="M152" s="129">
        <f t="shared" si="51"/>
        <v>256.6278543900097</v>
      </c>
      <c r="N152" s="129">
        <f t="shared" si="51"/>
        <v>262.78692289536997</v>
      </c>
      <c r="O152" s="129">
        <f t="shared" si="51"/>
        <v>269.09380904485886</v>
      </c>
      <c r="P152" s="129">
        <f t="shared" si="51"/>
        <v>275.55206046193541</v>
      </c>
      <c r="Q152" s="129">
        <f t="shared" si="51"/>
        <v>282.16530991302193</v>
      </c>
      <c r="R152" s="129">
        <f t="shared" si="51"/>
        <v>288.93727735093444</v>
      </c>
      <c r="S152" s="129">
        <f t="shared" si="51"/>
        <v>0</v>
      </c>
      <c r="T152" s="129">
        <f t="shared" si="51"/>
        <v>0</v>
      </c>
      <c r="U152" s="129">
        <f t="shared" si="51"/>
        <v>0</v>
      </c>
      <c r="V152" s="129">
        <f t="shared" si="51"/>
        <v>0</v>
      </c>
      <c r="W152" s="129">
        <f t="shared" si="51"/>
        <v>0</v>
      </c>
      <c r="X152" s="129">
        <f t="shared" si="51"/>
        <v>0</v>
      </c>
      <c r="Y152" s="129">
        <f t="shared" si="51"/>
        <v>0</v>
      </c>
      <c r="AA152" s="355">
        <f t="shared" si="28"/>
        <v>3272.1203390381993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1832.3932111114589</v>
      </c>
    </row>
    <row r="156" spans="1:28" s="128" customFormat="1" ht="13.5" thickBot="1">
      <c r="A156" s="128" t="s">
        <v>48</v>
      </c>
      <c r="C156" s="152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22412.83839881351</v>
      </c>
    </row>
    <row r="161" spans="1:25" s="128" customFormat="1">
      <c r="A161" s="108" t="s">
        <v>74</v>
      </c>
      <c r="B161" s="109"/>
      <c r="C161" s="109"/>
      <c r="D161" s="183">
        <v>0</v>
      </c>
      <c r="F161" s="150"/>
    </row>
    <row r="162" spans="1:25" s="128" customFormat="1">
      <c r="A162" s="108" t="s">
        <v>75</v>
      </c>
      <c r="B162" s="109"/>
      <c r="C162" s="109"/>
      <c r="D162" s="111">
        <f>C155-D161</f>
        <v>1832.3932111114589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24245.231609924969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 t="s">
        <v>156</v>
      </c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 t="s">
        <v>157</v>
      </c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 t="s">
        <v>158</v>
      </c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 t="s">
        <v>159</v>
      </c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6" t="s">
        <v>160</v>
      </c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6" t="s">
        <v>215</v>
      </c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 t="s">
        <v>186</v>
      </c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17" t="s">
        <v>189</v>
      </c>
      <c r="B176" s="17"/>
      <c r="C176" s="47">
        <f>E57</f>
        <v>4.2486788332767006E-2</v>
      </c>
      <c r="D176" s="32" t="s">
        <v>214</v>
      </c>
      <c r="E176" s="32"/>
      <c r="F176" s="32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 t="s">
        <v>164</v>
      </c>
      <c r="B177" s="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 t="s">
        <v>179</v>
      </c>
      <c r="B178" s="6"/>
      <c r="C178" s="31"/>
      <c r="D178" s="31"/>
      <c r="E178" s="31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 t="s">
        <v>163</v>
      </c>
      <c r="B179" s="6"/>
      <c r="C179" s="31"/>
      <c r="D179" s="31"/>
      <c r="E179" s="31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6" t="s">
        <v>208</v>
      </c>
      <c r="B180" s="6"/>
      <c r="C180" s="31"/>
      <c r="D180" s="31"/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6" t="s">
        <v>166</v>
      </c>
      <c r="B181" s="6"/>
      <c r="C181" s="31"/>
      <c r="D181" s="31"/>
      <c r="E181" s="31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6" t="s">
        <v>167</v>
      </c>
      <c r="B182" s="6"/>
      <c r="C182" s="31"/>
      <c r="D182" s="31"/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 t="s">
        <v>168</v>
      </c>
      <c r="B183" s="6"/>
      <c r="C183" s="31"/>
      <c r="D183" s="31"/>
      <c r="E183" s="31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outlineLevel="1">
      <c r="A184" s="6"/>
      <c r="B184" s="6" t="s">
        <v>169</v>
      </c>
      <c r="C184" s="31"/>
      <c r="D184" s="31"/>
      <c r="E184" s="31"/>
      <c r="F184" s="6"/>
      <c r="G184" s="31"/>
      <c r="H184" s="6"/>
      <c r="I184" s="6"/>
      <c r="J184" s="6"/>
      <c r="K184" s="6"/>
      <c r="L184" s="6"/>
      <c r="M184" s="6"/>
      <c r="N184" s="6"/>
      <c r="O184" s="6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28"/>
      <c r="B185" s="6" t="s">
        <v>170</v>
      </c>
      <c r="C185" s="6"/>
      <c r="D185" s="31"/>
      <c r="E185" s="6"/>
      <c r="F185" s="31"/>
      <c r="G185" s="184"/>
      <c r="H185" s="185"/>
      <c r="I185" s="185"/>
      <c r="J185" s="185"/>
      <c r="K185" s="185"/>
      <c r="L185" s="185"/>
      <c r="M185" s="185"/>
      <c r="N185" s="185"/>
      <c r="O185" s="185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6"/>
      <c r="B186" s="6" t="s">
        <v>171</v>
      </c>
      <c r="C186" s="33"/>
      <c r="D186" s="31"/>
      <c r="E186" s="31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6" t="s">
        <v>182</v>
      </c>
      <c r="B187" s="6"/>
      <c r="C187" s="31"/>
      <c r="D187" s="31"/>
      <c r="E187" s="31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6"/>
      <c r="B188" s="6" t="s">
        <v>184</v>
      </c>
      <c r="C188" s="31"/>
      <c r="D188" s="31"/>
      <c r="E188" s="31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6"/>
      <c r="B189" s="6" t="s">
        <v>172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6"/>
      <c r="B190" s="6"/>
      <c r="C190" s="31"/>
      <c r="D190" s="31"/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6" t="s">
        <v>176</v>
      </c>
      <c r="B191" s="6"/>
      <c r="C191" s="31"/>
      <c r="D191" s="31"/>
      <c r="E191" s="31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6" t="s">
        <v>209</v>
      </c>
      <c r="B192" s="6"/>
      <c r="C192" s="31"/>
      <c r="D192" s="31"/>
      <c r="E192" s="31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6"/>
      <c r="B194" s="1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17"/>
      <c r="B195" s="6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38"/>
      <c r="B196" s="6"/>
      <c r="C196" s="6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40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39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8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40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" customHeight="1" outlineLevel="1">
      <c r="A219" s="40"/>
      <c r="B219" s="6"/>
      <c r="C219" s="6"/>
      <c r="D219" s="6"/>
      <c r="E219" s="27"/>
      <c r="F219" s="27"/>
      <c r="G219" s="2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4.25" customHeight="1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outlineLevel="1">
      <c r="A223" s="40"/>
      <c r="B223" s="6"/>
      <c r="C223" s="6"/>
      <c r="D223" s="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outlineLevel="1">
      <c r="A224" s="42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27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6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17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6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6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3"/>
      <c r="B236" s="3"/>
      <c r="C236" s="3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outlineLevel="1">
      <c r="A237" s="40"/>
      <c r="B237" s="6"/>
      <c r="C237" s="6"/>
      <c r="D237" s="6"/>
      <c r="E237" s="27"/>
      <c r="F237" s="27"/>
      <c r="G237" s="2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outlineLevel="1">
      <c r="A238" s="39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8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27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40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39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20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27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40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27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40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39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40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39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8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8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40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9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39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8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40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6"/>
      <c r="B279" s="6"/>
      <c r="C279" s="6"/>
      <c r="D279" s="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outlineLevel="1">
      <c r="A280" s="6"/>
      <c r="B280" s="6"/>
      <c r="C280" s="6"/>
      <c r="D280" s="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6"/>
      <c r="B281" s="6"/>
      <c r="C281" s="6"/>
      <c r="D281" s="6"/>
      <c r="E281" s="6"/>
      <c r="F281" s="6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3"/>
      <c r="B282" s="3"/>
      <c r="C282" s="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outlineLevel="1">
      <c r="A283" s="17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17"/>
      <c r="B284" s="43"/>
      <c r="C284" s="4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17"/>
      <c r="B287" s="17"/>
      <c r="C287" s="17"/>
      <c r="D287" s="1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44"/>
      <c r="B288" s="17"/>
      <c r="C288" s="17"/>
      <c r="D288" s="17"/>
      <c r="E288" s="45"/>
      <c r="F288" s="45"/>
      <c r="G288" s="45"/>
      <c r="H288" s="45"/>
      <c r="I288" s="45"/>
      <c r="J288" s="45"/>
      <c r="K288" s="45"/>
      <c r="L288" s="45"/>
      <c r="M288" s="6"/>
      <c r="N288" s="4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17"/>
      <c r="C289" s="17"/>
      <c r="D289" s="17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3"/>
      <c r="C292" s="3"/>
      <c r="D292" s="3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6"/>
      <c r="B293" s="6"/>
      <c r="C293" s="6"/>
      <c r="D293" s="6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17"/>
      <c r="B294" s="17"/>
      <c r="C294" s="17"/>
      <c r="D294" s="17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44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17"/>
      <c r="B306" s="17"/>
      <c r="C306" s="17"/>
      <c r="D306" s="17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17"/>
      <c r="B309" s="17"/>
      <c r="C309" s="17"/>
      <c r="D309" s="17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17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6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46"/>
      <c r="C312" s="46"/>
      <c r="D312" s="46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17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44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17"/>
      <c r="B315" s="17"/>
      <c r="C315" s="17"/>
      <c r="D315" s="17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6"/>
      <c r="B316" s="6"/>
      <c r="C316" s="6"/>
      <c r="D316" s="6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17"/>
      <c r="B317" s="17"/>
      <c r="C317" s="17"/>
      <c r="D317" s="17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6"/>
      <c r="C323" s="6"/>
      <c r="D323" s="6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17"/>
      <c r="B324" s="17"/>
      <c r="C324" s="17"/>
      <c r="D324" s="17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17"/>
      <c r="B325" s="17"/>
      <c r="C325" s="17"/>
      <c r="D325" s="17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6"/>
      <c r="B326" s="6"/>
      <c r="C326" s="6"/>
      <c r="D326" s="6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47"/>
      <c r="C327" s="47"/>
      <c r="D327" s="6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43"/>
      <c r="C328" s="43"/>
      <c r="D328" s="43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48"/>
      <c r="C330" s="48"/>
      <c r="D330" s="6"/>
      <c r="E330" s="6"/>
      <c r="F330" s="6"/>
      <c r="G330" s="20"/>
      <c r="H330" s="20"/>
      <c r="I330" s="20"/>
      <c r="J330" s="20"/>
      <c r="K330" s="20"/>
      <c r="L330" s="2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6"/>
      <c r="C331" s="6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s="187" customFormat="1" outlineLevel="1">
      <c r="A339" s="186"/>
    </row>
    <row r="340" spans="1:25" outlineLevel="1">
      <c r="A340" s="1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outlineLevel="1">
      <c r="A341" s="17"/>
      <c r="B341" s="6"/>
      <c r="C341" s="6"/>
      <c r="D341" s="6"/>
      <c r="E341" s="6"/>
      <c r="F341" s="6"/>
      <c r="G341" s="51"/>
      <c r="H341" s="51"/>
      <c r="I341" s="51"/>
      <c r="J341" s="51"/>
      <c r="K341" s="51"/>
      <c r="L341" s="5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7"/>
      <c r="B342" s="6"/>
      <c r="C342" s="6"/>
      <c r="D342" s="6"/>
      <c r="E342" s="6"/>
      <c r="F342" s="6"/>
      <c r="G342" s="51"/>
      <c r="H342" s="51"/>
      <c r="I342" s="51"/>
      <c r="J342" s="51"/>
      <c r="K342" s="51"/>
      <c r="L342" s="5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6"/>
      <c r="B343" s="52"/>
      <c r="C343" s="52"/>
      <c r="D343" s="52"/>
      <c r="E343" s="6"/>
      <c r="F343" s="6"/>
      <c r="G343" s="53"/>
      <c r="H343" s="53"/>
      <c r="I343" s="53"/>
      <c r="J343" s="53"/>
      <c r="K343" s="53"/>
      <c r="L343" s="5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7"/>
      <c r="B344" s="56"/>
      <c r="C344" s="56"/>
      <c r="D344" s="5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18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88"/>
      <c r="B346" s="6"/>
      <c r="C346" s="6"/>
      <c r="D346" s="6"/>
      <c r="E346" s="6"/>
      <c r="F346" s="6"/>
      <c r="G346" s="20"/>
      <c r="H346" s="20"/>
      <c r="I346" s="20"/>
      <c r="J346" s="20"/>
      <c r="K346" s="20"/>
      <c r="L346" s="2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88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88"/>
      <c r="B350" s="6"/>
      <c r="C350" s="6"/>
      <c r="D350" s="6"/>
      <c r="E350" s="6"/>
      <c r="F350" s="6"/>
      <c r="G350" s="51"/>
      <c r="H350" s="51"/>
      <c r="I350" s="51"/>
      <c r="J350" s="51"/>
      <c r="K350" s="51"/>
      <c r="L350" s="5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7"/>
      <c r="B351" s="6"/>
      <c r="C351" s="6"/>
      <c r="D351" s="6"/>
      <c r="E351" s="6"/>
      <c r="F351" s="6"/>
      <c r="G351" s="56"/>
      <c r="H351" s="56"/>
      <c r="I351" s="56"/>
      <c r="J351" s="56"/>
      <c r="K351" s="56"/>
      <c r="L351" s="5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88"/>
      <c r="B352" s="14"/>
      <c r="C352" s="14"/>
      <c r="D352" s="14"/>
      <c r="E352" s="6"/>
      <c r="F352" s="6"/>
      <c r="G352" s="189"/>
      <c r="H352" s="189"/>
      <c r="I352" s="189"/>
      <c r="J352" s="189"/>
      <c r="K352" s="189"/>
      <c r="L352" s="18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88"/>
      <c r="B353" s="6"/>
      <c r="C353" s="6"/>
      <c r="D353" s="6"/>
      <c r="E353" s="6"/>
      <c r="F353" s="6"/>
      <c r="G353" s="189"/>
      <c r="H353" s="189"/>
      <c r="I353" s="189"/>
      <c r="J353" s="189"/>
      <c r="K353" s="189"/>
      <c r="L353" s="18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188"/>
      <c r="B354" s="6"/>
      <c r="C354" s="6"/>
      <c r="D354" s="6"/>
      <c r="E354" s="6"/>
      <c r="F354" s="6"/>
      <c r="G354" s="189"/>
      <c r="H354" s="189"/>
      <c r="I354" s="189"/>
      <c r="J354" s="189"/>
      <c r="K354" s="189"/>
      <c r="L354" s="18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188"/>
      <c r="B355" s="6"/>
      <c r="C355" s="6"/>
      <c r="D355" s="6"/>
      <c r="E355" s="6"/>
      <c r="F355" s="6"/>
      <c r="G355" s="189"/>
      <c r="H355" s="189"/>
      <c r="I355" s="189"/>
      <c r="J355" s="189"/>
      <c r="K355" s="189"/>
      <c r="L355" s="18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188"/>
      <c r="B356" s="6"/>
      <c r="C356" s="6"/>
      <c r="D356" s="6"/>
      <c r="E356" s="6"/>
      <c r="F356" s="6"/>
      <c r="G356" s="56"/>
      <c r="H356" s="56"/>
      <c r="I356" s="56"/>
      <c r="J356" s="56"/>
      <c r="K356" s="56"/>
      <c r="L356" s="5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6"/>
      <c r="B358" s="6"/>
      <c r="C358" s="6"/>
      <c r="D358" s="6"/>
      <c r="E358" s="6"/>
      <c r="F358" s="6"/>
      <c r="G358" s="20"/>
      <c r="H358" s="20"/>
      <c r="I358" s="20"/>
      <c r="J358" s="20"/>
      <c r="K358" s="20"/>
      <c r="L358" s="2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20"/>
      <c r="F361" s="20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51"/>
      <c r="H364" s="51"/>
      <c r="I364" s="51"/>
      <c r="J364" s="51"/>
      <c r="K364" s="51"/>
      <c r="L364" s="5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188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188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188"/>
      <c r="B367" s="6"/>
      <c r="C367" s="6"/>
      <c r="D367" s="6"/>
      <c r="E367" s="20"/>
      <c r="F367" s="20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6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17"/>
      <c r="B375" s="6"/>
      <c r="C375" s="6"/>
      <c r="D375" s="6"/>
      <c r="E375" s="59"/>
      <c r="F375" s="59"/>
      <c r="G375" s="59"/>
      <c r="H375" s="59"/>
      <c r="I375" s="59"/>
      <c r="J375" s="59"/>
      <c r="K375" s="59"/>
      <c r="L375" s="5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14"/>
      <c r="E376" s="20"/>
      <c r="F376" s="20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59"/>
      <c r="F377" s="59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6"/>
      <c r="E378" s="6"/>
      <c r="F378" s="6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45"/>
      <c r="H383" s="45"/>
      <c r="I383" s="45"/>
      <c r="J383" s="45"/>
      <c r="K383" s="45"/>
      <c r="L383" s="4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59"/>
      <c r="H384" s="59"/>
      <c r="I384" s="59"/>
      <c r="J384" s="59"/>
      <c r="K384" s="59"/>
      <c r="L384" s="5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30" outlineLevel="1">
      <c r="A385" s="6"/>
      <c r="B385" s="6"/>
      <c r="C385" s="6"/>
      <c r="D385" s="6"/>
      <c r="E385" s="6"/>
      <c r="F385" s="6"/>
      <c r="G385" s="45"/>
      <c r="H385" s="45"/>
      <c r="I385" s="45"/>
      <c r="J385" s="45"/>
      <c r="K385" s="45"/>
      <c r="L385" s="4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30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30" outlineLevel="1">
      <c r="A387" s="6"/>
      <c r="B387" s="6"/>
      <c r="C387" s="6"/>
      <c r="D387" s="6"/>
      <c r="E387" s="6"/>
      <c r="F387" s="6"/>
      <c r="G387" s="45"/>
      <c r="H387" s="45"/>
      <c r="I387" s="45"/>
      <c r="J387" s="45"/>
      <c r="K387" s="45"/>
      <c r="L387" s="4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30" outlineLevel="1">
      <c r="A388" s="6"/>
      <c r="B388" s="6"/>
      <c r="C388" s="6"/>
      <c r="D388" s="6"/>
      <c r="E388" s="6"/>
      <c r="F388" s="6"/>
      <c r="G388" s="61"/>
      <c r="H388" s="61"/>
      <c r="I388" s="61"/>
      <c r="J388" s="61"/>
      <c r="K388" s="61"/>
      <c r="L388" s="6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30" outlineLevel="1">
      <c r="A389" s="6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30" hidden="1" outlineLevel="2">
      <c r="A390" s="17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30" hidden="1" outlineLevel="2">
      <c r="A391" s="17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30" hidden="1" outlineLevel="2">
      <c r="A392" s="6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30" hidden="1" outlineLevel="2">
      <c r="A393" s="17"/>
      <c r="B393" s="9"/>
      <c r="C393" s="9"/>
      <c r="D393" s="9"/>
      <c r="E393" s="10"/>
      <c r="F393" s="10"/>
      <c r="G393" s="10"/>
      <c r="H393" s="9"/>
      <c r="I393" s="9"/>
      <c r="J393" s="10"/>
      <c r="K393" s="10"/>
      <c r="L393" s="9"/>
      <c r="M393" s="10"/>
      <c r="N393" s="10"/>
      <c r="O393" s="10"/>
      <c r="P393" s="9"/>
      <c r="Q393" s="10"/>
      <c r="R393" s="10"/>
      <c r="S393" s="6"/>
      <c r="T393" s="6"/>
      <c r="U393" s="6"/>
      <c r="V393" s="6"/>
      <c r="W393" s="6"/>
      <c r="X393" s="10"/>
      <c r="Y393" s="6"/>
    </row>
    <row r="394" spans="1:30" hidden="1" outlineLevel="2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30" hidden="1" outlineLevel="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30" hidden="1" outlineLevel="2">
      <c r="A396" s="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6"/>
      <c r="T396" s="6"/>
      <c r="U396" s="6"/>
      <c r="V396" s="6"/>
      <c r="W396" s="6"/>
      <c r="X396" s="45"/>
      <c r="Y396" s="6"/>
    </row>
    <row r="397" spans="1:30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30" hidden="1" outlineLevel="2">
      <c r="A398" s="6"/>
      <c r="B398" s="59"/>
      <c r="C398" s="59"/>
      <c r="D398" s="59"/>
      <c r="E398" s="59"/>
      <c r="F398" s="59"/>
      <c r="G398" s="59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30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30" hidden="1" outlineLevel="2">
      <c r="A400" s="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45"/>
      <c r="Z400" s="45"/>
      <c r="AA400" s="45"/>
      <c r="AB400" s="45"/>
      <c r="AC400" s="45"/>
      <c r="AD400" s="45"/>
    </row>
    <row r="401" spans="1:25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6"/>
    </row>
    <row r="403" spans="1:25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idden="1" outlineLevel="2">
      <c r="A404" s="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6"/>
      <c r="T404" s="6"/>
      <c r="U404" s="6"/>
      <c r="V404" s="6"/>
      <c r="W404" s="6"/>
      <c r="X404" s="45"/>
      <c r="Y404" s="45"/>
    </row>
    <row r="405" spans="1:25" hidden="1" outlineLevel="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idden="1" outlineLevel="2">
      <c r="A406" s="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6"/>
      <c r="T406" s="6"/>
      <c r="U406" s="6"/>
      <c r="V406" s="6"/>
      <c r="W406" s="6"/>
      <c r="X406" s="45"/>
      <c r="Y406" s="45"/>
    </row>
    <row r="407" spans="1:25" hidden="1" outlineLevel="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1" collapsed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1">
      <c r="A411" s="3"/>
      <c r="B411" s="3"/>
      <c r="C411" s="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outlineLevel="1">
      <c r="A412" s="17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outlineLevel="1">
      <c r="A413" s="17"/>
      <c r="B413" s="43"/>
      <c r="C413" s="4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outlineLevel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outlineLevel="1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outlineLevel="1">
      <c r="A416" s="17"/>
      <c r="B416" s="17"/>
      <c r="C416" s="1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>
      <c r="A417" s="44"/>
      <c r="B417" s="17"/>
      <c r="C417" s="17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outlineLevel="1">
      <c r="A418" s="44"/>
      <c r="B418" s="17"/>
      <c r="C418" s="17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3"/>
      <c r="C421" s="3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6"/>
      <c r="B422" s="6"/>
      <c r="C422" s="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17"/>
      <c r="B423" s="17"/>
      <c r="C423" s="17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44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17"/>
      <c r="B435" s="17"/>
      <c r="C435" s="17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6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17"/>
      <c r="B439" s="17"/>
      <c r="C439" s="17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6"/>
      <c r="B440" s="6"/>
      <c r="C440" s="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17"/>
      <c r="B441" s="17"/>
      <c r="C441" s="17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6"/>
      <c r="C445" s="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17"/>
      <c r="B446" s="17"/>
      <c r="C446" s="17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17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44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3"/>
      <c r="B453" s="46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17"/>
      <c r="B454" s="17"/>
      <c r="C454" s="17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6"/>
      <c r="B455" s="6"/>
      <c r="C455" s="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43"/>
      <c r="C456" s="43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3"/>
      <c r="B461" s="3"/>
      <c r="C461" s="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17"/>
      <c r="B462" s="17"/>
      <c r="C462" s="1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17"/>
      <c r="B463" s="43"/>
      <c r="C463" s="4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6"/>
      <c r="T465" s="6"/>
      <c r="U465" s="6"/>
      <c r="V465" s="6"/>
      <c r="W465" s="6"/>
      <c r="X465" s="6"/>
      <c r="Y465" s="6"/>
    </row>
    <row r="466" spans="1:25" outlineLevel="1">
      <c r="A466" s="17"/>
      <c r="B466" s="17"/>
      <c r="C466" s="17"/>
      <c r="D466" s="1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outlineLevel="1">
      <c r="A467" s="44"/>
      <c r="B467" s="17"/>
      <c r="C467" s="17"/>
      <c r="D467" s="17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17"/>
      <c r="C468" s="17"/>
      <c r="D468" s="17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44"/>
      <c r="C469" s="44"/>
      <c r="D469" s="44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44"/>
      <c r="C470" s="44"/>
      <c r="D470" s="44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3"/>
      <c r="C471" s="3"/>
      <c r="D471" s="3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3"/>
      <c r="C472" s="3"/>
      <c r="D472" s="3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17"/>
      <c r="B473" s="17"/>
      <c r="C473" s="17"/>
      <c r="D473" s="17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17"/>
      <c r="C474" s="17"/>
      <c r="D474" s="17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44"/>
      <c r="C484" s="44"/>
      <c r="D484" s="44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44"/>
      <c r="C485" s="44"/>
      <c r="D485" s="44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17"/>
      <c r="B486" s="17"/>
      <c r="C486" s="17"/>
      <c r="D486" s="17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6"/>
      <c r="B487" s="17"/>
      <c r="C487" s="17"/>
      <c r="D487" s="17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44"/>
      <c r="B488" s="44"/>
      <c r="C488" s="44"/>
      <c r="D488" s="44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17"/>
      <c r="B489" s="17"/>
      <c r="C489" s="17"/>
      <c r="D489" s="17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44"/>
      <c r="B490" s="46"/>
      <c r="C490" s="46"/>
      <c r="D490" s="46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43"/>
      <c r="C494" s="43"/>
      <c r="D494" s="43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6"/>
      <c r="T498" s="6"/>
      <c r="U498" s="6"/>
      <c r="V498" s="6"/>
      <c r="W498" s="6"/>
      <c r="X498" s="6"/>
      <c r="Y498" s="6"/>
    </row>
    <row r="499" spans="1:25" outlineLevel="1">
      <c r="A499" s="6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</row>
    <row r="500" spans="1:25" outlineLevel="1">
      <c r="A500" s="6"/>
      <c r="B500" s="45"/>
      <c r="C500" s="45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spans="1:25" outlineLevel="1">
      <c r="A501" s="6"/>
      <c r="B501" s="43"/>
      <c r="C501" s="43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3"/>
      <c r="C502" s="43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6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17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6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6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17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17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6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6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outlineLevel="1">
      <c r="A514" s="6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outlineLevel="1">
      <c r="A515" s="6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outlineLevel="1">
      <c r="A516" s="6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spans="1:25" outlineLevel="1">
      <c r="A517" s="6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6"/>
      <c r="T517" s="6"/>
      <c r="U517" s="6"/>
      <c r="V517" s="6"/>
      <c r="W517" s="6"/>
      <c r="X517" s="6"/>
      <c r="Y517" s="6"/>
    </row>
    <row r="518" spans="1:25" outlineLevel="1">
      <c r="A518" s="17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6"/>
      <c r="F522" s="6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6"/>
      <c r="T522" s="6"/>
      <c r="U522" s="6"/>
      <c r="V522" s="6"/>
      <c r="W522" s="6"/>
      <c r="X522" s="6"/>
      <c r="Y522" s="6"/>
    </row>
    <row r="523" spans="1:25" outlineLevel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outlineLevel="1">
      <c r="A529" s="6"/>
      <c r="B529" s="6"/>
      <c r="C529" s="6"/>
      <c r="D529" s="6"/>
      <c r="E529" s="6"/>
      <c r="F529" s="6"/>
      <c r="G529" s="3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outlineLevel="1">
      <c r="A530" s="17"/>
      <c r="B530" s="6"/>
      <c r="C530" s="6"/>
      <c r="D530" s="6"/>
      <c r="E530" s="6"/>
      <c r="F530" s="6"/>
      <c r="G530" s="31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6"/>
      <c r="T530" s="6"/>
      <c r="U530" s="6"/>
      <c r="V530" s="6"/>
      <c r="W530" s="6"/>
      <c r="X530" s="6"/>
      <c r="Y530" s="6"/>
    </row>
    <row r="531" spans="1:25" outlineLevel="1">
      <c r="A531" s="6"/>
      <c r="B531" s="6"/>
      <c r="C531" s="6"/>
      <c r="D531" s="6"/>
      <c r="E531" s="6"/>
      <c r="F531" s="6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188"/>
      <c r="B535" s="6"/>
      <c r="C535" s="6"/>
      <c r="D535" s="6"/>
      <c r="E535" s="6"/>
      <c r="F535" s="6"/>
      <c r="G535" s="3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6"/>
      <c r="T535" s="6"/>
      <c r="U535" s="6"/>
      <c r="V535" s="6"/>
      <c r="W535" s="6"/>
      <c r="X535" s="6"/>
      <c r="Y535" s="6"/>
    </row>
    <row r="536" spans="1:25" outlineLevel="1">
      <c r="A536" s="188"/>
      <c r="B536" s="6"/>
      <c r="C536" s="6"/>
      <c r="D536" s="6"/>
      <c r="E536" s="6"/>
      <c r="F536" s="6"/>
      <c r="G536" s="3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6"/>
      <c r="T536" s="6"/>
      <c r="U536" s="6"/>
      <c r="V536" s="6"/>
      <c r="W536" s="6"/>
      <c r="X536" s="6"/>
      <c r="Y536" s="6"/>
    </row>
    <row r="537" spans="1:25" outlineLevel="1">
      <c r="A537" s="17"/>
      <c r="B537" s="6"/>
      <c r="C537" s="6"/>
      <c r="D537" s="6"/>
      <c r="E537" s="6"/>
      <c r="F537" s="6"/>
      <c r="G537" s="3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outlineLevel="1">
      <c r="A538" s="6"/>
      <c r="B538" s="6"/>
      <c r="C538" s="6"/>
      <c r="D538" s="6"/>
      <c r="E538" s="6"/>
      <c r="F538" s="6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3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17"/>
      <c r="B540" s="6"/>
      <c r="C540" s="6"/>
      <c r="D540" s="6"/>
      <c r="E540" s="6"/>
      <c r="F540" s="6"/>
      <c r="G540" s="31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6"/>
      <c r="T540" s="6"/>
      <c r="U540" s="6"/>
      <c r="V540" s="6"/>
      <c r="W540" s="6"/>
      <c r="X540" s="6"/>
      <c r="Y540" s="6"/>
    </row>
    <row r="541" spans="1:25" outlineLevel="1">
      <c r="A541" s="6"/>
      <c r="B541" s="14"/>
      <c r="C541" s="14"/>
      <c r="D541" s="6"/>
      <c r="E541" s="6"/>
      <c r="F541" s="6"/>
      <c r="G541" s="3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6"/>
      <c r="T541" s="6"/>
      <c r="U541" s="6"/>
      <c r="V541" s="6"/>
      <c r="W541" s="6"/>
      <c r="X541" s="6"/>
      <c r="Y541" s="6"/>
    </row>
    <row r="542" spans="1:25" outlineLevel="1">
      <c r="A542" s="17"/>
      <c r="B542" s="6"/>
      <c r="C542" s="6"/>
      <c r="D542" s="6"/>
      <c r="E542" s="6"/>
      <c r="F542" s="6"/>
      <c r="G542" s="3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outlineLevel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s="67" customFormat="1" outlineLevel="1">
      <c r="A545" s="66"/>
      <c r="B545" s="66"/>
      <c r="C545" s="66"/>
      <c r="D545" s="66"/>
      <c r="E545" s="66"/>
      <c r="F545" s="66"/>
      <c r="G545" s="66"/>
    </row>
    <row r="546" spans="1:25" s="67" customFormat="1" outlineLevel="1">
      <c r="A546" s="66"/>
      <c r="B546" s="66"/>
      <c r="C546" s="66"/>
      <c r="D546" s="66"/>
      <c r="E546" s="66"/>
      <c r="F546" s="68"/>
      <c r="G546" s="69"/>
      <c r="H546" s="66"/>
      <c r="I546" s="70"/>
    </row>
    <row r="547" spans="1:25" s="67" customFormat="1" outlineLevel="1">
      <c r="A547" s="66"/>
      <c r="B547" s="69"/>
      <c r="C547" s="69"/>
      <c r="D547" s="69"/>
      <c r="E547" s="69"/>
      <c r="F547" s="71"/>
      <c r="G547" s="47"/>
      <c r="H547" s="47"/>
      <c r="I547" s="70"/>
    </row>
    <row r="548" spans="1:25" s="67" customFormat="1" outlineLevel="1">
      <c r="A548" s="66"/>
      <c r="B548" s="47"/>
      <c r="C548" s="47"/>
      <c r="D548" s="47"/>
      <c r="E548" s="47"/>
      <c r="F548" s="47"/>
      <c r="G548" s="70"/>
      <c r="H548" s="47"/>
      <c r="I548" s="71"/>
    </row>
    <row r="549" spans="1:25" s="67" customFormat="1" outlineLevel="1">
      <c r="A549" s="72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 spans="1:25" s="67" customFormat="1" outlineLevel="1">
      <c r="A550" s="40"/>
      <c r="B550" s="66"/>
      <c r="C550" s="66"/>
      <c r="D550" s="66"/>
      <c r="E550" s="66"/>
      <c r="F550" s="66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s="67" customFormat="1" outlineLevel="1">
      <c r="A551" s="39"/>
      <c r="B551" s="66"/>
      <c r="C551" s="66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74"/>
      <c r="C552" s="74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155"/>
      <c r="C553" s="155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8"/>
      <c r="B554" s="72"/>
      <c r="C554" s="72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27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40"/>
      <c r="B556" s="66"/>
      <c r="C556" s="66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76"/>
      <c r="B557" s="77"/>
      <c r="C557" s="7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42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40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39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39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40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39"/>
      <c r="B575" s="77"/>
      <c r="C575" s="7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 spans="1:25" s="67" customFormat="1" outlineLevel="1">
      <c r="A576" s="39"/>
      <c r="B576" s="80"/>
      <c r="C576" s="80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ht="13.9" customHeight="1" outlineLevel="1">
      <c r="A577" s="38"/>
      <c r="B577" s="80"/>
      <c r="C577" s="80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outlineLevel="1">
      <c r="A578" s="39"/>
      <c r="B578" s="74"/>
      <c r="C578" s="74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8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74"/>
      <c r="C581" s="74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74"/>
      <c r="C582" s="74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74"/>
      <c r="C583" s="74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40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40"/>
      <c r="B585" s="66"/>
      <c r="C585" s="66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39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39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82"/>
      <c r="C592" s="8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39"/>
      <c r="B593" s="82"/>
      <c r="C593" s="8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8"/>
      <c r="B594" s="80"/>
      <c r="C594" s="80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40"/>
      <c r="B595" s="66"/>
      <c r="C595" s="66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80"/>
      <c r="C598" s="80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outlineLevel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83"/>
      <c r="B606" s="6"/>
      <c r="C606" s="6"/>
      <c r="D606" s="6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3"/>
      <c r="B608" s="3"/>
      <c r="C608" s="3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idden="1" outlineLevel="2">
      <c r="A609" s="1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44"/>
      <c r="B610" s="6"/>
      <c r="C610" s="6"/>
      <c r="D610" s="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6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17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44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6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44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6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17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44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outlineLevel="1" collapsed="1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6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6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17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>
      <c r="A643" s="6"/>
      <c r="B643" s="6"/>
      <c r="C643" s="6"/>
      <c r="D643" s="6"/>
      <c r="E643" s="6"/>
      <c r="F643" s="6"/>
      <c r="G643" s="6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856"/>
  <sheetViews>
    <sheetView zoomScale="75" zoomScaleNormal="75" workbookViewId="0">
      <selection activeCell="E183" sqref="E183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120</v>
      </c>
      <c r="C1" s="418">
        <v>43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>
        <f>[17]Financials!G$10</f>
        <v>266.41748555507894</v>
      </c>
      <c r="F10" s="163">
        <f>[17]Financials!H$10</f>
        <v>280.2111685716099</v>
      </c>
      <c r="G10" s="163">
        <f>[17]Financials!I$10</f>
        <v>294.08234418935746</v>
      </c>
      <c r="H10" s="163">
        <f>[17]Financials!J$10</f>
        <v>308.10850500953813</v>
      </c>
      <c r="I10" s="163">
        <f>[17]Financials!K$10</f>
        <v>321.74720282363626</v>
      </c>
      <c r="J10" s="163">
        <f>[17]Financials!L$10</f>
        <v>335.54088584016716</v>
      </c>
      <c r="K10" s="163">
        <f>[17]Financials!M$10</f>
        <v>349.41206145791477</v>
      </c>
      <c r="L10" s="163">
        <f>[17]Financials!N$10</f>
        <v>363.2832370756625</v>
      </c>
      <c r="M10" s="163">
        <f>[17]Financials!O$10</f>
        <v>377.07692009219363</v>
      </c>
      <c r="N10" s="163">
        <f>[17]Financials!P$10</f>
        <v>390.94809570994113</v>
      </c>
      <c r="O10" s="163">
        <f>[17]Financials!Q$10</f>
        <v>404.74177872647215</v>
      </c>
      <c r="P10" s="163">
        <f>[17]Financials!R$10</f>
        <v>418.61295434421965</v>
      </c>
      <c r="Q10" s="163">
        <f>[17]Financials!S$10</f>
        <v>432.40663736075084</v>
      </c>
      <c r="R10" s="163">
        <f>[17]Financials!T$10</f>
        <v>446.27781297849839</v>
      </c>
      <c r="S10" s="163">
        <f>[17]Financials!U$10</f>
        <v>460.14898859624611</v>
      </c>
      <c r="T10" s="163">
        <f>[17]Financials!V$10</f>
        <v>473.9426716127773</v>
      </c>
      <c r="U10" s="163">
        <f>[17]Financials!W$10</f>
        <v>487.81384723052474</v>
      </c>
      <c r="V10" s="163">
        <f>[17]Financials!X$10</f>
        <v>501.60753024705582</v>
      </c>
      <c r="W10" s="163">
        <f>[17]Financials!Y$10</f>
        <v>515.47870586480337</v>
      </c>
      <c r="X10" s="163">
        <f>[17]Financials!Z$10</f>
        <v>162.40687001290263</v>
      </c>
      <c r="Y10" s="163">
        <f>[17]Financials!AA$10</f>
        <v>0</v>
      </c>
      <c r="AA10" s="355">
        <f t="shared" ref="AA10:AA38" si="1">SUM(F10:Y10)</f>
        <v>7323.8482177442729</v>
      </c>
      <c r="AB10" s="356">
        <f>AA10*$C$60</f>
        <v>3661.9241088721365</v>
      </c>
    </row>
    <row r="11" spans="1:28">
      <c r="A11" s="4" t="s">
        <v>8</v>
      </c>
      <c r="B11" s="9"/>
      <c r="C11" s="9"/>
      <c r="D11" s="86">
        <v>1</v>
      </c>
      <c r="E11" s="163">
        <f>[17]Financials!G$9</f>
        <v>707.2048957035023</v>
      </c>
      <c r="F11" s="163">
        <f>[17]Financials!H$9</f>
        <v>597.30291572800024</v>
      </c>
      <c r="G11" s="163">
        <f>[17]Financials!I$9</f>
        <v>528.75237614330433</v>
      </c>
      <c r="H11" s="163">
        <f>[17]Financials!J$9</f>
        <v>565.47134776456653</v>
      </c>
      <c r="I11" s="163">
        <f>[17]Financials!K$9</f>
        <v>603.22248694309133</v>
      </c>
      <c r="J11" s="163">
        <f>[17]Financials!L$9</f>
        <v>642.70387286842356</v>
      </c>
      <c r="K11" s="163">
        <f>[17]Financials!M$9</f>
        <v>641.74544024711099</v>
      </c>
      <c r="L11" s="163">
        <f>[17]Financials!N$9</f>
        <v>661.35645943467921</v>
      </c>
      <c r="M11" s="163">
        <f>[17]Financials!O$9</f>
        <v>680.78616134066147</v>
      </c>
      <c r="N11" s="163">
        <f>[17]Financials!P$9</f>
        <v>700.21396888180789</v>
      </c>
      <c r="O11" s="163">
        <f>[17]Financials!Q$9</f>
        <v>744.89181525160325</v>
      </c>
      <c r="P11" s="163">
        <f>[17]Financials!R$9</f>
        <v>782.67595417400662</v>
      </c>
      <c r="Q11" s="163">
        <f>[17]Financials!S$9</f>
        <v>821.27668333570887</v>
      </c>
      <c r="R11" s="163">
        <f>[17]Financials!T$9</f>
        <v>860.91765340854363</v>
      </c>
      <c r="S11" s="163">
        <f>[17]Financials!U$9</f>
        <v>876.27534073652839</v>
      </c>
      <c r="T11" s="163">
        <f>[17]Financials!V$9</f>
        <v>896.90004066823292</v>
      </c>
      <c r="U11" s="163">
        <f>[17]Financials!W$9</f>
        <v>917.51732381257307</v>
      </c>
      <c r="V11" s="163">
        <f>[17]Financials!X$9</f>
        <v>937.88690333196575</v>
      </c>
      <c r="W11" s="163">
        <f>[17]Financials!Y$9</f>
        <v>987.8484658200133</v>
      </c>
      <c r="X11" s="163">
        <f>[17]Financials!Z$9</f>
        <v>393.88751704856207</v>
      </c>
      <c r="Y11" s="163">
        <f>[17]Financials!AA$9</f>
        <v>0</v>
      </c>
      <c r="AA11" s="355">
        <f t="shared" si="1"/>
        <v>13841.632726939388</v>
      </c>
      <c r="AB11" s="356">
        <f t="shared" ref="AB11:AB74" si="2">AA11*$C$60</f>
        <v>6920.8163634696939</v>
      </c>
    </row>
    <row r="12" spans="1:28">
      <c r="A12" s="4" t="s">
        <v>118</v>
      </c>
      <c r="B12" s="9"/>
      <c r="C12" s="9"/>
      <c r="D12" s="86">
        <v>1</v>
      </c>
      <c r="E12" s="163">
        <f>[17]Financials!H$11</f>
        <v>65.715594499999995</v>
      </c>
      <c r="F12" s="163">
        <f>[17]Financials!I$11</f>
        <v>0</v>
      </c>
      <c r="G12" s="163">
        <f>[17]Financials!J$11</f>
        <v>0</v>
      </c>
      <c r="H12" s="163">
        <f>[17]Financials!K$11</f>
        <v>0</v>
      </c>
      <c r="I12" s="163">
        <f>[17]Financials!L$11</f>
        <v>0</v>
      </c>
      <c r="J12" s="163">
        <f>[17]Financials!M$11</f>
        <v>0</v>
      </c>
      <c r="K12" s="163">
        <f>[17]Financials!N$11</f>
        <v>0</v>
      </c>
      <c r="L12" s="163">
        <f>[17]Financials!O$11</f>
        <v>0</v>
      </c>
      <c r="M12" s="163">
        <f>[17]Financials!P$11</f>
        <v>0</v>
      </c>
      <c r="N12" s="163">
        <f>[17]Financials!Q$11</f>
        <v>0</v>
      </c>
      <c r="O12" s="163">
        <f>[17]Financials!R$11</f>
        <v>0</v>
      </c>
      <c r="P12" s="163">
        <f>[17]Financials!S$11</f>
        <v>0</v>
      </c>
      <c r="Q12" s="163">
        <f>[17]Financials!T$11</f>
        <v>0</v>
      </c>
      <c r="R12" s="163">
        <f>[17]Financials!U$11</f>
        <v>0</v>
      </c>
      <c r="S12" s="163">
        <f>[17]Financials!V$11</f>
        <v>0</v>
      </c>
      <c r="T12" s="163">
        <f>[17]Financials!W$11</f>
        <v>0</v>
      </c>
      <c r="U12" s="163">
        <f>[17]Financials!X$11</f>
        <v>0</v>
      </c>
      <c r="V12" s="163">
        <f>[17]Financials!Y$11</f>
        <v>0</v>
      </c>
      <c r="W12" s="163">
        <f>[17]Financials!Z$11</f>
        <v>0</v>
      </c>
      <c r="X12" s="163">
        <f>[17]Financials!AA$11</f>
        <v>0</v>
      </c>
      <c r="Y12" s="163">
        <f>[17]Financials!AB$11</f>
        <v>0</v>
      </c>
      <c r="AA12" s="355">
        <f t="shared" si="1"/>
        <v>0</v>
      </c>
      <c r="AB12" s="356">
        <f t="shared" si="2"/>
        <v>0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1039.3379757585813</v>
      </c>
      <c r="F20" s="86">
        <f t="shared" si="3"/>
        <v>877.5140842996102</v>
      </c>
      <c r="G20" s="86">
        <f t="shared" si="3"/>
        <v>822.83472033266185</v>
      </c>
      <c r="H20" s="86">
        <f t="shared" si="3"/>
        <v>873.57985277410467</v>
      </c>
      <c r="I20" s="86">
        <f t="shared" si="3"/>
        <v>924.96968976672758</v>
      </c>
      <c r="J20" s="86">
        <f t="shared" si="3"/>
        <v>978.24475870859078</v>
      </c>
      <c r="K20" s="86">
        <f t="shared" si="3"/>
        <v>991.15750170502577</v>
      </c>
      <c r="L20" s="86">
        <f t="shared" si="3"/>
        <v>1024.6396965103418</v>
      </c>
      <c r="M20" s="86">
        <f t="shared" si="3"/>
        <v>1057.8630814328551</v>
      </c>
      <c r="N20" s="86">
        <f t="shared" si="3"/>
        <v>1091.162064591749</v>
      </c>
      <c r="O20" s="86">
        <f t="shared" si="3"/>
        <v>1149.6335939780754</v>
      </c>
      <c r="P20" s="86">
        <f t="shared" si="3"/>
        <v>1201.2889085182262</v>
      </c>
      <c r="Q20" s="86">
        <f t="shared" si="3"/>
        <v>1253.6833206964598</v>
      </c>
      <c r="R20" s="86">
        <f t="shared" si="3"/>
        <v>1307.195466387042</v>
      </c>
      <c r="S20" s="86">
        <f t="shared" si="3"/>
        <v>1336.4243293327745</v>
      </c>
      <c r="T20" s="86">
        <f t="shared" si="3"/>
        <v>1370.8427122810103</v>
      </c>
      <c r="U20" s="86">
        <f t="shared" si="3"/>
        <v>1405.3311710430978</v>
      </c>
      <c r="V20" s="86">
        <f t="shared" si="3"/>
        <v>1439.4944335790215</v>
      </c>
      <c r="W20" s="86">
        <f t="shared" si="3"/>
        <v>1503.3271716848167</v>
      </c>
      <c r="X20" s="86">
        <f t="shared" si="3"/>
        <v>556.2943870614647</v>
      </c>
      <c r="Y20" s="86">
        <f t="shared" si="3"/>
        <v>0</v>
      </c>
      <c r="AA20" s="355">
        <f t="shared" si="1"/>
        <v>21165.480944683655</v>
      </c>
      <c r="AB20" s="356">
        <f t="shared" si="2"/>
        <v>10582.740472341828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-3.0337702200757177</v>
      </c>
      <c r="F23" s="417">
        <f>F25/$C$1</f>
        <v>-3.2128314262369302</v>
      </c>
      <c r="G23" s="417">
        <f>G25/$C$1</f>
        <v>-3.3654456097073067</v>
      </c>
      <c r="H23" s="417">
        <f>H25/$C$1</f>
        <v>-3.3412740141683144</v>
      </c>
      <c r="I23" s="417">
        <f t="shared" ref="I23:Y23" si="4">I25/$C$1</f>
        <v>-3.2131853941960551</v>
      </c>
      <c r="J23" s="417">
        <f t="shared" si="4"/>
        <v>-2.6696025914173278</v>
      </c>
      <c r="K23" s="417">
        <f t="shared" si="4"/>
        <v>-2.6092979975764452</v>
      </c>
      <c r="L23" s="417">
        <f t="shared" si="4"/>
        <v>-2.4965305412980472</v>
      </c>
      <c r="M23" s="417">
        <f t="shared" si="4"/>
        <v>-2.3626890469173727</v>
      </c>
      <c r="N23" s="417">
        <f t="shared" si="4"/>
        <v>0.91708153034114348</v>
      </c>
      <c r="O23" s="417">
        <f t="shared" si="4"/>
        <v>2.0342918368031007</v>
      </c>
      <c r="P23" s="417">
        <f t="shared" si="4"/>
        <v>2.332810186392845</v>
      </c>
      <c r="Q23" s="417">
        <f t="shared" si="4"/>
        <v>2.6584236367120786</v>
      </c>
      <c r="R23" s="417">
        <f t="shared" si="4"/>
        <v>3.0160925787784105</v>
      </c>
      <c r="S23" s="417">
        <f t="shared" si="4"/>
        <v>3.3401428290764272</v>
      </c>
      <c r="T23" s="417">
        <f t="shared" si="4"/>
        <v>3.7110428356048799</v>
      </c>
      <c r="U23" s="417">
        <f t="shared" si="4"/>
        <v>4.1775024217443795</v>
      </c>
      <c r="V23" s="417">
        <f t="shared" si="4"/>
        <v>4.6633913167056944</v>
      </c>
      <c r="W23" s="417">
        <f t="shared" si="4"/>
        <v>5.2174089014430729</v>
      </c>
      <c r="X23" s="417">
        <f t="shared" si="4"/>
        <v>4.3237727285121474</v>
      </c>
      <c r="Y23" s="417">
        <f t="shared" si="4"/>
        <v>0</v>
      </c>
      <c r="AA23" s="355">
        <f t="shared" si="1"/>
        <v>13.121104180596383</v>
      </c>
      <c r="AB23" s="356">
        <f t="shared" si="2"/>
        <v>6.5605520902981915</v>
      </c>
    </row>
    <row r="24" spans="1:28">
      <c r="A24" s="4" t="s">
        <v>36</v>
      </c>
      <c r="D24" s="86">
        <v>0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[17]Financials!G$36</f>
        <v>-130.45211946325585</v>
      </c>
      <c r="F25" s="163">
        <f>[17]Financials!H$36</f>
        <v>-138.151751328188</v>
      </c>
      <c r="G25" s="163">
        <f>[17]Financials!I$36</f>
        <v>-144.71416121741419</v>
      </c>
      <c r="H25" s="163">
        <f>[17]Financials!J$36</f>
        <v>-143.67478260923752</v>
      </c>
      <c r="I25" s="163">
        <f>[17]Financials!K$36</f>
        <v>-138.16697195043037</v>
      </c>
      <c r="J25" s="163">
        <f>[17]Financials!L$36</f>
        <v>-114.7929114309451</v>
      </c>
      <c r="K25" s="163">
        <f>[17]Financials!M$36</f>
        <v>-112.19981389578714</v>
      </c>
      <c r="L25" s="163">
        <f>[17]Financials!N$36</f>
        <v>-107.35081327581602</v>
      </c>
      <c r="M25" s="163">
        <f>[17]Financials!O$36</f>
        <v>-101.59562901744702</v>
      </c>
      <c r="N25" s="163">
        <f>[17]Financials!P$36</f>
        <v>39.434505804669172</v>
      </c>
      <c r="O25" s="163">
        <f>[17]Financials!Q$36</f>
        <v>87.474548982533335</v>
      </c>
      <c r="P25" s="163">
        <f>[17]Financials!R$36</f>
        <v>100.31083801489234</v>
      </c>
      <c r="Q25" s="163">
        <f>[17]Financials!S$36</f>
        <v>114.31221637861938</v>
      </c>
      <c r="R25" s="163">
        <f>[17]Financials!T$36</f>
        <v>129.69198088747166</v>
      </c>
      <c r="S25" s="163">
        <f>[17]Financials!U$36</f>
        <v>143.62614165028637</v>
      </c>
      <c r="T25" s="163">
        <f>[17]Financials!V$36</f>
        <v>159.57484193100984</v>
      </c>
      <c r="U25" s="163">
        <f>[17]Financials!W$36</f>
        <v>179.63260413500834</v>
      </c>
      <c r="V25" s="163">
        <f>[17]Financials!X$36</f>
        <v>200.52582661834487</v>
      </c>
      <c r="W25" s="163">
        <f>[17]Financials!Y$36</f>
        <v>224.34858276205213</v>
      </c>
      <c r="X25" s="163">
        <f>[17]Financials!Z$36</f>
        <v>185.92222732602235</v>
      </c>
      <c r="Y25" s="163">
        <f>[17]Financials!AA$36</f>
        <v>0</v>
      </c>
      <c r="AA25" s="355">
        <f t="shared" si="1"/>
        <v>564.20747976564451</v>
      </c>
      <c r="AB25" s="356">
        <f t="shared" si="2"/>
        <v>282.10373988282225</v>
      </c>
    </row>
    <row r="26" spans="1:28">
      <c r="A26" s="4" t="s">
        <v>16</v>
      </c>
      <c r="D26" s="86">
        <v>0</v>
      </c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AA28" s="355">
        <f t="shared" si="1"/>
        <v>0</v>
      </c>
      <c r="AB28" s="356">
        <f t="shared" si="2"/>
        <v>0</v>
      </c>
    </row>
    <row r="29" spans="1:28">
      <c r="A29" s="4" t="s">
        <v>3</v>
      </c>
      <c r="D29" s="86">
        <v>0</v>
      </c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AA29" s="355">
        <f t="shared" si="1"/>
        <v>0</v>
      </c>
      <c r="AB29" s="356">
        <f t="shared" si="2"/>
        <v>0</v>
      </c>
    </row>
    <row r="30" spans="1:28">
      <c r="A30" s="4" t="s">
        <v>38</v>
      </c>
      <c r="D30" s="86">
        <v>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86">
        <v>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AA31" s="355">
        <f t="shared" si="1"/>
        <v>0</v>
      </c>
      <c r="AB31" s="356">
        <f t="shared" si="2"/>
        <v>0</v>
      </c>
    </row>
    <row r="32" spans="1:28">
      <c r="A32" s="4" t="s">
        <v>34</v>
      </c>
      <c r="D32" s="86">
        <v>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AA34" s="355">
        <f t="shared" si="1"/>
        <v>0</v>
      </c>
      <c r="AB34" s="356">
        <f t="shared" si="2"/>
        <v>0</v>
      </c>
    </row>
    <row r="35" spans="1:28">
      <c r="A35" s="4" t="s">
        <v>19</v>
      </c>
      <c r="B35" s="6"/>
      <c r="C35" s="6"/>
      <c r="D35" s="87">
        <v>0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-130.45211946325585</v>
      </c>
      <c r="F36" s="86">
        <f t="shared" si="5"/>
        <v>-138.151751328188</v>
      </c>
      <c r="G36" s="86">
        <f t="shared" si="5"/>
        <v>-144.71416121741419</v>
      </c>
      <c r="H36" s="86">
        <f t="shared" si="5"/>
        <v>-143.67478260923752</v>
      </c>
      <c r="I36" s="86">
        <f t="shared" si="5"/>
        <v>-138.16697195043037</v>
      </c>
      <c r="J36" s="86">
        <f t="shared" si="5"/>
        <v>-114.7929114309451</v>
      </c>
      <c r="K36" s="86">
        <f t="shared" si="5"/>
        <v>-112.19981389578714</v>
      </c>
      <c r="L36" s="86">
        <f t="shared" si="5"/>
        <v>-107.35081327581602</v>
      </c>
      <c r="M36" s="86">
        <f t="shared" si="5"/>
        <v>-101.59562901744702</v>
      </c>
      <c r="N36" s="86">
        <f t="shared" si="5"/>
        <v>39.434505804669172</v>
      </c>
      <c r="O36" s="86">
        <f t="shared" si="5"/>
        <v>87.474548982533335</v>
      </c>
      <c r="P36" s="86">
        <f t="shared" si="5"/>
        <v>100.31083801489234</v>
      </c>
      <c r="Q36" s="86">
        <f t="shared" si="5"/>
        <v>114.31221637861938</v>
      </c>
      <c r="R36" s="86">
        <f t="shared" si="5"/>
        <v>129.69198088747166</v>
      </c>
      <c r="S36" s="86">
        <f t="shared" si="5"/>
        <v>143.62614165028637</v>
      </c>
      <c r="T36" s="86">
        <f t="shared" si="5"/>
        <v>159.57484193100984</v>
      </c>
      <c r="U36" s="86">
        <f t="shared" si="5"/>
        <v>179.63260413500834</v>
      </c>
      <c r="V36" s="86">
        <f t="shared" si="5"/>
        <v>200.52582661834487</v>
      </c>
      <c r="W36" s="86">
        <f t="shared" si="5"/>
        <v>224.34858276205213</v>
      </c>
      <c r="X36" s="86">
        <f t="shared" si="5"/>
        <v>185.92222732602235</v>
      </c>
      <c r="Y36" s="86">
        <f t="shared" si="5"/>
        <v>0</v>
      </c>
      <c r="AA36" s="355">
        <f t="shared" si="1"/>
        <v>564.20747976564451</v>
      </c>
      <c r="AB36" s="356">
        <f t="shared" si="2"/>
        <v>282.10373988282225</v>
      </c>
    </row>
    <row r="37" spans="1:28" outlineLevel="1">
      <c r="A37" s="4"/>
      <c r="B37" s="92"/>
      <c r="C37" s="92"/>
      <c r="D37" s="86"/>
      <c r="E37" s="416">
        <f>E36/E20</f>
        <v>-0.12551462806700853</v>
      </c>
      <c r="F37" s="416">
        <f t="shared" ref="F37:Y37" si="6">F36/F20</f>
        <v>-0.15743536633768576</v>
      </c>
      <c r="G37" s="416">
        <f t="shared" si="6"/>
        <v>-0.17587269671715852</v>
      </c>
      <c r="H37" s="416">
        <f t="shared" si="6"/>
        <v>-0.16446668516105278</v>
      </c>
      <c r="I37" s="416">
        <f t="shared" si="6"/>
        <v>-0.14937459408564549</v>
      </c>
      <c r="J37" s="416">
        <f t="shared" si="6"/>
        <v>-0.11734579757164919</v>
      </c>
      <c r="K37" s="416">
        <f t="shared" si="6"/>
        <v>-0.11320079170341432</v>
      </c>
      <c r="L37" s="416">
        <f t="shared" si="6"/>
        <v>-0.10476932881033711</v>
      </c>
      <c r="M37" s="416">
        <f t="shared" si="6"/>
        <v>-9.6038542984067193E-2</v>
      </c>
      <c r="N37" s="416">
        <f t="shared" si="6"/>
        <v>3.6139916410513527E-2</v>
      </c>
      <c r="O37" s="416">
        <f t="shared" si="6"/>
        <v>7.6089068239425128E-2</v>
      </c>
      <c r="P37" s="416">
        <f t="shared" si="6"/>
        <v>8.3502675587527414E-2</v>
      </c>
      <c r="Q37" s="416">
        <f t="shared" si="6"/>
        <v>9.1181093735151084E-2</v>
      </c>
      <c r="R37" s="416">
        <f t="shared" si="6"/>
        <v>9.9213915762672716E-2</v>
      </c>
      <c r="S37" s="416">
        <f t="shared" si="6"/>
        <v>0.10747046315895296</v>
      </c>
      <c r="T37" s="416">
        <f t="shared" si="6"/>
        <v>0.11640638309663234</v>
      </c>
      <c r="U37" s="416">
        <f t="shared" si="6"/>
        <v>0.12782225843726017</v>
      </c>
      <c r="V37" s="416">
        <f t="shared" si="6"/>
        <v>0.13930295382926672</v>
      </c>
      <c r="W37" s="416">
        <f t="shared" si="6"/>
        <v>0.14923470219102009</v>
      </c>
      <c r="X37" s="416">
        <f t="shared" si="6"/>
        <v>0.3342155370434825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1169.7900952218372</v>
      </c>
      <c r="F39" s="89">
        <f t="shared" si="7"/>
        <v>1015.6658356277982</v>
      </c>
      <c r="G39" s="89">
        <f t="shared" si="7"/>
        <v>967.54888155007598</v>
      </c>
      <c r="H39" s="89">
        <f t="shared" si="7"/>
        <v>1017.2546353833422</v>
      </c>
      <c r="I39" s="89">
        <f t="shared" si="7"/>
        <v>1063.1366617171579</v>
      </c>
      <c r="J39" s="89">
        <f t="shared" si="7"/>
        <v>1093.037670139536</v>
      </c>
      <c r="K39" s="89">
        <f t="shared" si="7"/>
        <v>1103.3573156008129</v>
      </c>
      <c r="L39" s="89">
        <f t="shared" si="7"/>
        <v>1131.9905097861579</v>
      </c>
      <c r="M39" s="89">
        <f t="shared" si="7"/>
        <v>1159.4587104503021</v>
      </c>
      <c r="N39" s="89">
        <f t="shared" si="7"/>
        <v>1051.7275587870797</v>
      </c>
      <c r="O39" s="89">
        <f t="shared" si="7"/>
        <v>1062.159044995542</v>
      </c>
      <c r="P39" s="89">
        <f t="shared" si="7"/>
        <v>1100.9780705033338</v>
      </c>
      <c r="Q39" s="89">
        <f t="shared" si="7"/>
        <v>1139.3711043178405</v>
      </c>
      <c r="R39" s="89">
        <f t="shared" si="7"/>
        <v>1177.5034854995704</v>
      </c>
      <c r="S39" s="89">
        <f t="shared" si="7"/>
        <v>1192.7981876824881</v>
      </c>
      <c r="T39" s="89">
        <f t="shared" si="7"/>
        <v>1211.2678703500005</v>
      </c>
      <c r="U39" s="89">
        <f t="shared" si="7"/>
        <v>1225.6985669080896</v>
      </c>
      <c r="V39" s="89">
        <f t="shared" si="7"/>
        <v>1238.9686069606767</v>
      </c>
      <c r="W39" s="89">
        <f t="shared" si="7"/>
        <v>1278.9785889227646</v>
      </c>
      <c r="X39" s="89">
        <f t="shared" si="7"/>
        <v>370.37215973544232</v>
      </c>
      <c r="Y39" s="89">
        <f t="shared" si="7"/>
        <v>0</v>
      </c>
      <c r="AA39" s="355">
        <f>SUM(F39:Y39)</f>
        <v>20601.273464918009</v>
      </c>
      <c r="AB39" s="356">
        <f t="shared" si="2"/>
        <v>10300.636732459005</v>
      </c>
    </row>
    <row r="40" spans="1:28" s="17" customFormat="1">
      <c r="A40" s="1"/>
      <c r="B40" s="1"/>
      <c r="C40" s="1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552</v>
      </c>
      <c r="G41" s="86">
        <f t="shared" ref="G41:Y41" si="9">+G109</f>
        <v>552</v>
      </c>
      <c r="H41" s="86">
        <f t="shared" si="9"/>
        <v>552</v>
      </c>
      <c r="I41" s="86">
        <f t="shared" si="9"/>
        <v>552</v>
      </c>
      <c r="J41" s="86">
        <f t="shared" si="9"/>
        <v>552</v>
      </c>
      <c r="K41" s="86">
        <f t="shared" si="9"/>
        <v>552</v>
      </c>
      <c r="L41" s="86">
        <f t="shared" si="9"/>
        <v>552</v>
      </c>
      <c r="M41" s="86">
        <f t="shared" si="9"/>
        <v>552</v>
      </c>
      <c r="N41" s="86">
        <f t="shared" si="9"/>
        <v>552</v>
      </c>
      <c r="O41" s="86">
        <f t="shared" si="9"/>
        <v>552</v>
      </c>
      <c r="P41" s="86">
        <f t="shared" si="9"/>
        <v>552</v>
      </c>
      <c r="Q41" s="86">
        <f t="shared" si="9"/>
        <v>552</v>
      </c>
      <c r="R41" s="86">
        <f t="shared" si="9"/>
        <v>552</v>
      </c>
      <c r="S41" s="86">
        <f t="shared" si="9"/>
        <v>552</v>
      </c>
      <c r="T41" s="86">
        <f t="shared" si="9"/>
        <v>552</v>
      </c>
      <c r="U41" s="86">
        <f t="shared" si="9"/>
        <v>552</v>
      </c>
      <c r="V41" s="86">
        <f t="shared" si="9"/>
        <v>552</v>
      </c>
      <c r="W41" s="86">
        <f t="shared" si="9"/>
        <v>552</v>
      </c>
      <c r="X41" s="86">
        <f t="shared" si="9"/>
        <v>552</v>
      </c>
      <c r="Y41" s="86">
        <f t="shared" si="9"/>
        <v>0</v>
      </c>
      <c r="AA41" s="355">
        <f t="shared" si="8"/>
        <v>10488</v>
      </c>
      <c r="AB41" s="356">
        <f t="shared" si="2"/>
        <v>5244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1169.7900952218372</v>
      </c>
      <c r="F44" s="89">
        <f t="shared" si="10"/>
        <v>463.66583562779817</v>
      </c>
      <c r="G44" s="89">
        <f t="shared" si="10"/>
        <v>415.54888155007598</v>
      </c>
      <c r="H44" s="89">
        <f t="shared" si="10"/>
        <v>465.25463538334225</v>
      </c>
      <c r="I44" s="89">
        <f t="shared" si="10"/>
        <v>511.13666171715795</v>
      </c>
      <c r="J44" s="89">
        <f t="shared" si="10"/>
        <v>541.03767013953598</v>
      </c>
      <c r="K44" s="89">
        <f t="shared" si="10"/>
        <v>551.35731560081285</v>
      </c>
      <c r="L44" s="89">
        <f t="shared" si="10"/>
        <v>579.99050978615787</v>
      </c>
      <c r="M44" s="89">
        <f t="shared" si="10"/>
        <v>607.45871045030208</v>
      </c>
      <c r="N44" s="89">
        <f t="shared" si="10"/>
        <v>499.72755878707972</v>
      </c>
      <c r="O44" s="89">
        <f t="shared" si="10"/>
        <v>510.15904499554199</v>
      </c>
      <c r="P44" s="89">
        <f t="shared" si="10"/>
        <v>548.97807050333381</v>
      </c>
      <c r="Q44" s="89">
        <f t="shared" si="10"/>
        <v>587.37110431784049</v>
      </c>
      <c r="R44" s="89">
        <f t="shared" si="10"/>
        <v>625.50348549957039</v>
      </c>
      <c r="S44" s="89">
        <f t="shared" si="10"/>
        <v>640.79818768248811</v>
      </c>
      <c r="T44" s="89">
        <f t="shared" si="10"/>
        <v>659.26787035000052</v>
      </c>
      <c r="U44" s="89">
        <f t="shared" si="10"/>
        <v>673.69856690808956</v>
      </c>
      <c r="V44" s="89">
        <f t="shared" si="10"/>
        <v>686.96860696067665</v>
      </c>
      <c r="W44" s="89">
        <f t="shared" si="10"/>
        <v>726.97858892276463</v>
      </c>
      <c r="X44" s="89">
        <f t="shared" si="10"/>
        <v>-181.62784026455768</v>
      </c>
      <c r="Y44" s="89">
        <f t="shared" si="10"/>
        <v>0</v>
      </c>
      <c r="AA44" s="355">
        <f t="shared" si="8"/>
        <v>10113.273464918009</v>
      </c>
      <c r="AB44" s="356">
        <f t="shared" si="2"/>
        <v>5056.6367324590046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1169.7900952218372</v>
      </c>
      <c r="F49" s="89">
        <f t="shared" si="11"/>
        <v>463.66583562779817</v>
      </c>
      <c r="G49" s="89">
        <f t="shared" si="11"/>
        <v>415.54888155007598</v>
      </c>
      <c r="H49" s="89">
        <f t="shared" si="11"/>
        <v>465.25463538334225</v>
      </c>
      <c r="I49" s="89">
        <f t="shared" si="11"/>
        <v>511.13666171715795</v>
      </c>
      <c r="J49" s="89">
        <f t="shared" si="11"/>
        <v>541.03767013953598</v>
      </c>
      <c r="K49" s="89">
        <f t="shared" si="11"/>
        <v>551.35731560081285</v>
      </c>
      <c r="L49" s="89">
        <f t="shared" si="11"/>
        <v>579.99050978615787</v>
      </c>
      <c r="M49" s="89">
        <f t="shared" si="11"/>
        <v>607.45871045030208</v>
      </c>
      <c r="N49" s="89">
        <f t="shared" si="11"/>
        <v>499.72755878707972</v>
      </c>
      <c r="O49" s="89">
        <f t="shared" si="11"/>
        <v>510.15904499554199</v>
      </c>
      <c r="P49" s="89">
        <f t="shared" si="11"/>
        <v>548.97807050333381</v>
      </c>
      <c r="Q49" s="89">
        <f t="shared" si="11"/>
        <v>587.37110431784049</v>
      </c>
      <c r="R49" s="89">
        <f t="shared" si="11"/>
        <v>625.50348549957039</v>
      </c>
      <c r="S49" s="89">
        <f t="shared" si="11"/>
        <v>640.79818768248811</v>
      </c>
      <c r="T49" s="89">
        <f t="shared" si="11"/>
        <v>659.26787035000052</v>
      </c>
      <c r="U49" s="89">
        <f t="shared" si="11"/>
        <v>673.69856690808956</v>
      </c>
      <c r="V49" s="89">
        <f t="shared" si="11"/>
        <v>686.96860696067665</v>
      </c>
      <c r="W49" s="89">
        <f t="shared" si="11"/>
        <v>726.97858892276463</v>
      </c>
      <c r="X49" s="89">
        <f t="shared" si="11"/>
        <v>-181.62784026455768</v>
      </c>
      <c r="Y49" s="89">
        <f t="shared" si="11"/>
        <v>0</v>
      </c>
      <c r="AA49" s="355">
        <f t="shared" si="8"/>
        <v>10113.273464918009</v>
      </c>
      <c r="AB49" s="356">
        <f t="shared" si="2"/>
        <v>5056.6367324590046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7">
        <v>0.05</v>
      </c>
      <c r="D51" s="86"/>
      <c r="E51" s="86">
        <f t="shared" ref="E51:Y51" si="12">E49*-$C$51</f>
        <v>-58.489504761091865</v>
      </c>
      <c r="F51" s="86">
        <f t="shared" si="12"/>
        <v>-23.183291781389912</v>
      </c>
      <c r="G51" s="51">
        <f t="shared" si="12"/>
        <v>-20.777444077503802</v>
      </c>
      <c r="H51" s="86">
        <f t="shared" si="12"/>
        <v>-23.262731769167114</v>
      </c>
      <c r="I51" s="86">
        <f t="shared" si="12"/>
        <v>-25.5568330858579</v>
      </c>
      <c r="J51" s="86">
        <f t="shared" si="12"/>
        <v>-27.0518835069768</v>
      </c>
      <c r="K51" s="86">
        <f t="shared" si="12"/>
        <v>-27.567865780040645</v>
      </c>
      <c r="L51" s="86">
        <f t="shared" si="12"/>
        <v>-28.999525489307896</v>
      </c>
      <c r="M51" s="86">
        <f t="shared" si="12"/>
        <v>-30.372935522515107</v>
      </c>
      <c r="N51" s="86">
        <f t="shared" si="12"/>
        <v>-24.986377939353986</v>
      </c>
      <c r="O51" s="86">
        <f t="shared" si="12"/>
        <v>-25.507952249777102</v>
      </c>
      <c r="P51" s="86">
        <f t="shared" si="12"/>
        <v>-27.448903525166692</v>
      </c>
      <c r="Q51" s="86">
        <f t="shared" si="12"/>
        <v>-29.368555215892027</v>
      </c>
      <c r="R51" s="86">
        <f t="shared" si="12"/>
        <v>-31.275174274978522</v>
      </c>
      <c r="S51" s="86">
        <f t="shared" si="12"/>
        <v>-32.039909384124407</v>
      </c>
      <c r="T51" s="86">
        <f t="shared" si="12"/>
        <v>-32.96339351750003</v>
      </c>
      <c r="U51" s="86">
        <f t="shared" si="12"/>
        <v>-33.684928345404479</v>
      </c>
      <c r="V51" s="86">
        <f t="shared" si="12"/>
        <v>-34.348430348033837</v>
      </c>
      <c r="W51" s="86">
        <f t="shared" si="12"/>
        <v>-36.348929446138236</v>
      </c>
      <c r="X51" s="86">
        <f t="shared" si="12"/>
        <v>9.0813920132278838</v>
      </c>
      <c r="Y51" s="86">
        <f t="shared" si="12"/>
        <v>0</v>
      </c>
      <c r="AA51" s="355">
        <f t="shared" si="8"/>
        <v>-505.66367324590067</v>
      </c>
      <c r="AB51" s="356">
        <f t="shared" si="2"/>
        <v>-252.83183662295033</v>
      </c>
    </row>
    <row r="52" spans="1:28">
      <c r="A52" s="4" t="s">
        <v>27</v>
      </c>
      <c r="C52" s="168">
        <v>0.35</v>
      </c>
      <c r="D52" s="85"/>
      <c r="E52" s="85">
        <f>((E49+E51)*-$C$52)+E56</f>
        <v>411.1725733387392</v>
      </c>
      <c r="F52" s="85">
        <f t="shared" ref="F52:Y52" si="13">((F49+F51)*-$C$52)+F56</f>
        <v>693.02522965375704</v>
      </c>
      <c r="G52" s="85">
        <f t="shared" si="13"/>
        <v>709.02411688459961</v>
      </c>
      <c r="H52" s="85">
        <f t="shared" si="13"/>
        <v>692.49695373503857</v>
      </c>
      <c r="I52" s="85">
        <f t="shared" si="13"/>
        <v>724.30751997904497</v>
      </c>
      <c r="J52" s="85">
        <f t="shared" si="13"/>
        <v>714.36543467860429</v>
      </c>
      <c r="K52" s="85">
        <f t="shared" si="13"/>
        <v>758.00049256272973</v>
      </c>
      <c r="L52" s="85">
        <f t="shared" si="13"/>
        <v>748.47995549610243</v>
      </c>
      <c r="M52" s="85">
        <f t="shared" si="13"/>
        <v>739.34677877527452</v>
      </c>
      <c r="N52" s="85">
        <f t="shared" si="13"/>
        <v>328.03715670329598</v>
      </c>
      <c r="O52" s="85">
        <f t="shared" si="13"/>
        <v>-169.62788246101772</v>
      </c>
      <c r="P52" s="85">
        <f t="shared" si="13"/>
        <v>-182.53520844235848</v>
      </c>
      <c r="Q52" s="85">
        <f t="shared" si="13"/>
        <v>-195.30089218568196</v>
      </c>
      <c r="R52" s="85">
        <f t="shared" si="13"/>
        <v>-207.97990892860713</v>
      </c>
      <c r="S52" s="85">
        <f t="shared" si="13"/>
        <v>-213.0653974044273</v>
      </c>
      <c r="T52" s="85">
        <f t="shared" si="13"/>
        <v>-219.20656689137519</v>
      </c>
      <c r="U52" s="85">
        <f t="shared" si="13"/>
        <v>-224.00477349693975</v>
      </c>
      <c r="V52" s="85">
        <f t="shared" si="13"/>
        <v>-228.41706181442495</v>
      </c>
      <c r="W52" s="85">
        <f t="shared" si="13"/>
        <v>-241.72038081681924</v>
      </c>
      <c r="X52" s="85">
        <f t="shared" si="13"/>
        <v>60.391256887965426</v>
      </c>
      <c r="Y52" s="85">
        <f t="shared" si="13"/>
        <v>0</v>
      </c>
      <c r="AA52" s="355">
        <f t="shared" si="8"/>
        <v>4285.6168229147597</v>
      </c>
      <c r="AB52" s="356">
        <f t="shared" si="2"/>
        <v>2142.8084114573799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1522.4731637994846</v>
      </c>
      <c r="F54" s="89">
        <f t="shared" si="14"/>
        <v>1133.5077735001653</v>
      </c>
      <c r="G54" s="89">
        <f t="shared" si="14"/>
        <v>1103.7955543571718</v>
      </c>
      <c r="H54" s="89">
        <f t="shared" si="14"/>
        <v>1134.4888573492137</v>
      </c>
      <c r="I54" s="89">
        <f t="shared" si="14"/>
        <v>1209.887348610345</v>
      </c>
      <c r="J54" s="89">
        <f t="shared" si="14"/>
        <v>1228.3512213111635</v>
      </c>
      <c r="K54" s="89">
        <f t="shared" si="14"/>
        <v>1281.789942383502</v>
      </c>
      <c r="L54" s="89">
        <f t="shared" si="14"/>
        <v>1299.4709397929523</v>
      </c>
      <c r="M54" s="89">
        <f t="shared" si="14"/>
        <v>1316.4325537030613</v>
      </c>
      <c r="N54" s="89">
        <f t="shared" si="14"/>
        <v>802.77833755102165</v>
      </c>
      <c r="O54" s="89">
        <f t="shared" si="14"/>
        <v>315.02321028474717</v>
      </c>
      <c r="P54" s="89">
        <f t="shared" si="14"/>
        <v>338.9939585358087</v>
      </c>
      <c r="Q54" s="89">
        <f t="shared" si="14"/>
        <v>362.70165691626653</v>
      </c>
      <c r="R54" s="89">
        <f t="shared" si="14"/>
        <v>386.2484022959847</v>
      </c>
      <c r="S54" s="89">
        <f t="shared" si="14"/>
        <v>395.69288089393643</v>
      </c>
      <c r="T54" s="89">
        <f t="shared" si="14"/>
        <v>407.09790994112535</v>
      </c>
      <c r="U54" s="89">
        <f t="shared" si="14"/>
        <v>416.00886506574534</v>
      </c>
      <c r="V54" s="89">
        <f t="shared" si="14"/>
        <v>424.20311479821783</v>
      </c>
      <c r="W54" s="89">
        <f t="shared" si="14"/>
        <v>448.90927865980723</v>
      </c>
      <c r="X54" s="89">
        <f t="shared" si="14"/>
        <v>-112.15519136336437</v>
      </c>
      <c r="Y54" s="89">
        <f t="shared" si="14"/>
        <v>0</v>
      </c>
      <c r="AA54" s="355">
        <f t="shared" si="8"/>
        <v>13893.226614586871</v>
      </c>
      <c r="AB54" s="356">
        <f t="shared" si="2"/>
        <v>6946.6133072934354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f>[17]Tax!G$46</f>
        <v>800.12778000000003</v>
      </c>
      <c r="F56" s="169">
        <f>[17]Tax!H$46</f>
        <v>847.19411999999988</v>
      </c>
      <c r="G56" s="169">
        <f>[17]Tax!I$46</f>
        <v>847.19411999999988</v>
      </c>
      <c r="H56" s="169">
        <f>[17]Tax!J$46</f>
        <v>847.19411999999988</v>
      </c>
      <c r="I56" s="169">
        <f>[17]Tax!K$46</f>
        <v>894.26045999999997</v>
      </c>
      <c r="J56" s="169">
        <f>[17]Tax!L$46</f>
        <v>894.26045999999997</v>
      </c>
      <c r="K56" s="169">
        <f>[17]Tax!M$46</f>
        <v>941.32679999999993</v>
      </c>
      <c r="L56" s="169">
        <f>[17]Tax!N$46</f>
        <v>941.32679999999993</v>
      </c>
      <c r="M56" s="169">
        <f>[17]Tax!O$46</f>
        <v>941.32679999999993</v>
      </c>
      <c r="N56" s="169">
        <f>[17]Tax!P$46</f>
        <v>494.19657000000001</v>
      </c>
      <c r="O56" s="169">
        <f>[17]Tax!Q$46</f>
        <v>0</v>
      </c>
      <c r="P56" s="169">
        <f>[17]Tax!R$46</f>
        <v>0</v>
      </c>
      <c r="Q56" s="169">
        <f>[17]Tax!S$46</f>
        <v>0</v>
      </c>
      <c r="R56" s="169">
        <f>[17]Tax!T$46</f>
        <v>0</v>
      </c>
      <c r="S56" s="169">
        <f>[17]Tax!U$46</f>
        <v>0</v>
      </c>
      <c r="T56" s="169">
        <f>[17]Tax!V$46</f>
        <v>0</v>
      </c>
      <c r="U56" s="169">
        <f>[17]Tax!W$46</f>
        <v>0</v>
      </c>
      <c r="V56" s="169">
        <f>[17]Tax!X$46</f>
        <v>0</v>
      </c>
      <c r="W56" s="169">
        <f>[17]Tax!Y$46</f>
        <v>0</v>
      </c>
      <c r="X56" s="169">
        <f>[17]Tax!Z$46</f>
        <v>0</v>
      </c>
      <c r="Y56" s="169">
        <f>[17]Tax!AA$46</f>
        <v>0</v>
      </c>
      <c r="AA56" s="355">
        <f t="shared" si="8"/>
        <v>7648.2802499999989</v>
      </c>
      <c r="AB56" s="356">
        <f t="shared" si="2"/>
        <v>3824.1401249999994</v>
      </c>
    </row>
    <row r="57" spans="1:28" outlineLevel="1">
      <c r="A57" s="12"/>
      <c r="D57" s="419" t="s">
        <v>181</v>
      </c>
      <c r="E57" s="420">
        <f>E56/(0.017*C1*8760)</f>
        <v>0.12495046193055112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0.5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1169.7900952218372</v>
      </c>
      <c r="F64" s="16">
        <f t="shared" si="16"/>
        <v>1015.6658356277982</v>
      </c>
      <c r="G64" s="20">
        <f t="shared" si="16"/>
        <v>967.54888155007598</v>
      </c>
      <c r="H64" s="16">
        <f t="shared" si="16"/>
        <v>1017.2546353833422</v>
      </c>
      <c r="I64" s="16">
        <f t="shared" si="16"/>
        <v>1063.1366617171579</v>
      </c>
      <c r="J64" s="16">
        <f t="shared" si="16"/>
        <v>1093.037670139536</v>
      </c>
      <c r="K64" s="16">
        <f t="shared" si="16"/>
        <v>1103.3573156008129</v>
      </c>
      <c r="L64" s="16">
        <f t="shared" si="16"/>
        <v>1131.9905097861579</v>
      </c>
      <c r="M64" s="16">
        <f t="shared" si="16"/>
        <v>1159.4587104503021</v>
      </c>
      <c r="N64" s="16">
        <f t="shared" si="16"/>
        <v>1051.7275587870797</v>
      </c>
      <c r="O64" s="16">
        <f t="shared" si="16"/>
        <v>1062.159044995542</v>
      </c>
      <c r="P64" s="16">
        <f t="shared" si="16"/>
        <v>1100.9780705033338</v>
      </c>
      <c r="Q64" s="16">
        <f t="shared" si="16"/>
        <v>1139.3711043178405</v>
      </c>
      <c r="R64" s="16">
        <f t="shared" si="16"/>
        <v>1177.5034854995704</v>
      </c>
      <c r="S64" s="16">
        <f t="shared" si="16"/>
        <v>1192.7981876824881</v>
      </c>
      <c r="T64" s="16">
        <f t="shared" si="16"/>
        <v>1211.2678703500005</v>
      </c>
      <c r="U64" s="16">
        <f t="shared" si="16"/>
        <v>1225.6985669080896</v>
      </c>
      <c r="V64" s="16">
        <f t="shared" si="16"/>
        <v>1238.9686069606767</v>
      </c>
      <c r="W64" s="16">
        <f t="shared" si="16"/>
        <v>1278.9785889227646</v>
      </c>
      <c r="X64" s="16">
        <f t="shared" si="16"/>
        <v>370.37215973544232</v>
      </c>
      <c r="Y64" s="16">
        <f t="shared" si="16"/>
        <v>0</v>
      </c>
      <c r="AA64" s="355">
        <f t="shared" si="8"/>
        <v>20601.273464918009</v>
      </c>
      <c r="AB64" s="356">
        <f t="shared" si="2"/>
        <v>10300.636732459005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171">
        <v>0</v>
      </c>
      <c r="F66" s="171">
        <v>0</v>
      </c>
      <c r="G66" s="171">
        <v>0</v>
      </c>
      <c r="H66" s="171">
        <v>0</v>
      </c>
      <c r="I66" s="171">
        <v>0</v>
      </c>
      <c r="J66" s="171">
        <v>0</v>
      </c>
      <c r="K66" s="171">
        <v>0</v>
      </c>
      <c r="L66" s="171">
        <v>0</v>
      </c>
      <c r="M66" s="171">
        <v>0</v>
      </c>
      <c r="N66" s="171">
        <v>0</v>
      </c>
      <c r="O66" s="171">
        <v>0</v>
      </c>
      <c r="P66" s="171">
        <v>0</v>
      </c>
      <c r="Q66" s="171">
        <v>0</v>
      </c>
      <c r="R66" s="171">
        <v>0</v>
      </c>
      <c r="S66" s="171">
        <v>0</v>
      </c>
      <c r="T66" s="171">
        <v>0</v>
      </c>
      <c r="U66" s="171">
        <v>0</v>
      </c>
      <c r="V66" s="171">
        <v>0</v>
      </c>
      <c r="W66" s="171">
        <v>0</v>
      </c>
      <c r="X66" s="171">
        <v>0</v>
      </c>
      <c r="Y66" s="171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7">SUM(E64:E66)</f>
        <v>1169.7900952218372</v>
      </c>
      <c r="F69" s="91">
        <f t="shared" si="17"/>
        <v>1015.6658356277982</v>
      </c>
      <c r="G69" s="91">
        <f t="shared" si="17"/>
        <v>967.54888155007598</v>
      </c>
      <c r="H69" s="91">
        <f t="shared" si="17"/>
        <v>1017.2546353833422</v>
      </c>
      <c r="I69" s="91">
        <f t="shared" si="17"/>
        <v>1063.1366617171579</v>
      </c>
      <c r="J69" s="91">
        <f t="shared" si="17"/>
        <v>1093.037670139536</v>
      </c>
      <c r="K69" s="91">
        <f t="shared" si="17"/>
        <v>1103.3573156008129</v>
      </c>
      <c r="L69" s="91">
        <f t="shared" si="17"/>
        <v>1131.9905097861579</v>
      </c>
      <c r="M69" s="91">
        <f t="shared" si="17"/>
        <v>1159.4587104503021</v>
      </c>
      <c r="N69" s="91">
        <f t="shared" si="17"/>
        <v>1051.7275587870797</v>
      </c>
      <c r="O69" s="91">
        <f t="shared" si="17"/>
        <v>1062.159044995542</v>
      </c>
      <c r="P69" s="91">
        <f t="shared" si="17"/>
        <v>1100.9780705033338</v>
      </c>
      <c r="Q69" s="91">
        <f t="shared" si="17"/>
        <v>1139.3711043178405</v>
      </c>
      <c r="R69" s="91">
        <f t="shared" si="17"/>
        <v>1177.5034854995704</v>
      </c>
      <c r="S69" s="91">
        <f t="shared" si="17"/>
        <v>1192.7981876824881</v>
      </c>
      <c r="T69" s="91">
        <f t="shared" si="17"/>
        <v>1211.2678703500005</v>
      </c>
      <c r="U69" s="91">
        <f t="shared" si="17"/>
        <v>1225.6985669080896</v>
      </c>
      <c r="V69" s="91">
        <f t="shared" si="17"/>
        <v>1238.9686069606767</v>
      </c>
      <c r="W69" s="91">
        <f t="shared" si="17"/>
        <v>1278.9785889227646</v>
      </c>
      <c r="X69" s="91">
        <f t="shared" si="17"/>
        <v>370.37215973544232</v>
      </c>
      <c r="Y69" s="91">
        <f t="shared" si="17"/>
        <v>0</v>
      </c>
      <c r="AA69" s="355">
        <f t="shared" si="8"/>
        <v>20601.273464918009</v>
      </c>
      <c r="AB69" s="356">
        <f t="shared" si="2"/>
        <v>10300.636732459005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8">F89</f>
        <v>878.68180278653676</v>
      </c>
      <c r="G71" s="94">
        <f t="shared" si="18"/>
        <v>1657.3909286697674</v>
      </c>
      <c r="H71" s="94">
        <f t="shared" si="18"/>
        <v>827.38712748347439</v>
      </c>
      <c r="I71" s="94">
        <f t="shared" si="18"/>
        <v>323.24244220374874</v>
      </c>
      <c r="J71" s="94">
        <f t="shared" si="18"/>
        <v>311.80530648218917</v>
      </c>
      <c r="K71" s="94">
        <f t="shared" si="18"/>
        <v>-57.088065562030089</v>
      </c>
      <c r="L71" s="94">
        <f t="shared" si="18"/>
        <v>-432.98636999320541</v>
      </c>
      <c r="M71" s="94">
        <f t="shared" si="18"/>
        <v>-443.4929567472405</v>
      </c>
      <c r="N71" s="94">
        <f t="shared" si="18"/>
        <v>-402.285791236058</v>
      </c>
      <c r="O71" s="94">
        <f t="shared" si="18"/>
        <v>-406.27583471079481</v>
      </c>
      <c r="P71" s="94">
        <f t="shared" si="18"/>
        <v>-421.12411196752515</v>
      </c>
      <c r="Q71" s="94">
        <f t="shared" si="18"/>
        <v>-435.80944740157395</v>
      </c>
      <c r="R71" s="94">
        <f t="shared" si="18"/>
        <v>-450.39508320358567</v>
      </c>
      <c r="S71" s="94">
        <f t="shared" si="18"/>
        <v>-456.24530678855166</v>
      </c>
      <c r="T71" s="94">
        <f t="shared" si="18"/>
        <v>-463.3099604088751</v>
      </c>
      <c r="U71" s="94">
        <f t="shared" si="18"/>
        <v>-468.82970184234421</v>
      </c>
      <c r="V71" s="94">
        <f t="shared" si="18"/>
        <v>-473.90549216245881</v>
      </c>
      <c r="W71" s="94">
        <f t="shared" si="18"/>
        <v>-489.2093102629575</v>
      </c>
      <c r="X71" s="94">
        <f t="shared" si="18"/>
        <v>-141.66735109880668</v>
      </c>
      <c r="Y71" s="94">
        <f t="shared" si="18"/>
        <v>0</v>
      </c>
      <c r="AA71" s="355">
        <f t="shared" si="8"/>
        <v>-1544.1171757602906</v>
      </c>
      <c r="AB71" s="356">
        <f t="shared" si="2"/>
        <v>-772.0585878801453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19">E69+E71</f>
        <v>1169.7900952218372</v>
      </c>
      <c r="F73" s="24">
        <f t="shared" si="19"/>
        <v>1894.3476384143351</v>
      </c>
      <c r="G73" s="24">
        <f t="shared" si="19"/>
        <v>2624.9398102198434</v>
      </c>
      <c r="H73" s="24">
        <f t="shared" si="19"/>
        <v>1844.6417628668166</v>
      </c>
      <c r="I73" s="24">
        <f t="shared" si="19"/>
        <v>1386.3791039209068</v>
      </c>
      <c r="J73" s="24">
        <f t="shared" si="19"/>
        <v>1404.842976621725</v>
      </c>
      <c r="K73" s="24">
        <f t="shared" si="19"/>
        <v>1046.2692500387827</v>
      </c>
      <c r="L73" s="24">
        <f t="shared" si="19"/>
        <v>699.0041397929524</v>
      </c>
      <c r="M73" s="24">
        <f t="shared" si="19"/>
        <v>715.96575370306164</v>
      </c>
      <c r="N73" s="24">
        <f t="shared" si="19"/>
        <v>649.44176755102171</v>
      </c>
      <c r="O73" s="24">
        <f t="shared" si="19"/>
        <v>655.88321028474718</v>
      </c>
      <c r="P73" s="24">
        <f t="shared" si="19"/>
        <v>679.85395853580872</v>
      </c>
      <c r="Q73" s="24">
        <f t="shared" si="19"/>
        <v>703.56165691626654</v>
      </c>
      <c r="R73" s="24">
        <f t="shared" si="19"/>
        <v>727.10840229598466</v>
      </c>
      <c r="S73" s="24">
        <f t="shared" si="19"/>
        <v>736.55288089393639</v>
      </c>
      <c r="T73" s="24">
        <f t="shared" si="19"/>
        <v>747.95790994112542</v>
      </c>
      <c r="U73" s="24">
        <f t="shared" si="19"/>
        <v>756.86886506574535</v>
      </c>
      <c r="V73" s="24">
        <f t="shared" si="19"/>
        <v>765.06311479821784</v>
      </c>
      <c r="W73" s="24">
        <f t="shared" si="19"/>
        <v>789.76927865980713</v>
      </c>
      <c r="X73" s="24">
        <f t="shared" si="19"/>
        <v>228.70480863663565</v>
      </c>
      <c r="Y73" s="24">
        <f t="shared" si="19"/>
        <v>0</v>
      </c>
      <c r="AA73" s="355">
        <f t="shared" si="8"/>
        <v>19057.156289157712</v>
      </c>
      <c r="AB73" s="356">
        <f t="shared" si="2"/>
        <v>9528.5781445788562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"/>
      <c r="C76" s="159">
        <f>+C$60</f>
        <v>0.5</v>
      </c>
      <c r="D76" s="24"/>
      <c r="E76" s="24">
        <f t="shared" ref="E76:Y76" si="21">$C$76*E54</f>
        <v>761.2365818997423</v>
      </c>
      <c r="F76" s="24">
        <f t="shared" si="21"/>
        <v>566.75388675008264</v>
      </c>
      <c r="G76" s="91">
        <f t="shared" si="21"/>
        <v>551.8977771785859</v>
      </c>
      <c r="H76" s="24">
        <f t="shared" si="21"/>
        <v>567.24442867460687</v>
      </c>
      <c r="I76" s="24">
        <f t="shared" si="21"/>
        <v>604.94367430517252</v>
      </c>
      <c r="J76" s="24">
        <f t="shared" si="21"/>
        <v>614.17561065558175</v>
      </c>
      <c r="K76" s="24">
        <f t="shared" si="21"/>
        <v>640.89497119175098</v>
      </c>
      <c r="L76" s="24">
        <f t="shared" si="21"/>
        <v>649.73546989647616</v>
      </c>
      <c r="M76" s="24">
        <f t="shared" si="21"/>
        <v>658.21627685153067</v>
      </c>
      <c r="N76" s="24">
        <f t="shared" si="21"/>
        <v>401.38916877551083</v>
      </c>
      <c r="O76" s="24">
        <f t="shared" si="21"/>
        <v>157.51160514237358</v>
      </c>
      <c r="P76" s="24">
        <f t="shared" si="21"/>
        <v>169.49697926790435</v>
      </c>
      <c r="Q76" s="24">
        <f t="shared" si="21"/>
        <v>181.35082845813326</v>
      </c>
      <c r="R76" s="24">
        <f t="shared" si="21"/>
        <v>193.12420114799235</v>
      </c>
      <c r="S76" s="24">
        <f t="shared" si="21"/>
        <v>197.84644044696822</v>
      </c>
      <c r="T76" s="24">
        <f t="shared" si="21"/>
        <v>203.54895497056268</v>
      </c>
      <c r="U76" s="24">
        <f t="shared" si="21"/>
        <v>208.00443253287267</v>
      </c>
      <c r="V76" s="24">
        <f t="shared" si="21"/>
        <v>212.10155739910891</v>
      </c>
      <c r="W76" s="24">
        <f t="shared" si="21"/>
        <v>224.45463932990361</v>
      </c>
      <c r="X76" s="24">
        <f t="shared" si="21"/>
        <v>-56.077595681682183</v>
      </c>
      <c r="Y76" s="24">
        <f t="shared" si="21"/>
        <v>0</v>
      </c>
      <c r="AA76" s="355">
        <f t="shared" si="8"/>
        <v>6946.6133072934354</v>
      </c>
      <c r="AB76" s="356">
        <f>AA76</f>
        <v>6946.6133072934354</v>
      </c>
    </row>
    <row r="77" spans="1:28" outlineLevel="1">
      <c r="A77" s="13" t="s">
        <v>136</v>
      </c>
      <c r="B77" s="22"/>
      <c r="C77" s="159">
        <f>+C60</f>
        <v>0.5</v>
      </c>
      <c r="D77" s="24"/>
      <c r="E77" s="24">
        <f t="shared" ref="E77:Y77" si="22">$C$77*E73</f>
        <v>584.8950476109186</v>
      </c>
      <c r="F77" s="24">
        <f t="shared" si="22"/>
        <v>947.17381920716753</v>
      </c>
      <c r="G77" s="91">
        <f t="shared" si="22"/>
        <v>1312.4699051099217</v>
      </c>
      <c r="H77" s="24">
        <f t="shared" si="22"/>
        <v>922.32088143340832</v>
      </c>
      <c r="I77" s="24">
        <f t="shared" si="22"/>
        <v>693.1895519604534</v>
      </c>
      <c r="J77" s="24">
        <f t="shared" si="22"/>
        <v>702.42148831086251</v>
      </c>
      <c r="K77" s="24">
        <f t="shared" si="22"/>
        <v>523.13462501939136</v>
      </c>
      <c r="L77" s="24">
        <f t="shared" si="22"/>
        <v>349.5020698964762</v>
      </c>
      <c r="M77" s="24">
        <f t="shared" si="22"/>
        <v>357.98287685153082</v>
      </c>
      <c r="N77" s="24">
        <f t="shared" si="22"/>
        <v>324.72088377551086</v>
      </c>
      <c r="O77" s="24">
        <f t="shared" si="22"/>
        <v>327.94160514237359</v>
      </c>
      <c r="P77" s="24">
        <f t="shared" si="22"/>
        <v>339.92697926790436</v>
      </c>
      <c r="Q77" s="24">
        <f t="shared" si="22"/>
        <v>351.78082845813327</v>
      </c>
      <c r="R77" s="24">
        <f t="shared" si="22"/>
        <v>363.55420114799233</v>
      </c>
      <c r="S77" s="24">
        <f t="shared" si="22"/>
        <v>368.27644044696819</v>
      </c>
      <c r="T77" s="24">
        <f t="shared" si="22"/>
        <v>373.97895497056271</v>
      </c>
      <c r="U77" s="24">
        <f t="shared" si="22"/>
        <v>378.43443253287268</v>
      </c>
      <c r="V77" s="24">
        <f t="shared" si="22"/>
        <v>382.53155739910892</v>
      </c>
      <c r="W77" s="24">
        <f t="shared" si="22"/>
        <v>394.88463932990356</v>
      </c>
      <c r="X77" s="24">
        <f t="shared" si="22"/>
        <v>114.35240431831782</v>
      </c>
      <c r="Y77" s="24">
        <f t="shared" si="22"/>
        <v>0</v>
      </c>
      <c r="AA77" s="355">
        <f t="shared" si="8"/>
        <v>9528.5781445788562</v>
      </c>
      <c r="AB77" s="356">
        <f>AA77</f>
        <v>9528.5781445788562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0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0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0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0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0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0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0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0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3">G62</f>
        <v>2002</v>
      </c>
      <c r="H86" s="99">
        <f t="shared" si="23"/>
        <v>2003</v>
      </c>
      <c r="I86" s="99">
        <f t="shared" si="23"/>
        <v>2004</v>
      </c>
      <c r="J86" s="99">
        <f t="shared" si="23"/>
        <v>2005</v>
      </c>
      <c r="K86" s="99">
        <f t="shared" si="23"/>
        <v>2006</v>
      </c>
      <c r="L86" s="99">
        <f t="shared" si="23"/>
        <v>2007</v>
      </c>
      <c r="M86" s="99">
        <f t="shared" si="23"/>
        <v>2008</v>
      </c>
      <c r="N86" s="99">
        <f t="shared" si="23"/>
        <v>2009</v>
      </c>
      <c r="O86" s="99">
        <f t="shared" si="23"/>
        <v>2010</v>
      </c>
      <c r="P86" s="99">
        <f t="shared" si="23"/>
        <v>2011</v>
      </c>
      <c r="Q86" s="99">
        <f t="shared" si="23"/>
        <v>2012</v>
      </c>
      <c r="R86" s="99">
        <f t="shared" si="23"/>
        <v>2013</v>
      </c>
      <c r="S86" s="99">
        <f t="shared" si="23"/>
        <v>2014</v>
      </c>
      <c r="T86" s="99">
        <f t="shared" si="23"/>
        <v>2015</v>
      </c>
      <c r="U86" s="99">
        <f t="shared" si="23"/>
        <v>2016</v>
      </c>
      <c r="V86" s="99">
        <f t="shared" si="23"/>
        <v>2017</v>
      </c>
      <c r="W86" s="99">
        <f t="shared" si="23"/>
        <v>2018</v>
      </c>
      <c r="X86" s="99">
        <f t="shared" si="23"/>
        <v>2019</v>
      </c>
      <c r="Y86" s="99">
        <f t="shared" si="23"/>
        <v>2020</v>
      </c>
      <c r="AA86" s="355">
        <f t="shared" si="8"/>
        <v>40210</v>
      </c>
      <c r="AB86" s="356">
        <f t="shared" si="20"/>
        <v>20105</v>
      </c>
    </row>
    <row r="87" spans="1:30" s="128" customFormat="1">
      <c r="AA87" s="355">
        <f t="shared" si="8"/>
        <v>0</v>
      </c>
      <c r="AB87" s="356">
        <f t="shared" si="20"/>
        <v>0</v>
      </c>
    </row>
    <row r="88" spans="1:30" s="128" customFormat="1">
      <c r="A88" s="11" t="s">
        <v>31</v>
      </c>
      <c r="F88" s="129">
        <f>F69</f>
        <v>1015.6658356277982</v>
      </c>
      <c r="G88" s="129">
        <f t="shared" ref="G88:Y88" si="24">G69</f>
        <v>967.54888155007598</v>
      </c>
      <c r="H88" s="129">
        <f t="shared" si="24"/>
        <v>1017.2546353833422</v>
      </c>
      <c r="I88" s="129">
        <f t="shared" si="24"/>
        <v>1063.1366617171579</v>
      </c>
      <c r="J88" s="129">
        <f t="shared" si="24"/>
        <v>1093.037670139536</v>
      </c>
      <c r="K88" s="129">
        <f t="shared" si="24"/>
        <v>1103.3573156008129</v>
      </c>
      <c r="L88" s="129">
        <f t="shared" si="24"/>
        <v>1131.9905097861579</v>
      </c>
      <c r="M88" s="129">
        <f t="shared" si="24"/>
        <v>1159.4587104503021</v>
      </c>
      <c r="N88" s="129">
        <f t="shared" si="24"/>
        <v>1051.7275587870797</v>
      </c>
      <c r="O88" s="129">
        <f t="shared" si="24"/>
        <v>1062.159044995542</v>
      </c>
      <c r="P88" s="129">
        <f t="shared" si="24"/>
        <v>1100.9780705033338</v>
      </c>
      <c r="Q88" s="129">
        <f t="shared" si="24"/>
        <v>1139.3711043178405</v>
      </c>
      <c r="R88" s="129">
        <f t="shared" si="24"/>
        <v>1177.5034854995704</v>
      </c>
      <c r="S88" s="129">
        <f t="shared" si="24"/>
        <v>1192.7981876824881</v>
      </c>
      <c r="T88" s="129">
        <f t="shared" si="24"/>
        <v>1211.2678703500005</v>
      </c>
      <c r="U88" s="129">
        <f t="shared" si="24"/>
        <v>1225.6985669080896</v>
      </c>
      <c r="V88" s="129">
        <f t="shared" si="24"/>
        <v>1238.9686069606767</v>
      </c>
      <c r="W88" s="129">
        <f t="shared" si="24"/>
        <v>1278.9785889227646</v>
      </c>
      <c r="X88" s="129">
        <f t="shared" si="24"/>
        <v>370.37215973544232</v>
      </c>
      <c r="Y88" s="129">
        <f t="shared" si="24"/>
        <v>0</v>
      </c>
      <c r="AA88" s="355">
        <f t="shared" si="8"/>
        <v>20601.273464918009</v>
      </c>
      <c r="AB88" s="356">
        <f t="shared" si="20"/>
        <v>10300.636732459005</v>
      </c>
    </row>
    <row r="89" spans="1:30" s="128" customFormat="1">
      <c r="A89" s="128" t="s">
        <v>42</v>
      </c>
      <c r="F89" s="100">
        <f>F126+F127</f>
        <v>878.68180278653676</v>
      </c>
      <c r="G89" s="100">
        <f t="shared" ref="G89:Y89" si="25">G126+G127</f>
        <v>1657.3909286697674</v>
      </c>
      <c r="H89" s="100">
        <f t="shared" si="25"/>
        <v>827.38712748347439</v>
      </c>
      <c r="I89" s="100">
        <f t="shared" si="25"/>
        <v>323.24244220374874</v>
      </c>
      <c r="J89" s="100">
        <f t="shared" si="25"/>
        <v>311.80530648218917</v>
      </c>
      <c r="K89" s="100">
        <f t="shared" si="25"/>
        <v>-57.088065562030089</v>
      </c>
      <c r="L89" s="100">
        <f t="shared" si="25"/>
        <v>-432.98636999320541</v>
      </c>
      <c r="M89" s="100">
        <f t="shared" si="25"/>
        <v>-443.4929567472405</v>
      </c>
      <c r="N89" s="100">
        <f t="shared" si="25"/>
        <v>-402.285791236058</v>
      </c>
      <c r="O89" s="100">
        <f t="shared" si="25"/>
        <v>-406.27583471079481</v>
      </c>
      <c r="P89" s="100">
        <f t="shared" si="25"/>
        <v>-421.12411196752515</v>
      </c>
      <c r="Q89" s="100">
        <f t="shared" si="25"/>
        <v>-435.80944740157395</v>
      </c>
      <c r="R89" s="100">
        <f t="shared" si="25"/>
        <v>-450.39508320358567</v>
      </c>
      <c r="S89" s="100">
        <f t="shared" si="25"/>
        <v>-456.24530678855166</v>
      </c>
      <c r="T89" s="100">
        <f t="shared" si="25"/>
        <v>-463.3099604088751</v>
      </c>
      <c r="U89" s="100">
        <f t="shared" si="25"/>
        <v>-468.82970184234421</v>
      </c>
      <c r="V89" s="100">
        <f t="shared" si="25"/>
        <v>-473.90549216245881</v>
      </c>
      <c r="W89" s="100">
        <f t="shared" si="25"/>
        <v>-489.2093102629575</v>
      </c>
      <c r="X89" s="100">
        <f t="shared" si="25"/>
        <v>-141.66735109880668</v>
      </c>
      <c r="Y89" s="100">
        <f t="shared" si="25"/>
        <v>0</v>
      </c>
      <c r="AA89" s="355">
        <f t="shared" si="8"/>
        <v>-1544.1171757602906</v>
      </c>
      <c r="AB89" s="356">
        <f t="shared" si="20"/>
        <v>-772.0585878801453</v>
      </c>
    </row>
    <row r="90" spans="1:30" s="128" customFormat="1">
      <c r="A90" s="128" t="s">
        <v>109</v>
      </c>
      <c r="F90" s="100">
        <f>F56</f>
        <v>847.19411999999988</v>
      </c>
      <c r="G90" s="100">
        <f t="shared" ref="G90:Y90" si="26">G56</f>
        <v>847.19411999999988</v>
      </c>
      <c r="H90" s="100">
        <f t="shared" si="26"/>
        <v>847.19411999999988</v>
      </c>
      <c r="I90" s="100">
        <f t="shared" si="26"/>
        <v>894.26045999999997</v>
      </c>
      <c r="J90" s="100">
        <f t="shared" si="26"/>
        <v>894.26045999999997</v>
      </c>
      <c r="K90" s="100">
        <f t="shared" si="26"/>
        <v>941.32679999999993</v>
      </c>
      <c r="L90" s="100">
        <f t="shared" si="26"/>
        <v>941.32679999999993</v>
      </c>
      <c r="M90" s="100">
        <f t="shared" si="26"/>
        <v>941.32679999999993</v>
      </c>
      <c r="N90" s="100">
        <f t="shared" si="26"/>
        <v>494.19657000000001</v>
      </c>
      <c r="O90" s="100">
        <f t="shared" si="26"/>
        <v>0</v>
      </c>
      <c r="P90" s="100">
        <f t="shared" si="26"/>
        <v>0</v>
      </c>
      <c r="Q90" s="100">
        <f t="shared" si="26"/>
        <v>0</v>
      </c>
      <c r="R90" s="100">
        <f t="shared" si="26"/>
        <v>0</v>
      </c>
      <c r="S90" s="100">
        <f t="shared" si="26"/>
        <v>0</v>
      </c>
      <c r="T90" s="100">
        <f t="shared" si="26"/>
        <v>0</v>
      </c>
      <c r="U90" s="100">
        <f t="shared" si="26"/>
        <v>0</v>
      </c>
      <c r="V90" s="100">
        <f t="shared" si="26"/>
        <v>0</v>
      </c>
      <c r="W90" s="100">
        <f t="shared" si="26"/>
        <v>0</v>
      </c>
      <c r="X90" s="100">
        <f t="shared" si="26"/>
        <v>0</v>
      </c>
      <c r="Y90" s="100">
        <f t="shared" si="26"/>
        <v>0</v>
      </c>
      <c r="AA90" s="355">
        <f t="shared" si="8"/>
        <v>7648.2802499999989</v>
      </c>
      <c r="AB90" s="356">
        <f t="shared" si="20"/>
        <v>3824.1401249999994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f>Y99</f>
        <v>11851.909111534154</v>
      </c>
      <c r="Y91" s="101"/>
      <c r="AA91" s="355">
        <f t="shared" si="8"/>
        <v>11851.909111534154</v>
      </c>
      <c r="AB91" s="356">
        <f t="shared" si="20"/>
        <v>5925.9545557670772</v>
      </c>
    </row>
    <row r="92" spans="1:30" s="128" customFormat="1">
      <c r="A92" s="128" t="s">
        <v>44</v>
      </c>
      <c r="E92" s="173">
        <v>-18404.850906523887</v>
      </c>
      <c r="F92" s="129">
        <f>SUM(F88:F91)</f>
        <v>2741.5417584143352</v>
      </c>
      <c r="G92" s="129">
        <f t="shared" ref="G92:Y92" si="27">SUM(G88:G91)</f>
        <v>3472.133930219843</v>
      </c>
      <c r="H92" s="129">
        <f t="shared" si="27"/>
        <v>2691.8358828668165</v>
      </c>
      <c r="I92" s="129">
        <f t="shared" si="27"/>
        <v>2280.6395639209068</v>
      </c>
      <c r="J92" s="129">
        <f t="shared" si="27"/>
        <v>2299.103436621725</v>
      </c>
      <c r="K92" s="129">
        <f t="shared" si="27"/>
        <v>1987.5960500387828</v>
      </c>
      <c r="L92" s="129">
        <f t="shared" si="27"/>
        <v>1640.3309397929524</v>
      </c>
      <c r="M92" s="129">
        <f t="shared" si="27"/>
        <v>1657.2925537030615</v>
      </c>
      <c r="N92" s="129">
        <f t="shared" si="27"/>
        <v>1143.6383375510218</v>
      </c>
      <c r="O92" s="129">
        <f t="shared" si="27"/>
        <v>655.88321028474718</v>
      </c>
      <c r="P92" s="129">
        <f t="shared" si="27"/>
        <v>679.85395853580872</v>
      </c>
      <c r="Q92" s="129">
        <f t="shared" si="27"/>
        <v>703.56165691626654</v>
      </c>
      <c r="R92" s="129">
        <f t="shared" si="27"/>
        <v>727.10840229598466</v>
      </c>
      <c r="S92" s="129">
        <f t="shared" si="27"/>
        <v>736.55288089393639</v>
      </c>
      <c r="T92" s="129">
        <f t="shared" si="27"/>
        <v>747.95790994112542</v>
      </c>
      <c r="U92" s="129">
        <f t="shared" si="27"/>
        <v>756.86886506574535</v>
      </c>
      <c r="V92" s="129">
        <f t="shared" si="27"/>
        <v>765.06311479821784</v>
      </c>
      <c r="W92" s="129">
        <f t="shared" si="27"/>
        <v>789.76927865980713</v>
      </c>
      <c r="X92" s="129">
        <f t="shared" si="27"/>
        <v>12080.61392017079</v>
      </c>
      <c r="Y92" s="129">
        <f t="shared" si="27"/>
        <v>0</v>
      </c>
      <c r="AA92" s="355">
        <f t="shared" si="8"/>
        <v>38557.345650691874</v>
      </c>
      <c r="AB92" s="356">
        <f t="shared" si="20"/>
        <v>19278.672825345937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0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0"/>
        <v>0</v>
      </c>
    </row>
    <row r="95" spans="1:30" s="128" customFormat="1" ht="13.5" thickBot="1">
      <c r="A95" s="128" t="s">
        <v>46</v>
      </c>
      <c r="E95" s="174">
        <f>NPV(C96,E92:Y92)</f>
        <v>-8.3439880896598915E-13</v>
      </c>
      <c r="R95" s="133"/>
      <c r="U95" s="134" t="s">
        <v>112</v>
      </c>
      <c r="V95" s="135"/>
      <c r="W95" s="135"/>
      <c r="X95" s="135"/>
      <c r="Y95" s="136">
        <f>X88*4</f>
        <v>1481.4886389417693</v>
      </c>
      <c r="AA95" s="355">
        <f t="shared" si="8"/>
        <v>1481.4886389417693</v>
      </c>
      <c r="AB95" s="356">
        <f t="shared" si="20"/>
        <v>740.74431947088465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0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1481.4886389417693</v>
      </c>
      <c r="AA97" s="355">
        <f t="shared" si="8"/>
        <v>1481.4886389417693</v>
      </c>
      <c r="AB97" s="356">
        <f t="shared" si="20"/>
        <v>740.74431947088465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0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11851.909111534154</v>
      </c>
      <c r="AA99" s="355">
        <f t="shared" si="8"/>
        <v>11851.909111534154</v>
      </c>
      <c r="AB99" s="356">
        <f t="shared" si="20"/>
        <v>5925.9545557670772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0"/>
        <v>0</v>
      </c>
    </row>
    <row r="101" spans="1:28" s="128" customFormat="1">
      <c r="A101" s="128" t="s">
        <v>53</v>
      </c>
      <c r="D101" s="177">
        <v>0</v>
      </c>
      <c r="AA101" s="355">
        <f t="shared" si="8"/>
        <v>0</v>
      </c>
      <c r="AB101" s="356">
        <f t="shared" si="20"/>
        <v>0</v>
      </c>
    </row>
    <row r="102" spans="1:28" s="128" customFormat="1" ht="15">
      <c r="A102" s="128" t="s">
        <v>54</v>
      </c>
      <c r="D102" s="101">
        <f>-E92</f>
        <v>18404.850906523887</v>
      </c>
      <c r="AA102" s="355">
        <f t="shared" si="8"/>
        <v>0</v>
      </c>
      <c r="AB102" s="356">
        <f t="shared" si="20"/>
        <v>0</v>
      </c>
    </row>
    <row r="103" spans="1:28" s="128" customFormat="1">
      <c r="D103" s="142">
        <f>D101+D102</f>
        <v>18404.850906523887</v>
      </c>
      <c r="AA103" s="355">
        <f t="shared" si="8"/>
        <v>0</v>
      </c>
      <c r="AB103" s="356">
        <f t="shared" si="20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28" customFormat="1">
      <c r="A105" s="128" t="s">
        <v>56</v>
      </c>
      <c r="D105" s="142">
        <f>D103*D104</f>
        <v>16564.365815871497</v>
      </c>
      <c r="AA105" s="355">
        <f t="shared" si="28"/>
        <v>0</v>
      </c>
      <c r="AB105" s="356">
        <f t="shared" si="20"/>
        <v>0</v>
      </c>
    </row>
    <row r="106" spans="1:28" s="128" customFormat="1">
      <c r="AA106" s="355">
        <f t="shared" si="28"/>
        <v>0</v>
      </c>
      <c r="AB106" s="356">
        <f t="shared" si="20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29">G107+1</f>
        <v>2003</v>
      </c>
      <c r="I107" s="99">
        <f t="shared" si="29"/>
        <v>2004</v>
      </c>
      <c r="J107" s="99">
        <f t="shared" si="29"/>
        <v>2005</v>
      </c>
      <c r="K107" s="99">
        <f t="shared" si="29"/>
        <v>2006</v>
      </c>
      <c r="L107" s="99">
        <f t="shared" si="29"/>
        <v>2007</v>
      </c>
      <c r="M107" s="99">
        <f t="shared" si="29"/>
        <v>2008</v>
      </c>
      <c r="N107" s="99">
        <f t="shared" si="29"/>
        <v>2009</v>
      </c>
      <c r="O107" s="99">
        <f t="shared" si="29"/>
        <v>2010</v>
      </c>
      <c r="P107" s="99">
        <f t="shared" si="29"/>
        <v>2011</v>
      </c>
      <c r="Q107" s="99">
        <f t="shared" si="29"/>
        <v>2012</v>
      </c>
      <c r="R107" s="99">
        <f t="shared" si="29"/>
        <v>2013</v>
      </c>
      <c r="S107" s="99">
        <f t="shared" si="29"/>
        <v>2014</v>
      </c>
      <c r="T107" s="99">
        <f t="shared" si="29"/>
        <v>2015</v>
      </c>
      <c r="U107" s="99">
        <f t="shared" si="29"/>
        <v>2016</v>
      </c>
      <c r="V107" s="99">
        <f t="shared" si="29"/>
        <v>2017</v>
      </c>
      <c r="W107" s="99">
        <f t="shared" si="29"/>
        <v>2018</v>
      </c>
      <c r="X107" s="99">
        <f t="shared" si="29"/>
        <v>2019</v>
      </c>
      <c r="Y107" s="99">
        <f t="shared" si="29"/>
        <v>2020</v>
      </c>
      <c r="AA107" s="355">
        <f t="shared" si="28"/>
        <v>40210</v>
      </c>
      <c r="AB107" s="356">
        <f t="shared" si="20"/>
        <v>20105</v>
      </c>
    </row>
    <row r="108" spans="1:28" s="128" customFormat="1">
      <c r="A108" s="103" t="s">
        <v>57</v>
      </c>
      <c r="AA108" s="355">
        <f t="shared" si="28"/>
        <v>0</v>
      </c>
      <c r="AB108" s="356">
        <f t="shared" si="20"/>
        <v>0</v>
      </c>
    </row>
    <row r="109" spans="1:28" s="128" customFormat="1">
      <c r="A109" s="128" t="s">
        <v>58</v>
      </c>
      <c r="B109" s="179">
        <v>30</v>
      </c>
      <c r="C109" s="128" t="s">
        <v>0</v>
      </c>
      <c r="D109" s="143">
        <f>D105</f>
        <v>16564.365815871497</v>
      </c>
      <c r="F109" s="132">
        <f>ROUND(D109/$B$109,0)</f>
        <v>552</v>
      </c>
      <c r="G109" s="132">
        <f>F109</f>
        <v>552</v>
      </c>
      <c r="H109" s="132">
        <f t="shared" ref="H109:X110" si="30">G109</f>
        <v>552</v>
      </c>
      <c r="I109" s="132">
        <f t="shared" si="30"/>
        <v>552</v>
      </c>
      <c r="J109" s="132">
        <f t="shared" si="30"/>
        <v>552</v>
      </c>
      <c r="K109" s="132">
        <f t="shared" si="30"/>
        <v>552</v>
      </c>
      <c r="L109" s="132">
        <f t="shared" si="30"/>
        <v>552</v>
      </c>
      <c r="M109" s="132">
        <f t="shared" si="30"/>
        <v>552</v>
      </c>
      <c r="N109" s="132">
        <f t="shared" si="30"/>
        <v>552</v>
      </c>
      <c r="O109" s="132">
        <f t="shared" si="30"/>
        <v>552</v>
      </c>
      <c r="P109" s="132">
        <f t="shared" si="30"/>
        <v>552</v>
      </c>
      <c r="Q109" s="132">
        <f t="shared" si="30"/>
        <v>552</v>
      </c>
      <c r="R109" s="132">
        <f t="shared" si="30"/>
        <v>552</v>
      </c>
      <c r="S109" s="132">
        <f t="shared" si="30"/>
        <v>552</v>
      </c>
      <c r="T109" s="132">
        <f t="shared" si="30"/>
        <v>552</v>
      </c>
      <c r="U109" s="132">
        <f t="shared" si="30"/>
        <v>552</v>
      </c>
      <c r="V109" s="132">
        <f t="shared" si="30"/>
        <v>552</v>
      </c>
      <c r="W109" s="132">
        <f t="shared" si="30"/>
        <v>552</v>
      </c>
      <c r="X109" s="132">
        <f t="shared" si="30"/>
        <v>552</v>
      </c>
      <c r="Y109" s="360"/>
      <c r="AA109" s="355">
        <f t="shared" si="28"/>
        <v>10488</v>
      </c>
      <c r="AB109" s="356">
        <f t="shared" si="20"/>
        <v>5244</v>
      </c>
    </row>
    <row r="110" spans="1:28" s="128" customFormat="1">
      <c r="A110" s="128" t="s">
        <v>138</v>
      </c>
      <c r="D110" s="143">
        <f>D104*'FPLE_Wind Summary'!J21</f>
        <v>1144.0298060069306</v>
      </c>
      <c r="F110" s="132">
        <f>ROUND(D110/$B$109,0)</f>
        <v>38</v>
      </c>
      <c r="G110" s="132">
        <f>F110</f>
        <v>38</v>
      </c>
      <c r="H110" s="132">
        <f t="shared" si="30"/>
        <v>38</v>
      </c>
      <c r="I110" s="132">
        <f t="shared" si="30"/>
        <v>38</v>
      </c>
      <c r="J110" s="132">
        <f t="shared" si="30"/>
        <v>38</v>
      </c>
      <c r="K110" s="132">
        <f t="shared" si="30"/>
        <v>38</v>
      </c>
      <c r="L110" s="132">
        <f t="shared" si="30"/>
        <v>38</v>
      </c>
      <c r="M110" s="132">
        <f t="shared" si="30"/>
        <v>38</v>
      </c>
      <c r="N110" s="132">
        <f t="shared" si="30"/>
        <v>38</v>
      </c>
      <c r="O110" s="132">
        <f t="shared" si="30"/>
        <v>38</v>
      </c>
      <c r="P110" s="132">
        <f t="shared" si="30"/>
        <v>38</v>
      </c>
      <c r="Q110" s="132">
        <f t="shared" si="30"/>
        <v>38</v>
      </c>
      <c r="R110" s="132">
        <f t="shared" si="30"/>
        <v>38</v>
      </c>
      <c r="S110" s="132">
        <f t="shared" si="30"/>
        <v>38</v>
      </c>
      <c r="T110" s="132">
        <f t="shared" si="30"/>
        <v>38</v>
      </c>
      <c r="U110" s="132">
        <f t="shared" si="30"/>
        <v>38</v>
      </c>
      <c r="V110" s="132">
        <f t="shared" si="30"/>
        <v>38</v>
      </c>
      <c r="W110" s="132">
        <f t="shared" si="30"/>
        <v>38</v>
      </c>
      <c r="X110" s="132">
        <f t="shared" si="30"/>
        <v>38</v>
      </c>
      <c r="Y110" s="360"/>
      <c r="AA110" s="355">
        <f t="shared" si="28"/>
        <v>722</v>
      </c>
      <c r="AB110" s="356">
        <f t="shared" si="20"/>
        <v>361</v>
      </c>
    </row>
    <row r="111" spans="1:28" s="128" customFormat="1">
      <c r="AA111" s="355">
        <f t="shared" si="28"/>
        <v>0</v>
      </c>
      <c r="AB111" s="356">
        <f t="shared" si="20"/>
        <v>0</v>
      </c>
    </row>
    <row r="112" spans="1:28" s="128" customFormat="1">
      <c r="A112" s="103" t="s">
        <v>59</v>
      </c>
      <c r="AA112" s="355">
        <f t="shared" si="28"/>
        <v>0</v>
      </c>
      <c r="AB112" s="356">
        <f t="shared" si="20"/>
        <v>0</v>
      </c>
    </row>
    <row r="113" spans="1:28" s="128" customFormat="1">
      <c r="A113" s="104" t="s">
        <v>60</v>
      </c>
      <c r="D113" s="143">
        <f>D109</f>
        <v>16564.365815871497</v>
      </c>
      <c r="AA113" s="355">
        <f t="shared" si="28"/>
        <v>0</v>
      </c>
      <c r="AB113" s="356">
        <f t="shared" si="20"/>
        <v>0</v>
      </c>
    </row>
    <row r="114" spans="1:28" s="128" customFormat="1">
      <c r="A114" s="128" t="s">
        <v>61</v>
      </c>
      <c r="E114" s="144"/>
      <c r="F114" s="180">
        <v>0.2</v>
      </c>
      <c r="G114" s="180">
        <v>0.32</v>
      </c>
      <c r="H114" s="180">
        <v>0.192</v>
      </c>
      <c r="I114" s="180">
        <v>0.1152</v>
      </c>
      <c r="J114" s="180">
        <v>0.1152</v>
      </c>
      <c r="K114" s="180">
        <v>5.7599999999999998E-2</v>
      </c>
      <c r="L114" s="180">
        <v>0</v>
      </c>
      <c r="M114" s="180">
        <v>0</v>
      </c>
      <c r="N114" s="180">
        <v>0</v>
      </c>
      <c r="O114" s="180">
        <v>0</v>
      </c>
      <c r="P114" s="180">
        <v>0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45"/>
      <c r="AA114" s="355">
        <f t="shared" si="28"/>
        <v>0.99999999999999989</v>
      </c>
      <c r="AB114" s="356">
        <f t="shared" si="20"/>
        <v>0.49999999999999994</v>
      </c>
    </row>
    <row r="115" spans="1:28" s="128" customFormat="1">
      <c r="A115" s="128" t="s">
        <v>59</v>
      </c>
      <c r="F115" s="132">
        <f t="shared" ref="F115:X115" si="31">$D$113*F114</f>
        <v>3312.8731631742994</v>
      </c>
      <c r="G115" s="132">
        <f t="shared" si="31"/>
        <v>5300.5970610788791</v>
      </c>
      <c r="H115" s="132">
        <f t="shared" si="31"/>
        <v>3180.3582366473274</v>
      </c>
      <c r="I115" s="132">
        <f t="shared" si="31"/>
        <v>1908.2149419883965</v>
      </c>
      <c r="J115" s="132">
        <f t="shared" si="31"/>
        <v>1908.2149419883965</v>
      </c>
      <c r="K115" s="132">
        <f t="shared" si="31"/>
        <v>954.10747099419825</v>
      </c>
      <c r="L115" s="132">
        <f t="shared" si="31"/>
        <v>0</v>
      </c>
      <c r="M115" s="132">
        <f t="shared" si="31"/>
        <v>0</v>
      </c>
      <c r="N115" s="132">
        <f t="shared" si="31"/>
        <v>0</v>
      </c>
      <c r="O115" s="132">
        <f t="shared" si="31"/>
        <v>0</v>
      </c>
      <c r="P115" s="132">
        <f t="shared" si="31"/>
        <v>0</v>
      </c>
      <c r="Q115" s="132">
        <f t="shared" si="31"/>
        <v>0</v>
      </c>
      <c r="R115" s="132">
        <f t="shared" si="31"/>
        <v>0</v>
      </c>
      <c r="S115" s="132">
        <f t="shared" si="31"/>
        <v>0</v>
      </c>
      <c r="T115" s="132">
        <f t="shared" si="31"/>
        <v>0</v>
      </c>
      <c r="U115" s="132">
        <f t="shared" si="31"/>
        <v>0</v>
      </c>
      <c r="V115" s="132">
        <f t="shared" si="31"/>
        <v>0</v>
      </c>
      <c r="W115" s="132">
        <f t="shared" si="31"/>
        <v>0</v>
      </c>
      <c r="X115" s="132">
        <f t="shared" si="31"/>
        <v>0</v>
      </c>
      <c r="Y115" s="360"/>
      <c r="AA115" s="355">
        <f t="shared" si="28"/>
        <v>16564.365815871497</v>
      </c>
      <c r="AB115" s="356">
        <f t="shared" si="20"/>
        <v>8282.1829079357485</v>
      </c>
    </row>
    <row r="116" spans="1:28" s="128" customFormat="1">
      <c r="A116" s="128" t="s">
        <v>138</v>
      </c>
      <c r="D116" s="143">
        <f>D110</f>
        <v>1144.0298060069306</v>
      </c>
      <c r="F116" s="132">
        <f>$D$116*F114</f>
        <v>228.80596120138614</v>
      </c>
      <c r="G116" s="132">
        <f t="shared" ref="G116:X116" si="32">$D$116*G114</f>
        <v>366.0895379222178</v>
      </c>
      <c r="H116" s="132">
        <f t="shared" si="32"/>
        <v>219.65372275333067</v>
      </c>
      <c r="I116" s="132">
        <f t="shared" si="32"/>
        <v>131.7922336519984</v>
      </c>
      <c r="J116" s="132">
        <f t="shared" si="32"/>
        <v>131.7922336519984</v>
      </c>
      <c r="K116" s="132">
        <f t="shared" si="32"/>
        <v>65.896116825999201</v>
      </c>
      <c r="L116" s="132">
        <f t="shared" si="32"/>
        <v>0</v>
      </c>
      <c r="M116" s="132">
        <f t="shared" si="32"/>
        <v>0</v>
      </c>
      <c r="N116" s="132">
        <f t="shared" si="32"/>
        <v>0</v>
      </c>
      <c r="O116" s="132">
        <f t="shared" si="32"/>
        <v>0</v>
      </c>
      <c r="P116" s="132">
        <f t="shared" si="32"/>
        <v>0</v>
      </c>
      <c r="Q116" s="132">
        <f t="shared" si="32"/>
        <v>0</v>
      </c>
      <c r="R116" s="132">
        <f t="shared" si="32"/>
        <v>0</v>
      </c>
      <c r="S116" s="132">
        <f t="shared" si="32"/>
        <v>0</v>
      </c>
      <c r="T116" s="132">
        <f t="shared" si="32"/>
        <v>0</v>
      </c>
      <c r="U116" s="132">
        <f t="shared" si="32"/>
        <v>0</v>
      </c>
      <c r="V116" s="132">
        <f t="shared" si="32"/>
        <v>0</v>
      </c>
      <c r="W116" s="132">
        <f t="shared" si="32"/>
        <v>0</v>
      </c>
      <c r="X116" s="132">
        <f t="shared" si="32"/>
        <v>0</v>
      </c>
      <c r="Y116" s="360"/>
      <c r="AA116" s="355">
        <f t="shared" si="28"/>
        <v>1144.0298060069306</v>
      </c>
      <c r="AB116" s="356">
        <f t="shared" si="20"/>
        <v>572.01490300346529</v>
      </c>
    </row>
    <row r="117" spans="1:28" s="128" customFormat="1">
      <c r="AA117" s="355">
        <f t="shared" si="28"/>
        <v>0</v>
      </c>
      <c r="AB117" s="356">
        <f t="shared" si="20"/>
        <v>0</v>
      </c>
    </row>
    <row r="118" spans="1:28" s="128" customFormat="1">
      <c r="AA118" s="355">
        <f t="shared" si="28"/>
        <v>0</v>
      </c>
      <c r="AB118" s="356">
        <f t="shared" si="20"/>
        <v>0</v>
      </c>
    </row>
    <row r="119" spans="1:28" s="128" customFormat="1" ht="13.5" thickBot="1">
      <c r="F119" s="99">
        <f>F107</f>
        <v>2001</v>
      </c>
      <c r="G119" s="99">
        <f t="shared" ref="G119:Y119" si="33">G107</f>
        <v>2002</v>
      </c>
      <c r="H119" s="99">
        <f t="shared" si="33"/>
        <v>2003</v>
      </c>
      <c r="I119" s="99">
        <f t="shared" si="33"/>
        <v>2004</v>
      </c>
      <c r="J119" s="99">
        <f t="shared" si="33"/>
        <v>2005</v>
      </c>
      <c r="K119" s="99">
        <f t="shared" si="33"/>
        <v>2006</v>
      </c>
      <c r="L119" s="99">
        <f t="shared" si="33"/>
        <v>2007</v>
      </c>
      <c r="M119" s="99">
        <f t="shared" si="33"/>
        <v>2008</v>
      </c>
      <c r="N119" s="99">
        <f t="shared" si="33"/>
        <v>2009</v>
      </c>
      <c r="O119" s="99">
        <f t="shared" si="33"/>
        <v>2010</v>
      </c>
      <c r="P119" s="99">
        <f t="shared" si="33"/>
        <v>2011</v>
      </c>
      <c r="Q119" s="99">
        <f t="shared" si="33"/>
        <v>2012</v>
      </c>
      <c r="R119" s="99">
        <f t="shared" si="33"/>
        <v>2013</v>
      </c>
      <c r="S119" s="99">
        <f t="shared" si="33"/>
        <v>2014</v>
      </c>
      <c r="T119" s="99">
        <f t="shared" si="33"/>
        <v>2015</v>
      </c>
      <c r="U119" s="99">
        <f t="shared" si="33"/>
        <v>2016</v>
      </c>
      <c r="V119" s="99">
        <f t="shared" si="33"/>
        <v>2017</v>
      </c>
      <c r="W119" s="99">
        <f t="shared" si="33"/>
        <v>2018</v>
      </c>
      <c r="X119" s="99">
        <f t="shared" si="33"/>
        <v>2019</v>
      </c>
      <c r="Y119" s="99">
        <f t="shared" si="33"/>
        <v>2020</v>
      </c>
      <c r="AA119" s="355">
        <f t="shared" si="28"/>
        <v>40210</v>
      </c>
      <c r="AB119" s="356">
        <f t="shared" si="20"/>
        <v>20105</v>
      </c>
    </row>
    <row r="120" spans="1:28" s="128" customFormat="1">
      <c r="A120" s="98" t="s">
        <v>62</v>
      </c>
      <c r="AA120" s="355">
        <f t="shared" si="28"/>
        <v>0</v>
      </c>
      <c r="AB120" s="356">
        <f t="shared" si="20"/>
        <v>0</v>
      </c>
    </row>
    <row r="121" spans="1:28" s="128" customFormat="1">
      <c r="A121" s="146" t="str">
        <f>A64</f>
        <v>EBITDA</v>
      </c>
      <c r="F121" s="132">
        <f>F39</f>
        <v>1015.6658356277982</v>
      </c>
      <c r="G121" s="132">
        <f t="shared" ref="G121:Y121" si="34">G39</f>
        <v>967.54888155007598</v>
      </c>
      <c r="H121" s="132">
        <f t="shared" si="34"/>
        <v>1017.2546353833422</v>
      </c>
      <c r="I121" s="132">
        <f t="shared" si="34"/>
        <v>1063.1366617171579</v>
      </c>
      <c r="J121" s="132">
        <f>J39</f>
        <v>1093.037670139536</v>
      </c>
      <c r="K121" s="132">
        <f t="shared" si="34"/>
        <v>1103.3573156008129</v>
      </c>
      <c r="L121" s="132">
        <f t="shared" si="34"/>
        <v>1131.9905097861579</v>
      </c>
      <c r="M121" s="132">
        <f t="shared" si="34"/>
        <v>1159.4587104503021</v>
      </c>
      <c r="N121" s="132">
        <f t="shared" si="34"/>
        <v>1051.7275587870797</v>
      </c>
      <c r="O121" s="132">
        <f t="shared" si="34"/>
        <v>1062.159044995542</v>
      </c>
      <c r="P121" s="132">
        <f t="shared" si="34"/>
        <v>1100.9780705033338</v>
      </c>
      <c r="Q121" s="132">
        <f t="shared" si="34"/>
        <v>1139.3711043178405</v>
      </c>
      <c r="R121" s="132">
        <f t="shared" si="34"/>
        <v>1177.5034854995704</v>
      </c>
      <c r="S121" s="132">
        <f t="shared" si="34"/>
        <v>1192.7981876824881</v>
      </c>
      <c r="T121" s="132">
        <f t="shared" si="34"/>
        <v>1211.2678703500005</v>
      </c>
      <c r="U121" s="132">
        <f t="shared" si="34"/>
        <v>1225.6985669080896</v>
      </c>
      <c r="V121" s="132">
        <f t="shared" si="34"/>
        <v>1238.9686069606767</v>
      </c>
      <c r="W121" s="132">
        <f t="shared" si="34"/>
        <v>1278.9785889227646</v>
      </c>
      <c r="X121" s="132">
        <f t="shared" si="34"/>
        <v>370.37215973544232</v>
      </c>
      <c r="Y121" s="132">
        <f t="shared" si="34"/>
        <v>0</v>
      </c>
      <c r="AA121" s="355">
        <f t="shared" si="28"/>
        <v>20601.273464918009</v>
      </c>
      <c r="AB121" s="356">
        <f t="shared" si="20"/>
        <v>10300.636732459005</v>
      </c>
    </row>
    <row r="122" spans="1:28" s="128" customFormat="1">
      <c r="A122" s="128" t="s">
        <v>63</v>
      </c>
      <c r="F122" s="132">
        <f>-F115</f>
        <v>-3312.8731631742994</v>
      </c>
      <c r="G122" s="132">
        <f t="shared" ref="G122:Y122" si="35">-G115</f>
        <v>-5300.5970610788791</v>
      </c>
      <c r="H122" s="132">
        <f t="shared" si="35"/>
        <v>-3180.3582366473274</v>
      </c>
      <c r="I122" s="132">
        <f t="shared" si="35"/>
        <v>-1908.2149419883965</v>
      </c>
      <c r="J122" s="132">
        <f t="shared" si="35"/>
        <v>-1908.2149419883965</v>
      </c>
      <c r="K122" s="132">
        <f t="shared" si="35"/>
        <v>-954.10747099419825</v>
      </c>
      <c r="L122" s="132">
        <f t="shared" si="35"/>
        <v>0</v>
      </c>
      <c r="M122" s="132">
        <f t="shared" si="35"/>
        <v>0</v>
      </c>
      <c r="N122" s="132">
        <f t="shared" si="35"/>
        <v>0</v>
      </c>
      <c r="O122" s="132">
        <f t="shared" si="35"/>
        <v>0</v>
      </c>
      <c r="P122" s="132">
        <f t="shared" si="35"/>
        <v>0</v>
      </c>
      <c r="Q122" s="132">
        <f t="shared" si="35"/>
        <v>0</v>
      </c>
      <c r="R122" s="132">
        <f t="shared" si="35"/>
        <v>0</v>
      </c>
      <c r="S122" s="132">
        <f t="shared" si="35"/>
        <v>0</v>
      </c>
      <c r="T122" s="132">
        <f t="shared" si="35"/>
        <v>0</v>
      </c>
      <c r="U122" s="132">
        <f t="shared" si="35"/>
        <v>0</v>
      </c>
      <c r="V122" s="132">
        <f t="shared" si="35"/>
        <v>0</v>
      </c>
      <c r="W122" s="132">
        <f t="shared" si="35"/>
        <v>0</v>
      </c>
      <c r="X122" s="132">
        <f t="shared" si="35"/>
        <v>0</v>
      </c>
      <c r="Y122" s="132">
        <f t="shared" si="35"/>
        <v>0</v>
      </c>
      <c r="AA122" s="355">
        <f t="shared" si="28"/>
        <v>-16564.365815871497</v>
      </c>
      <c r="AB122" s="356">
        <f t="shared" si="20"/>
        <v>-8282.1829079357485</v>
      </c>
    </row>
    <row r="123" spans="1:28" s="128" customFormat="1">
      <c r="A123" s="128" t="s">
        <v>64</v>
      </c>
      <c r="F123" s="147">
        <f>-F46</f>
        <v>0</v>
      </c>
      <c r="G123" s="147">
        <f t="shared" ref="G123:Y123" si="36">-G46</f>
        <v>0</v>
      </c>
      <c r="H123" s="147">
        <f t="shared" si="36"/>
        <v>0</v>
      </c>
      <c r="I123" s="147">
        <f t="shared" si="36"/>
        <v>0</v>
      </c>
      <c r="J123" s="147">
        <f t="shared" si="36"/>
        <v>0</v>
      </c>
      <c r="K123" s="147">
        <f t="shared" si="36"/>
        <v>0</v>
      </c>
      <c r="L123" s="147">
        <f t="shared" si="36"/>
        <v>0</v>
      </c>
      <c r="M123" s="147">
        <f t="shared" si="36"/>
        <v>0</v>
      </c>
      <c r="N123" s="147">
        <f t="shared" si="36"/>
        <v>0</v>
      </c>
      <c r="O123" s="147">
        <f t="shared" si="36"/>
        <v>0</v>
      </c>
      <c r="P123" s="147">
        <f t="shared" si="36"/>
        <v>0</v>
      </c>
      <c r="Q123" s="147">
        <f t="shared" si="36"/>
        <v>0</v>
      </c>
      <c r="R123" s="147">
        <f t="shared" si="36"/>
        <v>0</v>
      </c>
      <c r="S123" s="147">
        <f t="shared" si="36"/>
        <v>0</v>
      </c>
      <c r="T123" s="147">
        <f t="shared" si="36"/>
        <v>0</v>
      </c>
      <c r="U123" s="147">
        <f t="shared" si="36"/>
        <v>0</v>
      </c>
      <c r="V123" s="147">
        <f t="shared" si="36"/>
        <v>0</v>
      </c>
      <c r="W123" s="147">
        <f t="shared" si="36"/>
        <v>0</v>
      </c>
      <c r="X123" s="147">
        <f t="shared" si="36"/>
        <v>0</v>
      </c>
      <c r="Y123" s="147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28" customFormat="1">
      <c r="A124" s="128" t="s">
        <v>65</v>
      </c>
      <c r="F124" s="132">
        <f>SUM(F121:F123)</f>
        <v>-2297.2073275465013</v>
      </c>
      <c r="G124" s="132">
        <f t="shared" ref="G124:Y124" si="37">SUM(G121:G123)</f>
        <v>-4333.0481795288033</v>
      </c>
      <c r="H124" s="132">
        <f t="shared" si="37"/>
        <v>-2163.1036012639852</v>
      </c>
      <c r="I124" s="132">
        <f t="shared" si="37"/>
        <v>-845.07828027123855</v>
      </c>
      <c r="J124" s="132">
        <f t="shared" si="37"/>
        <v>-815.17727184886053</v>
      </c>
      <c r="K124" s="132">
        <f t="shared" si="37"/>
        <v>149.2498446066146</v>
      </c>
      <c r="L124" s="132">
        <f t="shared" si="37"/>
        <v>1131.9905097861579</v>
      </c>
      <c r="M124" s="132">
        <f t="shared" si="37"/>
        <v>1159.4587104503021</v>
      </c>
      <c r="N124" s="132">
        <f t="shared" si="37"/>
        <v>1051.7275587870797</v>
      </c>
      <c r="O124" s="132">
        <f t="shared" si="37"/>
        <v>1062.159044995542</v>
      </c>
      <c r="P124" s="132">
        <f t="shared" si="37"/>
        <v>1100.9780705033338</v>
      </c>
      <c r="Q124" s="132">
        <f t="shared" si="37"/>
        <v>1139.3711043178405</v>
      </c>
      <c r="R124" s="132">
        <f t="shared" si="37"/>
        <v>1177.5034854995704</v>
      </c>
      <c r="S124" s="132">
        <f t="shared" si="37"/>
        <v>1192.7981876824881</v>
      </c>
      <c r="T124" s="132">
        <f t="shared" si="37"/>
        <v>1211.2678703500005</v>
      </c>
      <c r="U124" s="132">
        <f t="shared" si="37"/>
        <v>1225.6985669080896</v>
      </c>
      <c r="V124" s="132">
        <f t="shared" si="37"/>
        <v>1238.9686069606767</v>
      </c>
      <c r="W124" s="132">
        <f t="shared" si="37"/>
        <v>1278.9785889227646</v>
      </c>
      <c r="X124" s="132">
        <f t="shared" si="37"/>
        <v>370.37215973544232</v>
      </c>
      <c r="Y124" s="132">
        <f t="shared" si="37"/>
        <v>0</v>
      </c>
      <c r="AA124" s="355">
        <f t="shared" si="28"/>
        <v>4036.9076490465145</v>
      </c>
      <c r="AB124" s="356">
        <f t="shared" si="20"/>
        <v>2018.4538245232573</v>
      </c>
    </row>
    <row r="125" spans="1:28" s="128" customFormat="1">
      <c r="AA125" s="355">
        <f t="shared" si="28"/>
        <v>0</v>
      </c>
      <c r="AB125" s="356">
        <f t="shared" si="20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114.86036637732508</v>
      </c>
      <c r="G126" s="132">
        <f t="shared" ref="G126:Y126" si="38">-G124*$C$126</f>
        <v>216.65240897644017</v>
      </c>
      <c r="H126" s="132">
        <f t="shared" si="38"/>
        <v>108.15518006319927</v>
      </c>
      <c r="I126" s="132">
        <f t="shared" si="38"/>
        <v>42.253914013561932</v>
      </c>
      <c r="J126" s="132">
        <f t="shared" si="38"/>
        <v>40.758863592443028</v>
      </c>
      <c r="K126" s="132">
        <f t="shared" si="38"/>
        <v>-7.4624922303307306</v>
      </c>
      <c r="L126" s="132">
        <f t="shared" si="38"/>
        <v>-56.599525489307894</v>
      </c>
      <c r="M126" s="132">
        <f t="shared" si="38"/>
        <v>-57.972935522515108</v>
      </c>
      <c r="N126" s="132">
        <f t="shared" si="38"/>
        <v>-52.586377939353987</v>
      </c>
      <c r="O126" s="132">
        <f t="shared" si="38"/>
        <v>-53.107952249777099</v>
      </c>
      <c r="P126" s="132">
        <f t="shared" si="38"/>
        <v>-55.048903525166693</v>
      </c>
      <c r="Q126" s="132">
        <f t="shared" si="38"/>
        <v>-56.968555215892025</v>
      </c>
      <c r="R126" s="132">
        <f t="shared" si="38"/>
        <v>-58.875174274978519</v>
      </c>
      <c r="S126" s="132">
        <f t="shared" si="38"/>
        <v>-59.639909384124408</v>
      </c>
      <c r="T126" s="132">
        <f t="shared" si="38"/>
        <v>-60.563393517500032</v>
      </c>
      <c r="U126" s="132">
        <f t="shared" si="38"/>
        <v>-61.284928345404481</v>
      </c>
      <c r="V126" s="132">
        <f t="shared" si="38"/>
        <v>-61.948430348033838</v>
      </c>
      <c r="W126" s="132">
        <f t="shared" si="38"/>
        <v>-63.948929446138237</v>
      </c>
      <c r="X126" s="132">
        <f t="shared" si="38"/>
        <v>-18.518607986772118</v>
      </c>
      <c r="Y126" s="132">
        <f t="shared" si="38"/>
        <v>0</v>
      </c>
      <c r="AA126" s="355">
        <f t="shared" si="28"/>
        <v>-201.84538245232568</v>
      </c>
      <c r="AB126" s="356">
        <f t="shared" si="20"/>
        <v>-100.92269122616284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763.82143640921163</v>
      </c>
      <c r="G127" s="132">
        <f t="shared" ref="G127:Y127" si="39">-(G124+G126)*$C$127</f>
        <v>1440.7385196933271</v>
      </c>
      <c r="H127" s="132">
        <f t="shared" si="39"/>
        <v>719.23194742027511</v>
      </c>
      <c r="I127" s="132">
        <f t="shared" si="39"/>
        <v>280.9885281901868</v>
      </c>
      <c r="J127" s="132">
        <f t="shared" si="39"/>
        <v>271.04644288974612</v>
      </c>
      <c r="K127" s="132">
        <f t="shared" si="39"/>
        <v>-49.625573331699357</v>
      </c>
      <c r="L127" s="132">
        <f t="shared" si="39"/>
        <v>-376.38684450389752</v>
      </c>
      <c r="M127" s="132">
        <f t="shared" si="39"/>
        <v>-385.52002122472538</v>
      </c>
      <c r="N127" s="132">
        <f t="shared" si="39"/>
        <v>-349.69941329670399</v>
      </c>
      <c r="O127" s="132">
        <f t="shared" si="39"/>
        <v>-353.16788246101771</v>
      </c>
      <c r="P127" s="132">
        <f t="shared" si="39"/>
        <v>-366.07520844235847</v>
      </c>
      <c r="Q127" s="132">
        <f t="shared" si="39"/>
        <v>-378.84089218568192</v>
      </c>
      <c r="R127" s="132">
        <f t="shared" si="39"/>
        <v>-391.51990892860715</v>
      </c>
      <c r="S127" s="132">
        <f t="shared" si="39"/>
        <v>-396.60539740442726</v>
      </c>
      <c r="T127" s="132">
        <f t="shared" si="39"/>
        <v>-402.7465668913751</v>
      </c>
      <c r="U127" s="132">
        <f t="shared" si="39"/>
        <v>-407.54477349693974</v>
      </c>
      <c r="V127" s="132">
        <f t="shared" si="39"/>
        <v>-411.957061814425</v>
      </c>
      <c r="W127" s="132">
        <f t="shared" si="39"/>
        <v>-425.26038081681924</v>
      </c>
      <c r="X127" s="132">
        <f t="shared" si="39"/>
        <v>-123.14874311203457</v>
      </c>
      <c r="Y127" s="132">
        <f t="shared" si="39"/>
        <v>0</v>
      </c>
      <c r="AA127" s="355">
        <f t="shared" si="28"/>
        <v>-1342.2717933079655</v>
      </c>
      <c r="AB127" s="356">
        <f t="shared" si="20"/>
        <v>-671.13589665398274</v>
      </c>
    </row>
    <row r="128" spans="1:28" s="128" customFormat="1">
      <c r="AA128" s="355">
        <f t="shared" si="28"/>
        <v>0</v>
      </c>
      <c r="AB128" s="356">
        <f t="shared" si="20"/>
        <v>0</v>
      </c>
    </row>
    <row r="129" spans="1:28" s="128" customFormat="1">
      <c r="AA129" s="355">
        <f t="shared" si="28"/>
        <v>0</v>
      </c>
      <c r="AB129" s="356">
        <f t="shared" si="20"/>
        <v>0</v>
      </c>
    </row>
    <row r="130" spans="1:28" s="128" customFormat="1">
      <c r="AA130" s="355">
        <f t="shared" si="28"/>
        <v>0</v>
      </c>
      <c r="AB130" s="356">
        <f t="shared" si="20"/>
        <v>0</v>
      </c>
    </row>
    <row r="131" spans="1:28" s="128" customFormat="1">
      <c r="AA131" s="355">
        <f t="shared" si="28"/>
        <v>0</v>
      </c>
      <c r="AB131" s="356">
        <f t="shared" si="20"/>
        <v>0</v>
      </c>
    </row>
    <row r="132" spans="1:28" s="128" customFormat="1">
      <c r="AA132" s="355">
        <f t="shared" si="28"/>
        <v>0</v>
      </c>
      <c r="AB132" s="356">
        <f t="shared" si="20"/>
        <v>0</v>
      </c>
    </row>
    <row r="133" spans="1:28" s="128" customFormat="1">
      <c r="AA133" s="355">
        <f t="shared" si="28"/>
        <v>0</v>
      </c>
      <c r="AB133" s="356">
        <f t="shared" si="20"/>
        <v>0</v>
      </c>
    </row>
    <row r="134" spans="1:28" s="128" customFormat="1">
      <c r="AA134" s="355">
        <f t="shared" si="28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0">G119</f>
        <v>2002</v>
      </c>
      <c r="H135" s="99">
        <f t="shared" si="40"/>
        <v>2003</v>
      </c>
      <c r="I135" s="99">
        <f t="shared" si="40"/>
        <v>2004</v>
      </c>
      <c r="J135" s="99">
        <f t="shared" si="40"/>
        <v>2005</v>
      </c>
      <c r="K135" s="99">
        <f t="shared" si="40"/>
        <v>2006</v>
      </c>
      <c r="L135" s="99">
        <f t="shared" si="40"/>
        <v>2007</v>
      </c>
      <c r="M135" s="99">
        <f t="shared" si="40"/>
        <v>2008</v>
      </c>
      <c r="N135" s="99">
        <f t="shared" si="40"/>
        <v>2009</v>
      </c>
      <c r="O135" s="99">
        <f t="shared" si="40"/>
        <v>2010</v>
      </c>
      <c r="P135" s="99">
        <f t="shared" si="40"/>
        <v>2011</v>
      </c>
      <c r="Q135" s="99">
        <f t="shared" si="40"/>
        <v>2012</v>
      </c>
      <c r="R135" s="99">
        <f t="shared" si="40"/>
        <v>2013</v>
      </c>
      <c r="S135" s="99">
        <f t="shared" si="40"/>
        <v>2014</v>
      </c>
      <c r="T135" s="99">
        <f t="shared" si="40"/>
        <v>2015</v>
      </c>
      <c r="U135" s="99">
        <f t="shared" si="40"/>
        <v>2016</v>
      </c>
      <c r="V135" s="99">
        <f t="shared" si="40"/>
        <v>2017</v>
      </c>
      <c r="W135" s="99">
        <f t="shared" si="40"/>
        <v>2018</v>
      </c>
      <c r="X135" s="99">
        <f t="shared" si="40"/>
        <v>2019</v>
      </c>
      <c r="Y135" s="9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28" customFormat="1">
      <c r="AA136" s="355">
        <f t="shared" si="28"/>
        <v>0</v>
      </c>
      <c r="AB136" s="356">
        <f t="shared" si="41"/>
        <v>0</v>
      </c>
    </row>
    <row r="137" spans="1:28" s="128" customFormat="1">
      <c r="A137" s="128" t="s">
        <v>78</v>
      </c>
      <c r="F137" s="181">
        <f>F46</f>
        <v>0</v>
      </c>
      <c r="G137" s="181">
        <f t="shared" ref="G137:Y137" si="42">G46</f>
        <v>0</v>
      </c>
      <c r="H137" s="181">
        <f t="shared" si="42"/>
        <v>0</v>
      </c>
      <c r="I137" s="181">
        <f t="shared" si="42"/>
        <v>0</v>
      </c>
      <c r="J137" s="181">
        <f t="shared" si="42"/>
        <v>0</v>
      </c>
      <c r="K137" s="181">
        <f t="shared" si="42"/>
        <v>0</v>
      </c>
      <c r="L137" s="181">
        <f t="shared" si="42"/>
        <v>0</v>
      </c>
      <c r="M137" s="181">
        <f t="shared" si="42"/>
        <v>0</v>
      </c>
      <c r="N137" s="181">
        <f t="shared" si="42"/>
        <v>0</v>
      </c>
      <c r="O137" s="181">
        <f t="shared" si="42"/>
        <v>0</v>
      </c>
      <c r="P137" s="181">
        <f t="shared" si="42"/>
        <v>0</v>
      </c>
      <c r="Q137" s="181">
        <f t="shared" si="42"/>
        <v>0</v>
      </c>
      <c r="R137" s="181">
        <f t="shared" si="42"/>
        <v>0</v>
      </c>
      <c r="S137" s="181">
        <f t="shared" si="42"/>
        <v>0</v>
      </c>
      <c r="T137" s="181">
        <f t="shared" si="42"/>
        <v>0</v>
      </c>
      <c r="U137" s="181">
        <f t="shared" si="42"/>
        <v>0</v>
      </c>
      <c r="V137" s="181">
        <f t="shared" si="42"/>
        <v>0</v>
      </c>
      <c r="W137" s="181">
        <f t="shared" si="42"/>
        <v>0</v>
      </c>
      <c r="X137" s="181">
        <f t="shared" si="42"/>
        <v>0</v>
      </c>
      <c r="Y137" s="181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28" customFormat="1">
      <c r="A138" s="128" t="s">
        <v>67</v>
      </c>
      <c r="F138" s="147">
        <f t="shared" ref="F138:Y138" si="43">SUM(F33:F35)</f>
        <v>0</v>
      </c>
      <c r="G138" s="147">
        <f t="shared" si="43"/>
        <v>0</v>
      </c>
      <c r="H138" s="147">
        <f t="shared" si="43"/>
        <v>0</v>
      </c>
      <c r="I138" s="147">
        <f t="shared" si="43"/>
        <v>0</v>
      </c>
      <c r="J138" s="147">
        <f t="shared" si="43"/>
        <v>0</v>
      </c>
      <c r="K138" s="147">
        <f t="shared" si="43"/>
        <v>0</v>
      </c>
      <c r="L138" s="147">
        <f t="shared" si="43"/>
        <v>0</v>
      </c>
      <c r="M138" s="147">
        <f t="shared" si="43"/>
        <v>0</v>
      </c>
      <c r="N138" s="147">
        <f t="shared" si="43"/>
        <v>0</v>
      </c>
      <c r="O138" s="147">
        <f t="shared" si="43"/>
        <v>0</v>
      </c>
      <c r="P138" s="147">
        <f t="shared" si="43"/>
        <v>0</v>
      </c>
      <c r="Q138" s="147">
        <f t="shared" si="43"/>
        <v>0</v>
      </c>
      <c r="R138" s="147">
        <f t="shared" si="43"/>
        <v>0</v>
      </c>
      <c r="S138" s="147">
        <f t="shared" si="43"/>
        <v>0</v>
      </c>
      <c r="T138" s="147">
        <f t="shared" si="43"/>
        <v>0</v>
      </c>
      <c r="U138" s="147">
        <f t="shared" si="43"/>
        <v>0</v>
      </c>
      <c r="V138" s="147">
        <f t="shared" si="43"/>
        <v>0</v>
      </c>
      <c r="W138" s="147">
        <f t="shared" si="43"/>
        <v>0</v>
      </c>
      <c r="X138" s="147">
        <f t="shared" si="43"/>
        <v>0</v>
      </c>
      <c r="Y138" s="147">
        <f t="shared" si="43"/>
        <v>0</v>
      </c>
      <c r="AA138" s="355">
        <f t="shared" si="28"/>
        <v>0</v>
      </c>
      <c r="AB138" s="356">
        <f t="shared" si="41"/>
        <v>0</v>
      </c>
    </row>
    <row r="139" spans="1:28" s="128" customFormat="1">
      <c r="A139" s="128" t="s">
        <v>68</v>
      </c>
      <c r="F139" s="132">
        <f>F137+F138</f>
        <v>0</v>
      </c>
      <c r="G139" s="132">
        <f t="shared" ref="G139:Y139" si="44">G137+G138</f>
        <v>0</v>
      </c>
      <c r="H139" s="132">
        <f t="shared" si="44"/>
        <v>0</v>
      </c>
      <c r="I139" s="132">
        <f t="shared" si="44"/>
        <v>0</v>
      </c>
      <c r="J139" s="132">
        <f t="shared" si="44"/>
        <v>0</v>
      </c>
      <c r="K139" s="132">
        <f t="shared" si="44"/>
        <v>0</v>
      </c>
      <c r="L139" s="132">
        <f t="shared" si="44"/>
        <v>0</v>
      </c>
      <c r="M139" s="132">
        <f t="shared" si="44"/>
        <v>0</v>
      </c>
      <c r="N139" s="132">
        <f t="shared" si="44"/>
        <v>0</v>
      </c>
      <c r="O139" s="132">
        <f t="shared" si="44"/>
        <v>0</v>
      </c>
      <c r="P139" s="132">
        <f t="shared" si="44"/>
        <v>0</v>
      </c>
      <c r="Q139" s="132">
        <f t="shared" si="44"/>
        <v>0</v>
      </c>
      <c r="R139" s="132">
        <f t="shared" si="44"/>
        <v>0</v>
      </c>
      <c r="S139" s="132">
        <f t="shared" si="44"/>
        <v>0</v>
      </c>
      <c r="T139" s="132">
        <f t="shared" si="44"/>
        <v>0</v>
      </c>
      <c r="U139" s="132">
        <f t="shared" si="44"/>
        <v>0</v>
      </c>
      <c r="V139" s="132">
        <f t="shared" si="44"/>
        <v>0</v>
      </c>
      <c r="W139" s="132">
        <f t="shared" si="44"/>
        <v>0</v>
      </c>
      <c r="X139" s="132">
        <f t="shared" si="44"/>
        <v>0</v>
      </c>
      <c r="Y139" s="132">
        <f t="shared" si="44"/>
        <v>0</v>
      </c>
      <c r="AA139" s="355">
        <f t="shared" si="28"/>
        <v>0</v>
      </c>
      <c r="AB139" s="356">
        <f t="shared" si="41"/>
        <v>0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0</v>
      </c>
      <c r="G140" s="132">
        <f t="shared" ref="G140:Y140" si="45">G139*$C$140</f>
        <v>0</v>
      </c>
      <c r="H140" s="132">
        <f t="shared" si="45"/>
        <v>0</v>
      </c>
      <c r="I140" s="132">
        <f t="shared" si="45"/>
        <v>0</v>
      </c>
      <c r="J140" s="132">
        <f t="shared" si="45"/>
        <v>0</v>
      </c>
      <c r="K140" s="132">
        <f t="shared" si="45"/>
        <v>0</v>
      </c>
      <c r="L140" s="132">
        <f t="shared" si="45"/>
        <v>0</v>
      </c>
      <c r="M140" s="132">
        <f t="shared" si="45"/>
        <v>0</v>
      </c>
      <c r="N140" s="132">
        <f t="shared" si="45"/>
        <v>0</v>
      </c>
      <c r="O140" s="132">
        <f t="shared" si="45"/>
        <v>0</v>
      </c>
      <c r="P140" s="132">
        <f t="shared" si="45"/>
        <v>0</v>
      </c>
      <c r="Q140" s="132">
        <f t="shared" si="45"/>
        <v>0</v>
      </c>
      <c r="R140" s="132">
        <f t="shared" si="45"/>
        <v>0</v>
      </c>
      <c r="S140" s="132">
        <f t="shared" si="45"/>
        <v>0</v>
      </c>
      <c r="T140" s="132">
        <f t="shared" si="45"/>
        <v>0</v>
      </c>
      <c r="U140" s="132">
        <f t="shared" si="45"/>
        <v>0</v>
      </c>
      <c r="V140" s="132">
        <f t="shared" si="45"/>
        <v>0</v>
      </c>
      <c r="W140" s="132">
        <f t="shared" si="45"/>
        <v>0</v>
      </c>
      <c r="X140" s="132">
        <f t="shared" si="45"/>
        <v>0</v>
      </c>
      <c r="Y140" s="132">
        <f t="shared" si="45"/>
        <v>0</v>
      </c>
      <c r="AA140" s="355">
        <f t="shared" si="28"/>
        <v>0</v>
      </c>
      <c r="AB140" s="356">
        <f t="shared" si="41"/>
        <v>0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0</v>
      </c>
      <c r="G141" s="147">
        <f t="shared" ref="G141:Y141" si="46">(G139-G140)*$C$141</f>
        <v>0</v>
      </c>
      <c r="H141" s="147">
        <f t="shared" si="46"/>
        <v>0</v>
      </c>
      <c r="I141" s="147">
        <f t="shared" si="46"/>
        <v>0</v>
      </c>
      <c r="J141" s="147">
        <f t="shared" si="46"/>
        <v>0</v>
      </c>
      <c r="K141" s="147">
        <f t="shared" si="46"/>
        <v>0</v>
      </c>
      <c r="L141" s="147">
        <f t="shared" si="46"/>
        <v>0</v>
      </c>
      <c r="M141" s="147">
        <f t="shared" si="46"/>
        <v>0</v>
      </c>
      <c r="N141" s="147">
        <f t="shared" si="46"/>
        <v>0</v>
      </c>
      <c r="O141" s="147">
        <f t="shared" si="46"/>
        <v>0</v>
      </c>
      <c r="P141" s="147">
        <f t="shared" si="46"/>
        <v>0</v>
      </c>
      <c r="Q141" s="147">
        <f t="shared" si="46"/>
        <v>0</v>
      </c>
      <c r="R141" s="147">
        <f t="shared" si="46"/>
        <v>0</v>
      </c>
      <c r="S141" s="147">
        <f t="shared" si="46"/>
        <v>0</v>
      </c>
      <c r="T141" s="147">
        <f t="shared" si="46"/>
        <v>0</v>
      </c>
      <c r="U141" s="147">
        <f t="shared" si="46"/>
        <v>0</v>
      </c>
      <c r="V141" s="147">
        <f t="shared" si="46"/>
        <v>0</v>
      </c>
      <c r="W141" s="147">
        <f t="shared" si="46"/>
        <v>0</v>
      </c>
      <c r="X141" s="147">
        <f t="shared" si="46"/>
        <v>0</v>
      </c>
      <c r="Y141" s="147">
        <f t="shared" si="46"/>
        <v>0</v>
      </c>
      <c r="AA141" s="355">
        <f t="shared" si="28"/>
        <v>0</v>
      </c>
      <c r="AB141" s="356">
        <f t="shared" si="41"/>
        <v>0</v>
      </c>
    </row>
    <row r="142" spans="1:28" s="128" customFormat="1">
      <c r="A142" s="128" t="s">
        <v>71</v>
      </c>
      <c r="F142" s="132">
        <f>F139-F140-F141</f>
        <v>0</v>
      </c>
      <c r="G142" s="132">
        <f t="shared" ref="G142:Y142" si="47">G139-G140-G141</f>
        <v>0</v>
      </c>
      <c r="H142" s="132">
        <f t="shared" si="47"/>
        <v>0</v>
      </c>
      <c r="I142" s="132">
        <f t="shared" si="47"/>
        <v>0</v>
      </c>
      <c r="J142" s="132">
        <f t="shared" si="47"/>
        <v>0</v>
      </c>
      <c r="K142" s="132">
        <f t="shared" si="47"/>
        <v>0</v>
      </c>
      <c r="L142" s="132">
        <f t="shared" si="47"/>
        <v>0</v>
      </c>
      <c r="M142" s="132">
        <f t="shared" si="47"/>
        <v>0</v>
      </c>
      <c r="N142" s="132">
        <f t="shared" si="47"/>
        <v>0</v>
      </c>
      <c r="O142" s="132">
        <f t="shared" si="47"/>
        <v>0</v>
      </c>
      <c r="P142" s="132">
        <f t="shared" si="47"/>
        <v>0</v>
      </c>
      <c r="Q142" s="132">
        <f t="shared" si="47"/>
        <v>0</v>
      </c>
      <c r="R142" s="132">
        <f t="shared" si="47"/>
        <v>0</v>
      </c>
      <c r="S142" s="132">
        <f t="shared" si="47"/>
        <v>0</v>
      </c>
      <c r="T142" s="132">
        <f t="shared" si="47"/>
        <v>0</v>
      </c>
      <c r="U142" s="132">
        <f t="shared" si="47"/>
        <v>0</v>
      </c>
      <c r="V142" s="132">
        <f t="shared" si="47"/>
        <v>0</v>
      </c>
      <c r="W142" s="132">
        <f t="shared" si="47"/>
        <v>0</v>
      </c>
      <c r="X142" s="132">
        <f t="shared" si="47"/>
        <v>0</v>
      </c>
      <c r="Y142" s="132">
        <f t="shared" si="47"/>
        <v>0</v>
      </c>
      <c r="AA142" s="355">
        <f t="shared" si="28"/>
        <v>0</v>
      </c>
      <c r="AB142" s="356">
        <f t="shared" si="41"/>
        <v>0</v>
      </c>
    </row>
    <row r="143" spans="1:28" s="128" customFormat="1">
      <c r="AA143" s="355">
        <f t="shared" si="28"/>
        <v>0</v>
      </c>
      <c r="AB143" s="356">
        <f t="shared" si="41"/>
        <v>0</v>
      </c>
    </row>
    <row r="144" spans="1:28" s="128" customFormat="1">
      <c r="A144" s="146" t="str">
        <f>A76</f>
        <v>Net Income to FPLE</v>
      </c>
      <c r="F144" s="149">
        <f>F76</f>
        <v>566.75388675008264</v>
      </c>
      <c r="G144" s="149">
        <f t="shared" ref="G144:Y144" si="48">G76</f>
        <v>551.8977771785859</v>
      </c>
      <c r="H144" s="149">
        <f t="shared" si="48"/>
        <v>567.24442867460687</v>
      </c>
      <c r="I144" s="149">
        <f t="shared" si="48"/>
        <v>604.94367430517252</v>
      </c>
      <c r="J144" s="149">
        <f t="shared" si="48"/>
        <v>614.17561065558175</v>
      </c>
      <c r="K144" s="149">
        <f t="shared" si="48"/>
        <v>640.89497119175098</v>
      </c>
      <c r="L144" s="149">
        <f t="shared" si="48"/>
        <v>649.73546989647616</v>
      </c>
      <c r="M144" s="149">
        <f t="shared" si="48"/>
        <v>658.21627685153067</v>
      </c>
      <c r="N144" s="149">
        <f t="shared" si="48"/>
        <v>401.38916877551083</v>
      </c>
      <c r="O144" s="149">
        <f t="shared" si="48"/>
        <v>157.51160514237358</v>
      </c>
      <c r="P144" s="149">
        <f t="shared" si="48"/>
        <v>169.49697926790435</v>
      </c>
      <c r="Q144" s="149">
        <f t="shared" si="48"/>
        <v>181.35082845813326</v>
      </c>
      <c r="R144" s="149">
        <f t="shared" si="48"/>
        <v>193.12420114799235</v>
      </c>
      <c r="S144" s="149">
        <f t="shared" si="48"/>
        <v>197.84644044696822</v>
      </c>
      <c r="T144" s="149">
        <f t="shared" si="48"/>
        <v>203.54895497056268</v>
      </c>
      <c r="U144" s="149">
        <f t="shared" si="48"/>
        <v>208.00443253287267</v>
      </c>
      <c r="V144" s="149">
        <f t="shared" si="48"/>
        <v>212.10155739910891</v>
      </c>
      <c r="W144" s="149">
        <f t="shared" si="48"/>
        <v>224.45463932990361</v>
      </c>
      <c r="X144" s="149">
        <f t="shared" si="48"/>
        <v>-56.077595681682183</v>
      </c>
      <c r="Y144" s="149">
        <f t="shared" si="48"/>
        <v>0</v>
      </c>
      <c r="AA144" s="355">
        <f t="shared" si="28"/>
        <v>6946.6133072934354</v>
      </c>
      <c r="AB144" s="356">
        <f t="shared" si="41"/>
        <v>6946.6133072934354</v>
      </c>
    </row>
    <row r="145" spans="1:28" s="128" customFormat="1">
      <c r="A145" s="103" t="s">
        <v>79</v>
      </c>
      <c r="F145" s="142">
        <f>F142+F144</f>
        <v>566.75388675008264</v>
      </c>
      <c r="G145" s="142">
        <f t="shared" ref="G145:Y145" si="49">G142+G144</f>
        <v>551.8977771785859</v>
      </c>
      <c r="H145" s="142">
        <f t="shared" si="49"/>
        <v>567.24442867460687</v>
      </c>
      <c r="I145" s="142">
        <f t="shared" si="49"/>
        <v>604.94367430517252</v>
      </c>
      <c r="J145" s="142">
        <f t="shared" si="49"/>
        <v>614.17561065558175</v>
      </c>
      <c r="K145" s="142">
        <f t="shared" si="49"/>
        <v>640.89497119175098</v>
      </c>
      <c r="L145" s="142">
        <f t="shared" si="49"/>
        <v>649.73546989647616</v>
      </c>
      <c r="M145" s="142">
        <f t="shared" si="49"/>
        <v>658.21627685153067</v>
      </c>
      <c r="N145" s="142">
        <f t="shared" si="49"/>
        <v>401.38916877551083</v>
      </c>
      <c r="O145" s="142">
        <f t="shared" si="49"/>
        <v>157.51160514237358</v>
      </c>
      <c r="P145" s="142">
        <f t="shared" si="49"/>
        <v>169.49697926790435</v>
      </c>
      <c r="Q145" s="142">
        <f t="shared" si="49"/>
        <v>181.35082845813326</v>
      </c>
      <c r="R145" s="142">
        <f t="shared" si="49"/>
        <v>193.12420114799235</v>
      </c>
      <c r="S145" s="142">
        <f t="shared" si="49"/>
        <v>197.84644044696822</v>
      </c>
      <c r="T145" s="142">
        <f t="shared" si="49"/>
        <v>203.54895497056268</v>
      </c>
      <c r="U145" s="142">
        <f t="shared" si="49"/>
        <v>208.00443253287267</v>
      </c>
      <c r="V145" s="142">
        <f t="shared" si="49"/>
        <v>212.10155739910891</v>
      </c>
      <c r="W145" s="142">
        <f t="shared" si="49"/>
        <v>224.45463932990361</v>
      </c>
      <c r="X145" s="142">
        <f t="shared" si="49"/>
        <v>-56.077595681682183</v>
      </c>
      <c r="Y145" s="142">
        <f t="shared" si="49"/>
        <v>0</v>
      </c>
      <c r="AA145" s="355">
        <f t="shared" si="28"/>
        <v>6946.6133072934354</v>
      </c>
      <c r="AB145" s="356">
        <f t="shared" si="41"/>
        <v>6946.6133072934354</v>
      </c>
    </row>
    <row r="146" spans="1:28" s="128" customFormat="1">
      <c r="AA146" s="355">
        <f t="shared" si="28"/>
        <v>0</v>
      </c>
      <c r="AB146" s="356">
        <f t="shared" si="41"/>
        <v>0</v>
      </c>
    </row>
    <row r="147" spans="1:28" s="128" customFormat="1">
      <c r="AA147" s="355">
        <f t="shared" si="28"/>
        <v>0</v>
      </c>
      <c r="AB147" s="356">
        <f t="shared" si="41"/>
        <v>0</v>
      </c>
    </row>
    <row r="148" spans="1:28" s="128" customFormat="1">
      <c r="AA148" s="355">
        <f t="shared" si="28"/>
        <v>0</v>
      </c>
      <c r="AB148" s="356">
        <f t="shared" si="41"/>
        <v>0</v>
      </c>
    </row>
    <row r="149" spans="1:28" s="128" customFormat="1">
      <c r="A149" s="105" t="s">
        <v>110</v>
      </c>
      <c r="AA149" s="355">
        <f t="shared" si="28"/>
        <v>0</v>
      </c>
      <c r="AB149" s="356">
        <f t="shared" si="41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0</v>
      </c>
      <c r="G150" s="129">
        <f t="shared" ref="G150:Y150" si="50">G142</f>
        <v>0</v>
      </c>
      <c r="H150" s="129">
        <f t="shared" si="50"/>
        <v>0</v>
      </c>
      <c r="I150" s="129">
        <f t="shared" si="50"/>
        <v>0</v>
      </c>
      <c r="J150" s="129">
        <f t="shared" si="50"/>
        <v>0</v>
      </c>
      <c r="K150" s="129">
        <f t="shared" si="50"/>
        <v>0</v>
      </c>
      <c r="L150" s="129">
        <f t="shared" si="50"/>
        <v>0</v>
      </c>
      <c r="M150" s="129">
        <f t="shared" si="50"/>
        <v>0</v>
      </c>
      <c r="N150" s="129">
        <f t="shared" si="50"/>
        <v>0</v>
      </c>
      <c r="O150" s="129">
        <f t="shared" si="50"/>
        <v>0</v>
      </c>
      <c r="P150" s="129">
        <f t="shared" si="50"/>
        <v>0</v>
      </c>
      <c r="Q150" s="129">
        <f t="shared" si="50"/>
        <v>0</v>
      </c>
      <c r="R150" s="129">
        <f t="shared" si="50"/>
        <v>0</v>
      </c>
      <c r="S150" s="129">
        <f t="shared" si="50"/>
        <v>0</v>
      </c>
      <c r="T150" s="129">
        <f t="shared" si="50"/>
        <v>0</v>
      </c>
      <c r="U150" s="129">
        <f t="shared" si="50"/>
        <v>0</v>
      </c>
      <c r="V150" s="129">
        <f t="shared" si="50"/>
        <v>0</v>
      </c>
      <c r="W150" s="129">
        <f t="shared" si="50"/>
        <v>0</v>
      </c>
      <c r="X150" s="129">
        <f t="shared" si="50"/>
        <v>0</v>
      </c>
      <c r="Y150" s="129">
        <f t="shared" si="50"/>
        <v>0</v>
      </c>
      <c r="AA150" s="355">
        <f t="shared" si="28"/>
        <v>0</v>
      </c>
      <c r="AB150" s="356">
        <f t="shared" si="41"/>
        <v>0</v>
      </c>
    </row>
    <row r="151" spans="1:28" s="128" customFormat="1">
      <c r="A151" s="128" t="s">
        <v>111</v>
      </c>
      <c r="F151" s="182">
        <v>0</v>
      </c>
      <c r="G151" s="182">
        <v>0</v>
      </c>
      <c r="H151" s="182">
        <v>0</v>
      </c>
      <c r="I151" s="182">
        <v>0</v>
      </c>
      <c r="J151" s="182">
        <v>0</v>
      </c>
      <c r="K151" s="182">
        <v>0</v>
      </c>
      <c r="L151" s="182">
        <v>0</v>
      </c>
      <c r="M151" s="182">
        <v>0</v>
      </c>
      <c r="N151" s="182">
        <v>0</v>
      </c>
      <c r="O151" s="182">
        <v>0</v>
      </c>
      <c r="P151" s="182">
        <v>0</v>
      </c>
      <c r="Q151" s="182">
        <v>0</v>
      </c>
      <c r="R151" s="182">
        <v>0</v>
      </c>
      <c r="S151" s="182">
        <v>0</v>
      </c>
      <c r="T151" s="182">
        <v>0</v>
      </c>
      <c r="U151" s="182">
        <v>0</v>
      </c>
      <c r="V151" s="182">
        <v>0</v>
      </c>
      <c r="W151" s="182">
        <v>0</v>
      </c>
      <c r="X151" s="182">
        <v>0</v>
      </c>
      <c r="Y151" s="182">
        <v>0</v>
      </c>
      <c r="AA151" s="355">
        <f t="shared" si="28"/>
        <v>0</v>
      </c>
      <c r="AB151" s="356">
        <f t="shared" si="41"/>
        <v>0</v>
      </c>
    </row>
    <row r="152" spans="1:28" s="128" customFormat="1">
      <c r="F152" s="129">
        <f>F150+F151</f>
        <v>0</v>
      </c>
      <c r="G152" s="129">
        <f t="shared" ref="G152:Y152" si="51">G150+G151</f>
        <v>0</v>
      </c>
      <c r="H152" s="129">
        <f t="shared" si="51"/>
        <v>0</v>
      </c>
      <c r="I152" s="129">
        <f t="shared" si="51"/>
        <v>0</v>
      </c>
      <c r="J152" s="129">
        <f t="shared" si="51"/>
        <v>0</v>
      </c>
      <c r="K152" s="129">
        <f t="shared" si="51"/>
        <v>0</v>
      </c>
      <c r="L152" s="129">
        <f t="shared" si="51"/>
        <v>0</v>
      </c>
      <c r="M152" s="129">
        <f t="shared" si="51"/>
        <v>0</v>
      </c>
      <c r="N152" s="129">
        <f t="shared" si="51"/>
        <v>0</v>
      </c>
      <c r="O152" s="129">
        <f t="shared" si="51"/>
        <v>0</v>
      </c>
      <c r="P152" s="129">
        <f t="shared" si="51"/>
        <v>0</v>
      </c>
      <c r="Q152" s="129">
        <f t="shared" si="51"/>
        <v>0</v>
      </c>
      <c r="R152" s="129">
        <f t="shared" si="51"/>
        <v>0</v>
      </c>
      <c r="S152" s="129">
        <f t="shared" si="51"/>
        <v>0</v>
      </c>
      <c r="T152" s="129">
        <f t="shared" si="51"/>
        <v>0</v>
      </c>
      <c r="U152" s="129">
        <f t="shared" si="51"/>
        <v>0</v>
      </c>
      <c r="V152" s="129">
        <f t="shared" si="51"/>
        <v>0</v>
      </c>
      <c r="W152" s="129">
        <f t="shared" si="51"/>
        <v>0</v>
      </c>
      <c r="X152" s="129">
        <f t="shared" si="51"/>
        <v>0</v>
      </c>
      <c r="Y152" s="129">
        <f t="shared" si="51"/>
        <v>0</v>
      </c>
      <c r="AA152" s="355">
        <f t="shared" si="28"/>
        <v>0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0</v>
      </c>
    </row>
    <row r="156" spans="1:28" s="128" customFormat="1" ht="13.5" thickBot="1">
      <c r="A156" s="128" t="s">
        <v>48</v>
      </c>
      <c r="C156" s="152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9202.4254532619434</v>
      </c>
    </row>
    <row r="161" spans="1:25" s="128" customFormat="1">
      <c r="A161" s="108" t="s">
        <v>74</v>
      </c>
      <c r="B161" s="109"/>
      <c r="C161" s="109"/>
      <c r="D161" s="183">
        <v>0</v>
      </c>
      <c r="F161" s="150"/>
    </row>
    <row r="162" spans="1:25" s="128" customFormat="1">
      <c r="A162" s="108" t="s">
        <v>75</v>
      </c>
      <c r="B162" s="109"/>
      <c r="C162" s="109"/>
      <c r="D162" s="111">
        <f>C155-D161</f>
        <v>0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9202.4254532619434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5" t="s">
        <v>156</v>
      </c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 t="s">
        <v>216</v>
      </c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/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/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17"/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17"/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/>
      <c r="B175" s="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17"/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/>
      <c r="B177" s="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/>
      <c r="B178" s="17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/>
      <c r="B179" s="1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17"/>
      <c r="B180" s="1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17"/>
      <c r="B181" s="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17"/>
      <c r="B182" s="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/>
      <c r="B183" s="17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3.5" outlineLevel="1">
      <c r="A184" s="97"/>
      <c r="B184" s="6"/>
      <c r="C184" s="6"/>
      <c r="D184" s="31"/>
      <c r="E184" s="6"/>
      <c r="F184" s="6"/>
      <c r="G184" s="31"/>
      <c r="H184" s="6"/>
      <c r="I184" s="6"/>
      <c r="J184" s="6"/>
      <c r="K184" s="6"/>
      <c r="L184" s="6"/>
      <c r="M184" s="6"/>
      <c r="N184" s="6"/>
      <c r="O184" s="6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17"/>
      <c r="B185" s="6"/>
      <c r="C185" s="33"/>
      <c r="D185" s="31"/>
      <c r="E185" s="31"/>
      <c r="F185" s="31"/>
      <c r="G185" s="184"/>
      <c r="H185" s="185"/>
      <c r="I185" s="185"/>
      <c r="J185" s="185"/>
      <c r="K185" s="185"/>
      <c r="L185" s="185"/>
      <c r="M185" s="185"/>
      <c r="N185" s="185"/>
      <c r="O185" s="185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17"/>
      <c r="B186" s="36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36"/>
      <c r="B187" s="36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36"/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36"/>
      <c r="B189" s="6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6"/>
      <c r="B190" s="1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17"/>
      <c r="B191" s="1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1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6"/>
      <c r="B194" s="1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17"/>
      <c r="B195" s="6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38"/>
      <c r="B196" s="6"/>
      <c r="C196" s="6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40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39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8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40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" customHeight="1" outlineLevel="1">
      <c r="A219" s="40"/>
      <c r="B219" s="6"/>
      <c r="C219" s="6"/>
      <c r="D219" s="6"/>
      <c r="E219" s="27"/>
      <c r="F219" s="27"/>
      <c r="G219" s="2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4.25" customHeight="1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outlineLevel="1">
      <c r="A223" s="40"/>
      <c r="B223" s="6"/>
      <c r="C223" s="6"/>
      <c r="D223" s="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outlineLevel="1">
      <c r="A224" s="42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27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6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17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6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6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3"/>
      <c r="B236" s="3"/>
      <c r="C236" s="3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outlineLevel="1">
      <c r="A237" s="40"/>
      <c r="B237" s="6"/>
      <c r="C237" s="6"/>
      <c r="D237" s="6"/>
      <c r="E237" s="27"/>
      <c r="F237" s="27"/>
      <c r="G237" s="2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outlineLevel="1">
      <c r="A238" s="39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8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27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40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39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20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27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40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27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40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39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40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39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8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8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40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9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39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8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40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6"/>
      <c r="B279" s="6"/>
      <c r="C279" s="6"/>
      <c r="D279" s="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outlineLevel="1">
      <c r="A280" s="6"/>
      <c r="B280" s="6"/>
      <c r="C280" s="6"/>
      <c r="D280" s="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6"/>
      <c r="B281" s="6"/>
      <c r="C281" s="6"/>
      <c r="D281" s="6"/>
      <c r="E281" s="6"/>
      <c r="F281" s="6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3"/>
      <c r="B282" s="3"/>
      <c r="C282" s="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outlineLevel="1">
      <c r="A283" s="17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17"/>
      <c r="B284" s="43"/>
      <c r="C284" s="4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17"/>
      <c r="B287" s="17"/>
      <c r="C287" s="17"/>
      <c r="D287" s="1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44"/>
      <c r="B288" s="17"/>
      <c r="C288" s="17"/>
      <c r="D288" s="17"/>
      <c r="E288" s="45"/>
      <c r="F288" s="45"/>
      <c r="G288" s="45"/>
      <c r="H288" s="45"/>
      <c r="I288" s="45"/>
      <c r="J288" s="45"/>
      <c r="K288" s="45"/>
      <c r="L288" s="45"/>
      <c r="M288" s="6"/>
      <c r="N288" s="4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17"/>
      <c r="C289" s="17"/>
      <c r="D289" s="17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3"/>
      <c r="C292" s="3"/>
      <c r="D292" s="3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6"/>
      <c r="B293" s="6"/>
      <c r="C293" s="6"/>
      <c r="D293" s="6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17"/>
      <c r="B294" s="17"/>
      <c r="C294" s="17"/>
      <c r="D294" s="17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44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17"/>
      <c r="B306" s="17"/>
      <c r="C306" s="17"/>
      <c r="D306" s="17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17"/>
      <c r="B309" s="17"/>
      <c r="C309" s="17"/>
      <c r="D309" s="17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17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6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46"/>
      <c r="C312" s="46"/>
      <c r="D312" s="46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17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44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17"/>
      <c r="B315" s="17"/>
      <c r="C315" s="17"/>
      <c r="D315" s="17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6"/>
      <c r="B316" s="6"/>
      <c r="C316" s="6"/>
      <c r="D316" s="6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17"/>
      <c r="B317" s="17"/>
      <c r="C317" s="17"/>
      <c r="D317" s="17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6"/>
      <c r="C323" s="6"/>
      <c r="D323" s="6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17"/>
      <c r="B324" s="17"/>
      <c r="C324" s="17"/>
      <c r="D324" s="17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17"/>
      <c r="B325" s="17"/>
      <c r="C325" s="17"/>
      <c r="D325" s="17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6"/>
      <c r="B326" s="6"/>
      <c r="C326" s="6"/>
      <c r="D326" s="6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47"/>
      <c r="C327" s="47"/>
      <c r="D327" s="6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43"/>
      <c r="C328" s="43"/>
      <c r="D328" s="43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48"/>
      <c r="C330" s="48"/>
      <c r="D330" s="6"/>
      <c r="E330" s="6"/>
      <c r="F330" s="6"/>
      <c r="G330" s="20"/>
      <c r="H330" s="20"/>
      <c r="I330" s="20"/>
      <c r="J330" s="20"/>
      <c r="K330" s="20"/>
      <c r="L330" s="2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6"/>
      <c r="C331" s="6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s="187" customFormat="1" outlineLevel="1">
      <c r="A339" s="186"/>
    </row>
    <row r="340" spans="1:25" outlineLevel="1">
      <c r="A340" s="1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outlineLevel="1">
      <c r="A341" s="17"/>
      <c r="B341" s="6"/>
      <c r="C341" s="6"/>
      <c r="D341" s="6"/>
      <c r="E341" s="6"/>
      <c r="F341" s="6"/>
      <c r="G341" s="51"/>
      <c r="H341" s="51"/>
      <c r="I341" s="51"/>
      <c r="J341" s="51"/>
      <c r="K341" s="51"/>
      <c r="L341" s="5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7"/>
      <c r="B342" s="6"/>
      <c r="C342" s="6"/>
      <c r="D342" s="6"/>
      <c r="E342" s="6"/>
      <c r="F342" s="6"/>
      <c r="G342" s="51"/>
      <c r="H342" s="51"/>
      <c r="I342" s="51"/>
      <c r="J342" s="51"/>
      <c r="K342" s="51"/>
      <c r="L342" s="5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6"/>
      <c r="B343" s="52"/>
      <c r="C343" s="52"/>
      <c r="D343" s="52"/>
      <c r="E343" s="6"/>
      <c r="F343" s="6"/>
      <c r="G343" s="53"/>
      <c r="H343" s="53"/>
      <c r="I343" s="53"/>
      <c r="J343" s="53"/>
      <c r="K343" s="53"/>
      <c r="L343" s="5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7"/>
      <c r="B344" s="56"/>
      <c r="C344" s="56"/>
      <c r="D344" s="5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18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88"/>
      <c r="B346" s="6"/>
      <c r="C346" s="6"/>
      <c r="D346" s="6"/>
      <c r="E346" s="6"/>
      <c r="F346" s="6"/>
      <c r="G346" s="20"/>
      <c r="H346" s="20"/>
      <c r="I346" s="20"/>
      <c r="J346" s="20"/>
      <c r="K346" s="20"/>
      <c r="L346" s="2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88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88"/>
      <c r="B350" s="6"/>
      <c r="C350" s="6"/>
      <c r="D350" s="6"/>
      <c r="E350" s="6"/>
      <c r="F350" s="6"/>
      <c r="G350" s="51"/>
      <c r="H350" s="51"/>
      <c r="I350" s="51"/>
      <c r="J350" s="51"/>
      <c r="K350" s="51"/>
      <c r="L350" s="5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7"/>
      <c r="B351" s="6"/>
      <c r="C351" s="6"/>
      <c r="D351" s="6"/>
      <c r="E351" s="6"/>
      <c r="F351" s="6"/>
      <c r="G351" s="56"/>
      <c r="H351" s="56"/>
      <c r="I351" s="56"/>
      <c r="J351" s="56"/>
      <c r="K351" s="56"/>
      <c r="L351" s="5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88"/>
      <c r="B352" s="14"/>
      <c r="C352" s="14"/>
      <c r="D352" s="14"/>
      <c r="E352" s="6"/>
      <c r="F352" s="6"/>
      <c r="G352" s="189"/>
      <c r="H352" s="189"/>
      <c r="I352" s="189"/>
      <c r="J352" s="189"/>
      <c r="K352" s="189"/>
      <c r="L352" s="18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88"/>
      <c r="B353" s="6"/>
      <c r="C353" s="6"/>
      <c r="D353" s="6"/>
      <c r="E353" s="6"/>
      <c r="F353" s="6"/>
      <c r="G353" s="189"/>
      <c r="H353" s="189"/>
      <c r="I353" s="189"/>
      <c r="J353" s="189"/>
      <c r="K353" s="189"/>
      <c r="L353" s="18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188"/>
      <c r="B354" s="6"/>
      <c r="C354" s="6"/>
      <c r="D354" s="6"/>
      <c r="E354" s="6"/>
      <c r="F354" s="6"/>
      <c r="G354" s="189"/>
      <c r="H354" s="189"/>
      <c r="I354" s="189"/>
      <c r="J354" s="189"/>
      <c r="K354" s="189"/>
      <c r="L354" s="18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188"/>
      <c r="B355" s="6"/>
      <c r="C355" s="6"/>
      <c r="D355" s="6"/>
      <c r="E355" s="6"/>
      <c r="F355" s="6"/>
      <c r="G355" s="189"/>
      <c r="H355" s="189"/>
      <c r="I355" s="189"/>
      <c r="J355" s="189"/>
      <c r="K355" s="189"/>
      <c r="L355" s="18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188"/>
      <c r="B356" s="6"/>
      <c r="C356" s="6"/>
      <c r="D356" s="6"/>
      <c r="E356" s="6"/>
      <c r="F356" s="6"/>
      <c r="G356" s="56"/>
      <c r="H356" s="56"/>
      <c r="I356" s="56"/>
      <c r="J356" s="56"/>
      <c r="K356" s="56"/>
      <c r="L356" s="5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6"/>
      <c r="B358" s="6"/>
      <c r="C358" s="6"/>
      <c r="D358" s="6"/>
      <c r="E358" s="6"/>
      <c r="F358" s="6"/>
      <c r="G358" s="20"/>
      <c r="H358" s="20"/>
      <c r="I358" s="20"/>
      <c r="J358" s="20"/>
      <c r="K358" s="20"/>
      <c r="L358" s="2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20"/>
      <c r="F361" s="20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51"/>
      <c r="H364" s="51"/>
      <c r="I364" s="51"/>
      <c r="J364" s="51"/>
      <c r="K364" s="51"/>
      <c r="L364" s="5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188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188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188"/>
      <c r="B367" s="6"/>
      <c r="C367" s="6"/>
      <c r="D367" s="6"/>
      <c r="E367" s="20"/>
      <c r="F367" s="20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6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17"/>
      <c r="B375" s="6"/>
      <c r="C375" s="6"/>
      <c r="D375" s="6"/>
      <c r="E375" s="59"/>
      <c r="F375" s="59"/>
      <c r="G375" s="59"/>
      <c r="H375" s="59"/>
      <c r="I375" s="59"/>
      <c r="J375" s="59"/>
      <c r="K375" s="59"/>
      <c r="L375" s="5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14"/>
      <c r="E376" s="20"/>
      <c r="F376" s="20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59"/>
      <c r="F377" s="59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6"/>
      <c r="E378" s="6"/>
      <c r="F378" s="6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45"/>
      <c r="H383" s="45"/>
      <c r="I383" s="45"/>
      <c r="J383" s="45"/>
      <c r="K383" s="45"/>
      <c r="L383" s="4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59"/>
      <c r="H384" s="59"/>
      <c r="I384" s="59"/>
      <c r="J384" s="59"/>
      <c r="K384" s="59"/>
      <c r="L384" s="5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30" outlineLevel="1">
      <c r="A385" s="6"/>
      <c r="B385" s="6"/>
      <c r="C385" s="6"/>
      <c r="D385" s="6"/>
      <c r="E385" s="6"/>
      <c r="F385" s="6"/>
      <c r="G385" s="45"/>
      <c r="H385" s="45"/>
      <c r="I385" s="45"/>
      <c r="J385" s="45"/>
      <c r="K385" s="45"/>
      <c r="L385" s="4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30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30" outlineLevel="1">
      <c r="A387" s="6"/>
      <c r="B387" s="6"/>
      <c r="C387" s="6"/>
      <c r="D387" s="6"/>
      <c r="E387" s="6"/>
      <c r="F387" s="6"/>
      <c r="G387" s="45"/>
      <c r="H387" s="45"/>
      <c r="I387" s="45"/>
      <c r="J387" s="45"/>
      <c r="K387" s="45"/>
      <c r="L387" s="4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30" outlineLevel="1">
      <c r="A388" s="6"/>
      <c r="B388" s="6"/>
      <c r="C388" s="6"/>
      <c r="D388" s="6"/>
      <c r="E388" s="6"/>
      <c r="F388" s="6"/>
      <c r="G388" s="61"/>
      <c r="H388" s="61"/>
      <c r="I388" s="61"/>
      <c r="J388" s="61"/>
      <c r="K388" s="61"/>
      <c r="L388" s="6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30" outlineLevel="1">
      <c r="A389" s="6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30" hidden="1" outlineLevel="2">
      <c r="A390" s="17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30" hidden="1" outlineLevel="2">
      <c r="A391" s="17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30" hidden="1" outlineLevel="2">
      <c r="A392" s="6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30" hidden="1" outlineLevel="2">
      <c r="A393" s="17"/>
      <c r="B393" s="9"/>
      <c r="C393" s="9"/>
      <c r="D393" s="9"/>
      <c r="E393" s="10"/>
      <c r="F393" s="10"/>
      <c r="G393" s="10"/>
      <c r="H393" s="9"/>
      <c r="I393" s="9"/>
      <c r="J393" s="10"/>
      <c r="K393" s="10"/>
      <c r="L393" s="9"/>
      <c r="M393" s="10"/>
      <c r="N393" s="10"/>
      <c r="O393" s="10"/>
      <c r="P393" s="9"/>
      <c r="Q393" s="10"/>
      <c r="R393" s="10"/>
      <c r="S393" s="6"/>
      <c r="T393" s="6"/>
      <c r="U393" s="6"/>
      <c r="V393" s="6"/>
      <c r="W393" s="6"/>
      <c r="X393" s="10"/>
      <c r="Y393" s="6"/>
    </row>
    <row r="394" spans="1:30" hidden="1" outlineLevel="2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30" hidden="1" outlineLevel="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30" hidden="1" outlineLevel="2">
      <c r="A396" s="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6"/>
      <c r="T396" s="6"/>
      <c r="U396" s="6"/>
      <c r="V396" s="6"/>
      <c r="W396" s="6"/>
      <c r="X396" s="45"/>
      <c r="Y396" s="6"/>
    </row>
    <row r="397" spans="1:30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30" hidden="1" outlineLevel="2">
      <c r="A398" s="6"/>
      <c r="B398" s="59"/>
      <c r="C398" s="59"/>
      <c r="D398" s="59"/>
      <c r="E398" s="59"/>
      <c r="F398" s="59"/>
      <c r="G398" s="59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30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30" hidden="1" outlineLevel="2">
      <c r="A400" s="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45"/>
      <c r="Z400" s="45"/>
      <c r="AA400" s="45"/>
      <c r="AB400" s="45"/>
      <c r="AC400" s="45"/>
      <c r="AD400" s="45"/>
    </row>
    <row r="401" spans="1:25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6"/>
    </row>
    <row r="403" spans="1:25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idden="1" outlineLevel="2">
      <c r="A404" s="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6"/>
      <c r="T404" s="6"/>
      <c r="U404" s="6"/>
      <c r="V404" s="6"/>
      <c r="W404" s="6"/>
      <c r="X404" s="45"/>
      <c r="Y404" s="45"/>
    </row>
    <row r="405" spans="1:25" hidden="1" outlineLevel="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idden="1" outlineLevel="2">
      <c r="A406" s="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6"/>
      <c r="T406" s="6"/>
      <c r="U406" s="6"/>
      <c r="V406" s="6"/>
      <c r="W406" s="6"/>
      <c r="X406" s="45"/>
      <c r="Y406" s="45"/>
    </row>
    <row r="407" spans="1:25" hidden="1" outlineLevel="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1" collapsed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1">
      <c r="A411" s="3"/>
      <c r="B411" s="3"/>
      <c r="C411" s="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outlineLevel="1">
      <c r="A412" s="17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outlineLevel="1">
      <c r="A413" s="17"/>
      <c r="B413" s="43"/>
      <c r="C413" s="4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outlineLevel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outlineLevel="1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outlineLevel="1">
      <c r="A416" s="17"/>
      <c r="B416" s="17"/>
      <c r="C416" s="1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>
      <c r="A417" s="44"/>
      <c r="B417" s="17"/>
      <c r="C417" s="17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outlineLevel="1">
      <c r="A418" s="44"/>
      <c r="B418" s="17"/>
      <c r="C418" s="17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3"/>
      <c r="C421" s="3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6"/>
      <c r="B422" s="6"/>
      <c r="C422" s="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17"/>
      <c r="B423" s="17"/>
      <c r="C423" s="17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44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17"/>
      <c r="B435" s="17"/>
      <c r="C435" s="17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6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17"/>
      <c r="B439" s="17"/>
      <c r="C439" s="17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6"/>
      <c r="B440" s="6"/>
      <c r="C440" s="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17"/>
      <c r="B441" s="17"/>
      <c r="C441" s="17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6"/>
      <c r="C445" s="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17"/>
      <c r="B446" s="17"/>
      <c r="C446" s="17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17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44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3"/>
      <c r="B453" s="46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17"/>
      <c r="B454" s="17"/>
      <c r="C454" s="17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6"/>
      <c r="B455" s="6"/>
      <c r="C455" s="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43"/>
      <c r="C456" s="43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3"/>
      <c r="B461" s="3"/>
      <c r="C461" s="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17"/>
      <c r="B462" s="17"/>
      <c r="C462" s="1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17"/>
      <c r="B463" s="43"/>
      <c r="C463" s="4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6"/>
      <c r="T465" s="6"/>
      <c r="U465" s="6"/>
      <c r="V465" s="6"/>
      <c r="W465" s="6"/>
      <c r="X465" s="6"/>
      <c r="Y465" s="6"/>
    </row>
    <row r="466" spans="1:25" outlineLevel="1">
      <c r="A466" s="17"/>
      <c r="B466" s="17"/>
      <c r="C466" s="17"/>
      <c r="D466" s="1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outlineLevel="1">
      <c r="A467" s="44"/>
      <c r="B467" s="17"/>
      <c r="C467" s="17"/>
      <c r="D467" s="17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17"/>
      <c r="C468" s="17"/>
      <c r="D468" s="17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44"/>
      <c r="C469" s="44"/>
      <c r="D469" s="44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44"/>
      <c r="C470" s="44"/>
      <c r="D470" s="44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3"/>
      <c r="C471" s="3"/>
      <c r="D471" s="3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3"/>
      <c r="C472" s="3"/>
      <c r="D472" s="3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17"/>
      <c r="B473" s="17"/>
      <c r="C473" s="17"/>
      <c r="D473" s="17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17"/>
      <c r="C474" s="17"/>
      <c r="D474" s="17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44"/>
      <c r="C484" s="44"/>
      <c r="D484" s="44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44"/>
      <c r="C485" s="44"/>
      <c r="D485" s="44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17"/>
      <c r="B486" s="17"/>
      <c r="C486" s="17"/>
      <c r="D486" s="17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6"/>
      <c r="B487" s="17"/>
      <c r="C487" s="17"/>
      <c r="D487" s="17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44"/>
      <c r="B488" s="44"/>
      <c r="C488" s="44"/>
      <c r="D488" s="44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17"/>
      <c r="B489" s="17"/>
      <c r="C489" s="17"/>
      <c r="D489" s="17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44"/>
      <c r="B490" s="46"/>
      <c r="C490" s="46"/>
      <c r="D490" s="46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43"/>
      <c r="C494" s="43"/>
      <c r="D494" s="43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6"/>
      <c r="T498" s="6"/>
      <c r="U498" s="6"/>
      <c r="V498" s="6"/>
      <c r="W498" s="6"/>
      <c r="X498" s="6"/>
      <c r="Y498" s="6"/>
    </row>
    <row r="499" spans="1:25" outlineLevel="1">
      <c r="A499" s="6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</row>
    <row r="500" spans="1:25" outlineLevel="1">
      <c r="A500" s="6"/>
      <c r="B500" s="45"/>
      <c r="C500" s="45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spans="1:25" outlineLevel="1">
      <c r="A501" s="6"/>
      <c r="B501" s="43"/>
      <c r="C501" s="43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3"/>
      <c r="C502" s="43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6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17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6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6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17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17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6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6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outlineLevel="1">
      <c r="A514" s="6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outlineLevel="1">
      <c r="A515" s="6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outlineLevel="1">
      <c r="A516" s="6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spans="1:25" outlineLevel="1">
      <c r="A517" s="6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6"/>
      <c r="T517" s="6"/>
      <c r="U517" s="6"/>
      <c r="V517" s="6"/>
      <c r="W517" s="6"/>
      <c r="X517" s="6"/>
      <c r="Y517" s="6"/>
    </row>
    <row r="518" spans="1:25" outlineLevel="1">
      <c r="A518" s="17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6"/>
      <c r="F522" s="6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6"/>
      <c r="T522" s="6"/>
      <c r="U522" s="6"/>
      <c r="V522" s="6"/>
      <c r="W522" s="6"/>
      <c r="X522" s="6"/>
      <c r="Y522" s="6"/>
    </row>
    <row r="523" spans="1:25" outlineLevel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outlineLevel="1">
      <c r="A529" s="6"/>
      <c r="B529" s="6"/>
      <c r="C529" s="6"/>
      <c r="D529" s="6"/>
      <c r="E529" s="6"/>
      <c r="F529" s="6"/>
      <c r="G529" s="3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outlineLevel="1">
      <c r="A530" s="17"/>
      <c r="B530" s="6"/>
      <c r="C530" s="6"/>
      <c r="D530" s="6"/>
      <c r="E530" s="6"/>
      <c r="F530" s="6"/>
      <c r="G530" s="31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6"/>
      <c r="T530" s="6"/>
      <c r="U530" s="6"/>
      <c r="V530" s="6"/>
      <c r="W530" s="6"/>
      <c r="X530" s="6"/>
      <c r="Y530" s="6"/>
    </row>
    <row r="531" spans="1:25" outlineLevel="1">
      <c r="A531" s="6"/>
      <c r="B531" s="6"/>
      <c r="C531" s="6"/>
      <c r="D531" s="6"/>
      <c r="E531" s="6"/>
      <c r="F531" s="6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188"/>
      <c r="B535" s="6"/>
      <c r="C535" s="6"/>
      <c r="D535" s="6"/>
      <c r="E535" s="6"/>
      <c r="F535" s="6"/>
      <c r="G535" s="3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6"/>
      <c r="T535" s="6"/>
      <c r="U535" s="6"/>
      <c r="V535" s="6"/>
      <c r="W535" s="6"/>
      <c r="X535" s="6"/>
      <c r="Y535" s="6"/>
    </row>
    <row r="536" spans="1:25" outlineLevel="1">
      <c r="A536" s="188"/>
      <c r="B536" s="6"/>
      <c r="C536" s="6"/>
      <c r="D536" s="6"/>
      <c r="E536" s="6"/>
      <c r="F536" s="6"/>
      <c r="G536" s="3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6"/>
      <c r="T536" s="6"/>
      <c r="U536" s="6"/>
      <c r="V536" s="6"/>
      <c r="W536" s="6"/>
      <c r="X536" s="6"/>
      <c r="Y536" s="6"/>
    </row>
    <row r="537" spans="1:25" outlineLevel="1">
      <c r="A537" s="17"/>
      <c r="B537" s="6"/>
      <c r="C537" s="6"/>
      <c r="D537" s="6"/>
      <c r="E537" s="6"/>
      <c r="F537" s="6"/>
      <c r="G537" s="3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outlineLevel="1">
      <c r="A538" s="6"/>
      <c r="B538" s="6"/>
      <c r="C538" s="6"/>
      <c r="D538" s="6"/>
      <c r="E538" s="6"/>
      <c r="F538" s="6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3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17"/>
      <c r="B540" s="6"/>
      <c r="C540" s="6"/>
      <c r="D540" s="6"/>
      <c r="E540" s="6"/>
      <c r="F540" s="6"/>
      <c r="G540" s="31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6"/>
      <c r="T540" s="6"/>
      <c r="U540" s="6"/>
      <c r="V540" s="6"/>
      <c r="W540" s="6"/>
      <c r="X540" s="6"/>
      <c r="Y540" s="6"/>
    </row>
    <row r="541" spans="1:25" outlineLevel="1">
      <c r="A541" s="6"/>
      <c r="B541" s="14"/>
      <c r="C541" s="14"/>
      <c r="D541" s="6"/>
      <c r="E541" s="6"/>
      <c r="F541" s="6"/>
      <c r="G541" s="3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6"/>
      <c r="T541" s="6"/>
      <c r="U541" s="6"/>
      <c r="V541" s="6"/>
      <c r="W541" s="6"/>
      <c r="X541" s="6"/>
      <c r="Y541" s="6"/>
    </row>
    <row r="542" spans="1:25" outlineLevel="1">
      <c r="A542" s="17"/>
      <c r="B542" s="6"/>
      <c r="C542" s="6"/>
      <c r="D542" s="6"/>
      <c r="E542" s="6"/>
      <c r="F542" s="6"/>
      <c r="G542" s="3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outlineLevel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s="67" customFormat="1" outlineLevel="1">
      <c r="A545" s="66"/>
      <c r="B545" s="66"/>
      <c r="C545" s="66"/>
      <c r="D545" s="66"/>
      <c r="E545" s="66"/>
      <c r="F545" s="66"/>
      <c r="G545" s="66"/>
    </row>
    <row r="546" spans="1:25" s="67" customFormat="1" outlineLevel="1">
      <c r="A546" s="66"/>
      <c r="B546" s="66"/>
      <c r="C546" s="66"/>
      <c r="D546" s="66"/>
      <c r="E546" s="66"/>
      <c r="F546" s="68"/>
      <c r="G546" s="69"/>
      <c r="H546" s="66"/>
      <c r="I546" s="70"/>
    </row>
    <row r="547" spans="1:25" s="67" customFormat="1" outlineLevel="1">
      <c r="A547" s="66"/>
      <c r="B547" s="69"/>
      <c r="C547" s="69"/>
      <c r="D547" s="69"/>
      <c r="E547" s="69"/>
      <c r="F547" s="71"/>
      <c r="G547" s="47"/>
      <c r="H547" s="47"/>
      <c r="I547" s="70"/>
    </row>
    <row r="548" spans="1:25" s="67" customFormat="1" outlineLevel="1">
      <c r="A548" s="66"/>
      <c r="B548" s="47"/>
      <c r="C548" s="47"/>
      <c r="D548" s="47"/>
      <c r="E548" s="47"/>
      <c r="F548" s="47"/>
      <c r="G548" s="70"/>
      <c r="H548" s="47"/>
      <c r="I548" s="71"/>
    </row>
    <row r="549" spans="1:25" s="67" customFormat="1" outlineLevel="1">
      <c r="A549" s="72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 spans="1:25" s="67" customFormat="1" outlineLevel="1">
      <c r="A550" s="40"/>
      <c r="B550" s="66"/>
      <c r="C550" s="66"/>
      <c r="D550" s="66"/>
      <c r="E550" s="66"/>
      <c r="F550" s="66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s="67" customFormat="1" outlineLevel="1">
      <c r="A551" s="39"/>
      <c r="B551" s="66"/>
      <c r="C551" s="66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74"/>
      <c r="C552" s="74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155"/>
      <c r="C553" s="155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8"/>
      <c r="B554" s="72"/>
      <c r="C554" s="72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27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40"/>
      <c r="B556" s="66"/>
      <c r="C556" s="66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76"/>
      <c r="B557" s="77"/>
      <c r="C557" s="7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42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40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39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39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40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39"/>
      <c r="B575" s="77"/>
      <c r="C575" s="7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 spans="1:25" s="67" customFormat="1" outlineLevel="1">
      <c r="A576" s="39"/>
      <c r="B576" s="80"/>
      <c r="C576" s="80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ht="13.9" customHeight="1" outlineLevel="1">
      <c r="A577" s="38"/>
      <c r="B577" s="80"/>
      <c r="C577" s="80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outlineLevel="1">
      <c r="A578" s="39"/>
      <c r="B578" s="74"/>
      <c r="C578" s="74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8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74"/>
      <c r="C581" s="74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74"/>
      <c r="C582" s="74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74"/>
      <c r="C583" s="74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40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40"/>
      <c r="B585" s="66"/>
      <c r="C585" s="66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39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39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82"/>
      <c r="C592" s="8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39"/>
      <c r="B593" s="82"/>
      <c r="C593" s="8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8"/>
      <c r="B594" s="80"/>
      <c r="C594" s="80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40"/>
      <c r="B595" s="66"/>
      <c r="C595" s="66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80"/>
      <c r="C598" s="80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outlineLevel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83"/>
      <c r="B606" s="6"/>
      <c r="C606" s="6"/>
      <c r="D606" s="6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3"/>
      <c r="B608" s="3"/>
      <c r="C608" s="3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idden="1" outlineLevel="2">
      <c r="A609" s="1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44"/>
      <c r="B610" s="6"/>
      <c r="C610" s="6"/>
      <c r="D610" s="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6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17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44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6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44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6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17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44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outlineLevel="1" collapsed="1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6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6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17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>
      <c r="A643" s="6"/>
      <c r="B643" s="6"/>
      <c r="C643" s="6"/>
      <c r="D643" s="6"/>
      <c r="E643" s="6"/>
      <c r="F643" s="6"/>
      <c r="G643" s="6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856"/>
  <sheetViews>
    <sheetView zoomScale="75" zoomScaleNormal="75" workbookViewId="0">
      <pane ySplit="6375" topLeftCell="A164"/>
      <selection activeCell="D20" sqref="D20"/>
      <selection pane="bottomLeft" activeCell="I169" sqref="I169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95</v>
      </c>
      <c r="C1" s="418">
        <v>15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AA10" s="355">
        <f t="shared" ref="AA10:AA38" si="1">SUM(F10:Y10)</f>
        <v>0</v>
      </c>
      <c r="AB10" s="356">
        <f>AA10*$C$60</f>
        <v>0</v>
      </c>
    </row>
    <row r="11" spans="1:28">
      <c r="A11" s="4" t="s">
        <v>8</v>
      </c>
      <c r="B11" s="9"/>
      <c r="C11" s="9"/>
      <c r="D11" s="86">
        <v>1</v>
      </c>
      <c r="E11" s="163">
        <f>[16]FINANCIALS!E$13</f>
        <v>4031.7425350920244</v>
      </c>
      <c r="F11" s="163">
        <f>[16]FINANCIALS!F$13</f>
        <v>3821.9619123665011</v>
      </c>
      <c r="G11" s="163">
        <f>[16]FINANCIALS!G$13</f>
        <v>3506.0822011237019</v>
      </c>
      <c r="H11" s="163">
        <f>[16]FINANCIALS!H$13</f>
        <v>3501.3279438987151</v>
      </c>
      <c r="I11" s="163">
        <f>[16]FINANCIALS!I$13</f>
        <v>3496.2660929267263</v>
      </c>
      <c r="J11" s="163">
        <f>[16]FINANCIALS!J$13</f>
        <v>3662.3441560469028</v>
      </c>
      <c r="K11" s="163">
        <f>[16]FINANCIALS!K$13</f>
        <v>3767.8703385789968</v>
      </c>
      <c r="L11" s="163">
        <f>[16]FINANCIALS!L$13</f>
        <v>3873.3965211110904</v>
      </c>
      <c r="M11" s="163">
        <f>[16]FINANCIALS!M$13</f>
        <v>3978.9227036431839</v>
      </c>
      <c r="N11" s="163">
        <f>[16]FINANCIALS!N$13</f>
        <v>4084.4488861752775</v>
      </c>
      <c r="O11" s="163">
        <f>[16]FINANCIALS!O$13</f>
        <v>4189.975068707372</v>
      </c>
      <c r="P11" s="163">
        <f>[16]FINANCIALS!P$13</f>
        <v>2751.0359995538279</v>
      </c>
      <c r="Q11" s="163">
        <f>[16]FINANCIALS!Q$13</f>
        <v>2776.2962134599779</v>
      </c>
      <c r="R11" s="163">
        <f>[16]FINANCIALS!R$13</f>
        <v>2801.556427366128</v>
      </c>
      <c r="S11" s="163">
        <f>[16]FINANCIALS!S$13</f>
        <v>2826.8166412722776</v>
      </c>
      <c r="T11" s="163">
        <f>[16]FINANCIALS!T$13</f>
        <v>2852.0768551784286</v>
      </c>
      <c r="U11" s="163">
        <f>[16]FINANCIALS!U$13</f>
        <v>3191.6321851165262</v>
      </c>
      <c r="V11" s="163">
        <f>[16]FINANCIALS!V$13</f>
        <v>0</v>
      </c>
      <c r="W11" s="163">
        <f>[16]FINANCIALS!W$13</f>
        <v>0</v>
      </c>
      <c r="X11" s="163">
        <f>[16]FINANCIALS!X$13</f>
        <v>0</v>
      </c>
      <c r="Y11" s="163">
        <f>[16]FINANCIALS!Y$13</f>
        <v>0</v>
      </c>
      <c r="AA11" s="355">
        <f t="shared" si="1"/>
        <v>55082.010146525645</v>
      </c>
      <c r="AB11" s="356">
        <f t="shared" ref="AB11:AB74" si="2">AA11*$C$60</f>
        <v>27541.005073262822</v>
      </c>
    </row>
    <row r="12" spans="1:28">
      <c r="A12" s="4" t="s">
        <v>9</v>
      </c>
      <c r="B12" s="9"/>
      <c r="C12" s="9"/>
      <c r="D12" s="86">
        <v>1</v>
      </c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AA12" s="355">
        <f t="shared" si="1"/>
        <v>0</v>
      </c>
      <c r="AB12" s="356">
        <f t="shared" si="2"/>
        <v>0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4031.7425350920244</v>
      </c>
      <c r="F20" s="86">
        <f t="shared" si="3"/>
        <v>3821.9619123665011</v>
      </c>
      <c r="G20" s="86">
        <f t="shared" si="3"/>
        <v>3506.0822011237019</v>
      </c>
      <c r="H20" s="86">
        <f t="shared" si="3"/>
        <v>3501.3279438987151</v>
      </c>
      <c r="I20" s="86">
        <f t="shared" si="3"/>
        <v>3496.2660929267263</v>
      </c>
      <c r="J20" s="86">
        <f t="shared" si="3"/>
        <v>3662.3441560469028</v>
      </c>
      <c r="K20" s="86">
        <f t="shared" si="3"/>
        <v>3767.8703385789968</v>
      </c>
      <c r="L20" s="86">
        <f t="shared" si="3"/>
        <v>3873.3965211110904</v>
      </c>
      <c r="M20" s="86">
        <f t="shared" si="3"/>
        <v>3978.9227036431839</v>
      </c>
      <c r="N20" s="86">
        <f t="shared" si="3"/>
        <v>4084.4488861752775</v>
      </c>
      <c r="O20" s="86">
        <f t="shared" si="3"/>
        <v>4189.975068707372</v>
      </c>
      <c r="P20" s="86">
        <f t="shared" si="3"/>
        <v>2751.0359995538279</v>
      </c>
      <c r="Q20" s="86">
        <f t="shared" si="3"/>
        <v>2776.2962134599779</v>
      </c>
      <c r="R20" s="86">
        <f t="shared" si="3"/>
        <v>2801.556427366128</v>
      </c>
      <c r="S20" s="86">
        <f t="shared" si="3"/>
        <v>2826.8166412722776</v>
      </c>
      <c r="T20" s="86">
        <f t="shared" si="3"/>
        <v>2852.0768551784286</v>
      </c>
      <c r="U20" s="86">
        <f t="shared" si="3"/>
        <v>3191.6321851165262</v>
      </c>
      <c r="V20" s="86">
        <f t="shared" si="3"/>
        <v>0</v>
      </c>
      <c r="W20" s="86">
        <f t="shared" si="3"/>
        <v>0</v>
      </c>
      <c r="X20" s="86">
        <f t="shared" si="3"/>
        <v>0</v>
      </c>
      <c r="Y20" s="86">
        <f t="shared" si="3"/>
        <v>0</v>
      </c>
      <c r="AA20" s="355">
        <f t="shared" si="1"/>
        <v>55082.010146525645</v>
      </c>
      <c r="AB20" s="356">
        <f t="shared" si="2"/>
        <v>27541.005073262822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108.96951649406144</v>
      </c>
      <c r="F23" s="417">
        <f>F25/$C$1</f>
        <v>126.35653004994559</v>
      </c>
      <c r="G23" s="417">
        <f>G25/$C$1</f>
        <v>125.93604536256298</v>
      </c>
      <c r="H23" s="417">
        <f>H25/$C$1</f>
        <v>103.0693299473471</v>
      </c>
      <c r="I23" s="417">
        <f t="shared" ref="I23:Y23" si="4">I25/$C$1</f>
        <v>103.3767385326764</v>
      </c>
      <c r="J23" s="417">
        <f t="shared" si="4"/>
        <v>107.37657087977443</v>
      </c>
      <c r="K23" s="417">
        <f t="shared" si="4"/>
        <v>108.73497170781114</v>
      </c>
      <c r="L23" s="417">
        <f t="shared" si="4"/>
        <v>110.42251300987358</v>
      </c>
      <c r="M23" s="417">
        <f t="shared" si="4"/>
        <v>112.28755876123982</v>
      </c>
      <c r="N23" s="417">
        <f t="shared" si="4"/>
        <v>114.16555993443785</v>
      </c>
      <c r="O23" s="417">
        <f t="shared" si="4"/>
        <v>118.36141111585717</v>
      </c>
      <c r="P23" s="417">
        <f t="shared" si="4"/>
        <v>80.593666086807062</v>
      </c>
      <c r="Q23" s="417">
        <f t="shared" si="4"/>
        <v>81.499804409504947</v>
      </c>
      <c r="R23" s="417">
        <f t="shared" si="4"/>
        <v>82.235875895460424</v>
      </c>
      <c r="S23" s="417">
        <f t="shared" si="4"/>
        <v>83.519550756646197</v>
      </c>
      <c r="T23" s="417">
        <f t="shared" si="4"/>
        <v>78.44622792002194</v>
      </c>
      <c r="U23" s="417">
        <f t="shared" si="4"/>
        <v>81.310557700306092</v>
      </c>
      <c r="V23" s="417">
        <f t="shared" si="4"/>
        <v>0</v>
      </c>
      <c r="W23" s="417">
        <f t="shared" si="4"/>
        <v>0</v>
      </c>
      <c r="X23" s="417">
        <f t="shared" si="4"/>
        <v>0</v>
      </c>
      <c r="Y23" s="417">
        <f t="shared" si="4"/>
        <v>0</v>
      </c>
      <c r="AA23" s="355">
        <f t="shared" si="1"/>
        <v>1617.692912070273</v>
      </c>
      <c r="AB23" s="356">
        <f t="shared" si="2"/>
        <v>808.8464560351365</v>
      </c>
    </row>
    <row r="24" spans="1:28">
      <c r="A24" s="4" t="s">
        <v>36</v>
      </c>
      <c r="D24" s="86">
        <v>0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[16]FINANCIALS!E$40</f>
        <v>1634.5427474109215</v>
      </c>
      <c r="F25" s="163">
        <f>[16]FINANCIALS!F$40</f>
        <v>1895.3479507491838</v>
      </c>
      <c r="G25" s="163">
        <f>[16]FINANCIALS!G$40</f>
        <v>1889.0406804384447</v>
      </c>
      <c r="H25" s="163">
        <f>[16]FINANCIALS!H$40</f>
        <v>1546.0399492102065</v>
      </c>
      <c r="I25" s="163">
        <f>[16]FINANCIALS!I$40</f>
        <v>1550.651077990146</v>
      </c>
      <c r="J25" s="163">
        <f>[16]FINANCIALS!J$40</f>
        <v>1610.6485631966166</v>
      </c>
      <c r="K25" s="163">
        <f>[16]FINANCIALS!K$40</f>
        <v>1631.0245756171671</v>
      </c>
      <c r="L25" s="163">
        <f>[16]FINANCIALS!L$40</f>
        <v>1656.3376951481036</v>
      </c>
      <c r="M25" s="163">
        <f>[16]FINANCIALS!M$40</f>
        <v>1684.3133814185974</v>
      </c>
      <c r="N25" s="163">
        <f>[16]FINANCIALS!N$40</f>
        <v>1712.4833990165678</v>
      </c>
      <c r="O25" s="163">
        <f>[16]FINANCIALS!O$40</f>
        <v>1775.4211667378574</v>
      </c>
      <c r="P25" s="163">
        <f>[16]FINANCIALS!P$40</f>
        <v>1208.9049913021058</v>
      </c>
      <c r="Q25" s="163">
        <f>[16]FINANCIALS!Q$40</f>
        <v>1222.4970661425741</v>
      </c>
      <c r="R25" s="163">
        <f>[16]FINANCIALS!R$40</f>
        <v>1233.5381384319064</v>
      </c>
      <c r="S25" s="163">
        <f>[16]FINANCIALS!S$40</f>
        <v>1252.793261349693</v>
      </c>
      <c r="T25" s="163">
        <f>[16]FINANCIALS!T$40</f>
        <v>1176.693418800329</v>
      </c>
      <c r="U25" s="163">
        <f>[16]FINANCIALS!U$40</f>
        <v>1219.6583655045913</v>
      </c>
      <c r="V25" s="163">
        <f>[16]FINANCIALS!V$40</f>
        <v>0</v>
      </c>
      <c r="W25" s="163">
        <f>[16]FINANCIALS!W$40</f>
        <v>0</v>
      </c>
      <c r="X25" s="163">
        <f>[16]FINANCIALS!X$40</f>
        <v>0</v>
      </c>
      <c r="Y25" s="163">
        <f>[16]FINANCIALS!Y$40</f>
        <v>0</v>
      </c>
      <c r="AA25" s="355">
        <f t="shared" si="1"/>
        <v>24265.393681054091</v>
      </c>
      <c r="AB25" s="356">
        <f t="shared" si="2"/>
        <v>12132.696840527045</v>
      </c>
    </row>
    <row r="26" spans="1:28">
      <c r="A26" s="4" t="s">
        <v>16</v>
      </c>
      <c r="D26" s="86">
        <v>0</v>
      </c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AA28" s="355">
        <f t="shared" si="1"/>
        <v>0</v>
      </c>
      <c r="AB28" s="356">
        <f t="shared" si="2"/>
        <v>0</v>
      </c>
    </row>
    <row r="29" spans="1:28">
      <c r="A29" s="4" t="s">
        <v>3</v>
      </c>
      <c r="D29" s="86">
        <v>0</v>
      </c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AA29" s="355">
        <f t="shared" si="1"/>
        <v>0</v>
      </c>
      <c r="AB29" s="356">
        <f t="shared" si="2"/>
        <v>0</v>
      </c>
    </row>
    <row r="30" spans="1:28">
      <c r="A30" s="4" t="s">
        <v>38</v>
      </c>
      <c r="D30" s="86">
        <v>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86">
        <v>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AA31" s="355">
        <f t="shared" si="1"/>
        <v>0</v>
      </c>
      <c r="AB31" s="356">
        <f t="shared" si="2"/>
        <v>0</v>
      </c>
    </row>
    <row r="32" spans="1:28">
      <c r="A32" s="4" t="s">
        <v>34</v>
      </c>
      <c r="D32" s="86">
        <v>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AA34" s="355">
        <f t="shared" si="1"/>
        <v>0</v>
      </c>
      <c r="AB34" s="356">
        <f t="shared" si="2"/>
        <v>0</v>
      </c>
    </row>
    <row r="35" spans="1:28">
      <c r="A35" s="4" t="s">
        <v>19</v>
      </c>
      <c r="B35" s="6"/>
      <c r="C35" s="6"/>
      <c r="D35" s="87">
        <v>0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1634.5427474109215</v>
      </c>
      <c r="F36" s="86">
        <f t="shared" si="5"/>
        <v>1895.3479507491838</v>
      </c>
      <c r="G36" s="86">
        <f t="shared" si="5"/>
        <v>1889.0406804384447</v>
      </c>
      <c r="H36" s="86">
        <f t="shared" si="5"/>
        <v>1546.0399492102065</v>
      </c>
      <c r="I36" s="86">
        <f t="shared" si="5"/>
        <v>1550.651077990146</v>
      </c>
      <c r="J36" s="86">
        <f t="shared" si="5"/>
        <v>1610.6485631966166</v>
      </c>
      <c r="K36" s="86">
        <f t="shared" si="5"/>
        <v>1631.0245756171671</v>
      </c>
      <c r="L36" s="86">
        <f t="shared" si="5"/>
        <v>1656.3376951481036</v>
      </c>
      <c r="M36" s="86">
        <f t="shared" si="5"/>
        <v>1684.3133814185974</v>
      </c>
      <c r="N36" s="86">
        <f t="shared" si="5"/>
        <v>1712.4833990165678</v>
      </c>
      <c r="O36" s="86">
        <f t="shared" si="5"/>
        <v>1775.4211667378574</v>
      </c>
      <c r="P36" s="86">
        <f t="shared" si="5"/>
        <v>1208.9049913021058</v>
      </c>
      <c r="Q36" s="86">
        <f t="shared" si="5"/>
        <v>1222.4970661425741</v>
      </c>
      <c r="R36" s="86">
        <f t="shared" si="5"/>
        <v>1233.5381384319064</v>
      </c>
      <c r="S36" s="86">
        <f t="shared" si="5"/>
        <v>1252.793261349693</v>
      </c>
      <c r="T36" s="86">
        <f t="shared" si="5"/>
        <v>1176.693418800329</v>
      </c>
      <c r="U36" s="86">
        <f t="shared" si="5"/>
        <v>1219.6583655045913</v>
      </c>
      <c r="V36" s="86">
        <f t="shared" si="5"/>
        <v>0</v>
      </c>
      <c r="W36" s="86">
        <f t="shared" si="5"/>
        <v>0</v>
      </c>
      <c r="X36" s="86">
        <f t="shared" si="5"/>
        <v>0</v>
      </c>
      <c r="Y36" s="86">
        <f t="shared" si="5"/>
        <v>0</v>
      </c>
      <c r="AA36" s="355">
        <f t="shared" si="1"/>
        <v>24265.393681054091</v>
      </c>
      <c r="AB36" s="356">
        <f t="shared" si="2"/>
        <v>12132.696840527045</v>
      </c>
    </row>
    <row r="37" spans="1:28" outlineLevel="1">
      <c r="A37" s="4"/>
      <c r="B37" s="92"/>
      <c r="C37" s="92"/>
      <c r="D37" s="86"/>
      <c r="E37" s="416">
        <f>E36/E20</f>
        <v>0.40541843463067589</v>
      </c>
      <c r="F37" s="416">
        <f t="shared" ref="F37:Y37" si="6">F36/F20</f>
        <v>0.4959096909408009</v>
      </c>
      <c r="G37" s="416">
        <f t="shared" si="6"/>
        <v>0.53878961532419456</v>
      </c>
      <c r="H37" s="416">
        <f t="shared" si="6"/>
        <v>0.44155816706752038</v>
      </c>
      <c r="I37" s="416">
        <f t="shared" si="6"/>
        <v>0.44351632192047918</v>
      </c>
      <c r="J37" s="416">
        <f t="shared" si="6"/>
        <v>0.43978623924168131</v>
      </c>
      <c r="K37" s="416">
        <f t="shared" si="6"/>
        <v>0.43287704433913371</v>
      </c>
      <c r="L37" s="416">
        <f t="shared" si="6"/>
        <v>0.42761893498912434</v>
      </c>
      <c r="M37" s="416">
        <f t="shared" si="6"/>
        <v>0.42330889712343628</v>
      </c>
      <c r="N37" s="416">
        <f t="shared" si="6"/>
        <v>0.41926914664371179</v>
      </c>
      <c r="O37" s="416">
        <f t="shared" si="6"/>
        <v>0.42373072336336925</v>
      </c>
      <c r="P37" s="416">
        <f t="shared" si="6"/>
        <v>0.4394362674636646</v>
      </c>
      <c r="Q37" s="416">
        <f t="shared" si="6"/>
        <v>0.44033380163676011</v>
      </c>
      <c r="R37" s="416">
        <f t="shared" si="6"/>
        <v>0.44030458440261094</v>
      </c>
      <c r="S37" s="416">
        <f t="shared" si="6"/>
        <v>0.44318164930069287</v>
      </c>
      <c r="T37" s="416">
        <f t="shared" si="6"/>
        <v>0.41257423223495637</v>
      </c>
      <c r="U37" s="416">
        <f t="shared" si="6"/>
        <v>0.38214251980293956</v>
      </c>
      <c r="V37" s="416" t="e">
        <f t="shared" si="6"/>
        <v>#DIV/0!</v>
      </c>
      <c r="W37" s="416" t="e">
        <f t="shared" si="6"/>
        <v>#DIV/0!</v>
      </c>
      <c r="X37" s="416" t="e">
        <f t="shared" si="6"/>
        <v>#DIV/0!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2397.1997876811029</v>
      </c>
      <c r="F39" s="89">
        <f t="shared" si="7"/>
        <v>1926.6139616173173</v>
      </c>
      <c r="G39" s="89">
        <f t="shared" si="7"/>
        <v>1617.0415206852572</v>
      </c>
      <c r="H39" s="89">
        <f t="shared" si="7"/>
        <v>1955.2879946885087</v>
      </c>
      <c r="I39" s="89">
        <f t="shared" si="7"/>
        <v>1945.6150149365803</v>
      </c>
      <c r="J39" s="89">
        <f t="shared" si="7"/>
        <v>2051.6955928502862</v>
      </c>
      <c r="K39" s="89">
        <f t="shared" si="7"/>
        <v>2136.8457629618297</v>
      </c>
      <c r="L39" s="89">
        <f t="shared" si="7"/>
        <v>2217.0588259629867</v>
      </c>
      <c r="M39" s="89">
        <f t="shared" si="7"/>
        <v>2294.6093222245863</v>
      </c>
      <c r="N39" s="89">
        <f t="shared" si="7"/>
        <v>2371.9654871587099</v>
      </c>
      <c r="O39" s="89">
        <f t="shared" si="7"/>
        <v>2414.5539019695143</v>
      </c>
      <c r="P39" s="89">
        <f t="shared" si="7"/>
        <v>1542.1310082517221</v>
      </c>
      <c r="Q39" s="89">
        <f t="shared" si="7"/>
        <v>1553.7991473174038</v>
      </c>
      <c r="R39" s="89">
        <f t="shared" si="7"/>
        <v>1568.0182889342216</v>
      </c>
      <c r="S39" s="89">
        <f t="shared" si="7"/>
        <v>1574.0233799225846</v>
      </c>
      <c r="T39" s="89">
        <f t="shared" si="7"/>
        <v>1675.3834363780995</v>
      </c>
      <c r="U39" s="89">
        <f t="shared" si="7"/>
        <v>1971.9738196119349</v>
      </c>
      <c r="V39" s="89">
        <f t="shared" si="7"/>
        <v>0</v>
      </c>
      <c r="W39" s="89">
        <f t="shared" si="7"/>
        <v>0</v>
      </c>
      <c r="X39" s="89">
        <f t="shared" si="7"/>
        <v>0</v>
      </c>
      <c r="Y39" s="89">
        <f t="shared" si="7"/>
        <v>0</v>
      </c>
      <c r="AA39" s="355">
        <f>SUM(F39:Y39)</f>
        <v>30816.616465471547</v>
      </c>
      <c r="AB39" s="356">
        <f t="shared" si="2"/>
        <v>15408.308232735773</v>
      </c>
    </row>
    <row r="40" spans="1:28" s="17" customFormat="1">
      <c r="A40" s="1"/>
      <c r="B40" s="1"/>
      <c r="C40" s="1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784</v>
      </c>
      <c r="G41" s="86">
        <f t="shared" ref="G41:Y41" si="9">+G109</f>
        <v>784</v>
      </c>
      <c r="H41" s="86">
        <f t="shared" si="9"/>
        <v>784</v>
      </c>
      <c r="I41" s="86">
        <f t="shared" si="9"/>
        <v>784</v>
      </c>
      <c r="J41" s="86">
        <f t="shared" si="9"/>
        <v>784</v>
      </c>
      <c r="K41" s="86">
        <f t="shared" si="9"/>
        <v>784</v>
      </c>
      <c r="L41" s="86">
        <f t="shared" si="9"/>
        <v>784</v>
      </c>
      <c r="M41" s="86">
        <f t="shared" si="9"/>
        <v>784</v>
      </c>
      <c r="N41" s="86">
        <f t="shared" si="9"/>
        <v>784</v>
      </c>
      <c r="O41" s="86">
        <f t="shared" si="9"/>
        <v>784</v>
      </c>
      <c r="P41" s="86">
        <f t="shared" si="9"/>
        <v>784</v>
      </c>
      <c r="Q41" s="86">
        <f t="shared" si="9"/>
        <v>784</v>
      </c>
      <c r="R41" s="86">
        <f t="shared" si="9"/>
        <v>784</v>
      </c>
      <c r="S41" s="86">
        <f t="shared" si="9"/>
        <v>784</v>
      </c>
      <c r="T41" s="86">
        <f t="shared" si="9"/>
        <v>784</v>
      </c>
      <c r="U41" s="86">
        <f t="shared" si="9"/>
        <v>784</v>
      </c>
      <c r="V41" s="86">
        <f t="shared" si="9"/>
        <v>0</v>
      </c>
      <c r="W41" s="86">
        <f t="shared" si="9"/>
        <v>0</v>
      </c>
      <c r="X41" s="86">
        <f t="shared" si="9"/>
        <v>0</v>
      </c>
      <c r="Y41" s="86">
        <f t="shared" si="9"/>
        <v>0</v>
      </c>
      <c r="AA41" s="355">
        <f t="shared" si="8"/>
        <v>12544</v>
      </c>
      <c r="AB41" s="356">
        <f t="shared" si="2"/>
        <v>6272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2397.1997876811029</v>
      </c>
      <c r="F44" s="89">
        <f t="shared" si="10"/>
        <v>1142.6139616173173</v>
      </c>
      <c r="G44" s="89">
        <f t="shared" si="10"/>
        <v>833.04152068525718</v>
      </c>
      <c r="H44" s="89">
        <f t="shared" si="10"/>
        <v>1171.2879946885087</v>
      </c>
      <c r="I44" s="89">
        <f t="shared" si="10"/>
        <v>1161.6150149365803</v>
      </c>
      <c r="J44" s="89">
        <f t="shared" si="10"/>
        <v>1267.6955928502862</v>
      </c>
      <c r="K44" s="89">
        <f t="shared" si="10"/>
        <v>1352.8457629618297</v>
      </c>
      <c r="L44" s="89">
        <f t="shared" si="10"/>
        <v>1433.0588259629867</v>
      </c>
      <c r="M44" s="89">
        <f t="shared" si="10"/>
        <v>1510.6093222245863</v>
      </c>
      <c r="N44" s="89">
        <f t="shared" si="10"/>
        <v>1587.9654871587099</v>
      </c>
      <c r="O44" s="89">
        <f t="shared" si="10"/>
        <v>1630.5539019695143</v>
      </c>
      <c r="P44" s="89">
        <f t="shared" si="10"/>
        <v>758.13100825172205</v>
      </c>
      <c r="Q44" s="89">
        <f t="shared" si="10"/>
        <v>769.79914731740382</v>
      </c>
      <c r="R44" s="89">
        <f t="shared" si="10"/>
        <v>784.01828893422157</v>
      </c>
      <c r="S44" s="89">
        <f t="shared" si="10"/>
        <v>790.02337992258458</v>
      </c>
      <c r="T44" s="89">
        <f t="shared" si="10"/>
        <v>891.38343637809953</v>
      </c>
      <c r="U44" s="89">
        <f t="shared" si="10"/>
        <v>1187.9738196119349</v>
      </c>
      <c r="V44" s="89">
        <f t="shared" si="10"/>
        <v>0</v>
      </c>
      <c r="W44" s="89">
        <f t="shared" si="10"/>
        <v>0</v>
      </c>
      <c r="X44" s="89">
        <f t="shared" si="10"/>
        <v>0</v>
      </c>
      <c r="Y44" s="89">
        <f t="shared" si="10"/>
        <v>0</v>
      </c>
      <c r="AA44" s="355">
        <f t="shared" si="8"/>
        <v>18272.616465471547</v>
      </c>
      <c r="AB44" s="356">
        <f t="shared" si="2"/>
        <v>9136.3082327357733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2397.1997876811029</v>
      </c>
      <c r="F49" s="89">
        <f t="shared" si="11"/>
        <v>1142.6139616173173</v>
      </c>
      <c r="G49" s="89">
        <f t="shared" si="11"/>
        <v>833.04152068525718</v>
      </c>
      <c r="H49" s="89">
        <f t="shared" si="11"/>
        <v>1171.2879946885087</v>
      </c>
      <c r="I49" s="89">
        <f t="shared" si="11"/>
        <v>1161.6150149365803</v>
      </c>
      <c r="J49" s="89">
        <f t="shared" si="11"/>
        <v>1267.6955928502862</v>
      </c>
      <c r="K49" s="89">
        <f t="shared" si="11"/>
        <v>1352.8457629618297</v>
      </c>
      <c r="L49" s="89">
        <f t="shared" si="11"/>
        <v>1433.0588259629867</v>
      </c>
      <c r="M49" s="89">
        <f t="shared" si="11"/>
        <v>1510.6093222245863</v>
      </c>
      <c r="N49" s="89">
        <f t="shared" si="11"/>
        <v>1587.9654871587099</v>
      </c>
      <c r="O49" s="89">
        <f t="shared" si="11"/>
        <v>1630.5539019695143</v>
      </c>
      <c r="P49" s="89">
        <f t="shared" si="11"/>
        <v>758.13100825172205</v>
      </c>
      <c r="Q49" s="89">
        <f t="shared" si="11"/>
        <v>769.79914731740382</v>
      </c>
      <c r="R49" s="89">
        <f t="shared" si="11"/>
        <v>784.01828893422157</v>
      </c>
      <c r="S49" s="89">
        <f t="shared" si="11"/>
        <v>790.02337992258458</v>
      </c>
      <c r="T49" s="89">
        <f t="shared" si="11"/>
        <v>891.38343637809953</v>
      </c>
      <c r="U49" s="89">
        <f t="shared" si="11"/>
        <v>1187.9738196119349</v>
      </c>
      <c r="V49" s="89">
        <f t="shared" si="11"/>
        <v>0</v>
      </c>
      <c r="W49" s="89">
        <f t="shared" si="11"/>
        <v>0</v>
      </c>
      <c r="X49" s="89">
        <f t="shared" si="11"/>
        <v>0</v>
      </c>
      <c r="Y49" s="89">
        <f t="shared" si="11"/>
        <v>0</v>
      </c>
      <c r="AA49" s="355">
        <f t="shared" si="8"/>
        <v>18272.616465471547</v>
      </c>
      <c r="AB49" s="356">
        <f t="shared" si="2"/>
        <v>9136.3082327357733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7">
        <v>0.05</v>
      </c>
      <c r="D51" s="86"/>
      <c r="E51" s="86">
        <f t="shared" ref="E51:Y51" si="12">E49*-$C$51</f>
        <v>-119.85998938405515</v>
      </c>
      <c r="F51" s="86">
        <f t="shared" si="12"/>
        <v>-57.130698080865869</v>
      </c>
      <c r="G51" s="51">
        <f t="shared" si="12"/>
        <v>-41.652076034262862</v>
      </c>
      <c r="H51" s="86">
        <f t="shared" si="12"/>
        <v>-58.564399734425436</v>
      </c>
      <c r="I51" s="86">
        <f t="shared" si="12"/>
        <v>-58.080750746829018</v>
      </c>
      <c r="J51" s="86">
        <f t="shared" si="12"/>
        <v>-63.38477964251431</v>
      </c>
      <c r="K51" s="86">
        <f t="shared" si="12"/>
        <v>-67.642288148091481</v>
      </c>
      <c r="L51" s="86">
        <f t="shared" si="12"/>
        <v>-71.652941298149344</v>
      </c>
      <c r="M51" s="86">
        <f t="shared" si="12"/>
        <v>-75.530466111229316</v>
      </c>
      <c r="N51" s="86">
        <f t="shared" si="12"/>
        <v>-79.398274357935506</v>
      </c>
      <c r="O51" s="86">
        <f t="shared" si="12"/>
        <v>-81.527695098475718</v>
      </c>
      <c r="P51" s="86">
        <f t="shared" si="12"/>
        <v>-37.906550412586107</v>
      </c>
      <c r="Q51" s="86">
        <f t="shared" si="12"/>
        <v>-38.489957365870197</v>
      </c>
      <c r="R51" s="86">
        <f t="shared" si="12"/>
        <v>-39.200914446711081</v>
      </c>
      <c r="S51" s="86">
        <f t="shared" si="12"/>
        <v>-39.50116899612923</v>
      </c>
      <c r="T51" s="86">
        <f t="shared" si="12"/>
        <v>-44.569171818904977</v>
      </c>
      <c r="U51" s="86">
        <f t="shared" si="12"/>
        <v>-59.398690980596747</v>
      </c>
      <c r="V51" s="86">
        <f t="shared" si="12"/>
        <v>0</v>
      </c>
      <c r="W51" s="86">
        <f t="shared" si="12"/>
        <v>0</v>
      </c>
      <c r="X51" s="86">
        <f t="shared" si="12"/>
        <v>0</v>
      </c>
      <c r="Y51" s="86">
        <f t="shared" si="12"/>
        <v>0</v>
      </c>
      <c r="AA51" s="355">
        <f t="shared" si="8"/>
        <v>-913.63082327357711</v>
      </c>
      <c r="AB51" s="356">
        <f t="shared" si="2"/>
        <v>-456.81541163678855</v>
      </c>
    </row>
    <row r="52" spans="1:28">
      <c r="A52" s="4" t="s">
        <v>27</v>
      </c>
      <c r="C52" s="168">
        <v>0.35</v>
      </c>
      <c r="D52" s="85"/>
      <c r="E52" s="85">
        <f>((E49+E51)*-$C$52)+E56</f>
        <v>-78.100441403966784</v>
      </c>
      <c r="F52" s="85">
        <f t="shared" ref="F52:Y52" si="13">((F49+F51)*-$C$52)+F56</f>
        <v>455.71285776224187</v>
      </c>
      <c r="G52" s="85">
        <f t="shared" si="13"/>
        <v>558.64569437215187</v>
      </c>
      <c r="H52" s="85">
        <f t="shared" si="13"/>
        <v>446.17874176607074</v>
      </c>
      <c r="I52" s="85">
        <f t="shared" si="13"/>
        <v>495.81900753358707</v>
      </c>
      <c r="J52" s="85">
        <f t="shared" si="13"/>
        <v>460.54721537727994</v>
      </c>
      <c r="K52" s="85">
        <f t="shared" si="13"/>
        <v>432.23478381519169</v>
      </c>
      <c r="L52" s="85">
        <f t="shared" si="13"/>
        <v>451.98794036730692</v>
      </c>
      <c r="M52" s="85">
        <f t="shared" si="13"/>
        <v>426.2024003603251</v>
      </c>
      <c r="N52" s="85">
        <f t="shared" si="13"/>
        <v>-40.546524480270989</v>
      </c>
      <c r="O52" s="85">
        <f t="shared" si="13"/>
        <v>-542.1591724048634</v>
      </c>
      <c r="P52" s="85">
        <f t="shared" si="13"/>
        <v>-252.07856024369758</v>
      </c>
      <c r="Q52" s="85">
        <f t="shared" si="13"/>
        <v>-255.95821648303675</v>
      </c>
      <c r="R52" s="85">
        <f t="shared" si="13"/>
        <v>-260.68608107062869</v>
      </c>
      <c r="S52" s="85">
        <f t="shared" si="13"/>
        <v>-262.68277382425936</v>
      </c>
      <c r="T52" s="85">
        <f t="shared" si="13"/>
        <v>-296.38499259571807</v>
      </c>
      <c r="U52" s="85">
        <f t="shared" si="13"/>
        <v>-395.00129502096837</v>
      </c>
      <c r="V52" s="85">
        <f t="shared" si="13"/>
        <v>0</v>
      </c>
      <c r="W52" s="85">
        <f t="shared" si="13"/>
        <v>0</v>
      </c>
      <c r="X52" s="85">
        <f t="shared" si="13"/>
        <v>0</v>
      </c>
      <c r="Y52" s="85">
        <f t="shared" si="13"/>
        <v>0</v>
      </c>
      <c r="AA52" s="355">
        <f t="shared" si="8"/>
        <v>1421.8310252307122</v>
      </c>
      <c r="AB52" s="356">
        <f t="shared" si="2"/>
        <v>710.91551261535608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2199.2393568930811</v>
      </c>
      <c r="F54" s="89">
        <f t="shared" si="14"/>
        <v>1541.1961212986932</v>
      </c>
      <c r="G54" s="89">
        <f t="shared" si="14"/>
        <v>1350.0351390231463</v>
      </c>
      <c r="H54" s="89">
        <f t="shared" si="14"/>
        <v>1558.9023367201539</v>
      </c>
      <c r="I54" s="89">
        <f t="shared" si="14"/>
        <v>1599.3532717233384</v>
      </c>
      <c r="J54" s="89">
        <f t="shared" si="14"/>
        <v>1664.8580285850517</v>
      </c>
      <c r="K54" s="89">
        <f t="shared" si="14"/>
        <v>1717.4382586289298</v>
      </c>
      <c r="L54" s="89">
        <f t="shared" si="14"/>
        <v>1813.3938250321444</v>
      </c>
      <c r="M54" s="89">
        <f t="shared" si="14"/>
        <v>1861.2812564736821</v>
      </c>
      <c r="N54" s="89">
        <f t="shared" si="14"/>
        <v>1468.0206883205035</v>
      </c>
      <c r="O54" s="89">
        <f t="shared" si="14"/>
        <v>1006.8670344661751</v>
      </c>
      <c r="P54" s="89">
        <f t="shared" si="14"/>
        <v>468.14589759543844</v>
      </c>
      <c r="Q54" s="89">
        <f t="shared" si="14"/>
        <v>475.35097346849693</v>
      </c>
      <c r="R54" s="89">
        <f t="shared" si="14"/>
        <v>484.13129341688182</v>
      </c>
      <c r="S54" s="89">
        <f t="shared" si="14"/>
        <v>487.83943710219603</v>
      </c>
      <c r="T54" s="89">
        <f t="shared" si="14"/>
        <v>550.42927196347637</v>
      </c>
      <c r="U54" s="89">
        <f t="shared" si="14"/>
        <v>733.57383361036977</v>
      </c>
      <c r="V54" s="89">
        <f t="shared" si="14"/>
        <v>0</v>
      </c>
      <c r="W54" s="89">
        <f t="shared" si="14"/>
        <v>0</v>
      </c>
      <c r="X54" s="89">
        <f t="shared" si="14"/>
        <v>0</v>
      </c>
      <c r="Y54" s="89">
        <f t="shared" si="14"/>
        <v>0</v>
      </c>
      <c r="AA54" s="355">
        <f t="shared" si="8"/>
        <v>18780.81666742868</v>
      </c>
      <c r="AB54" s="356">
        <f t="shared" si="2"/>
        <v>9390.4083337143402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f>[16]TAX!E$48</f>
        <v>718.96848799999987</v>
      </c>
      <c r="F56" s="169">
        <f>[16]TAX!F$48</f>
        <v>835.63199999999983</v>
      </c>
      <c r="G56" s="169">
        <f>[16]TAX!G$48</f>
        <v>835.63199999999983</v>
      </c>
      <c r="H56" s="169">
        <f>[16]TAX!H$48</f>
        <v>835.63199999999983</v>
      </c>
      <c r="I56" s="169">
        <f>[16]TAX!I$48</f>
        <v>882.05600000000004</v>
      </c>
      <c r="J56" s="169">
        <f>[16]TAX!J$48</f>
        <v>882.05600000000004</v>
      </c>
      <c r="K56" s="169">
        <f>[16]TAX!K$48</f>
        <v>882.05600000000004</v>
      </c>
      <c r="L56" s="169">
        <f>[16]TAX!L$48</f>
        <v>928.48</v>
      </c>
      <c r="M56" s="169">
        <f>[16]TAX!M$48</f>
        <v>928.48</v>
      </c>
      <c r="N56" s="169">
        <f>[16]TAX!N$48</f>
        <v>487.45200000000006</v>
      </c>
      <c r="O56" s="169">
        <f>[16]TAX!O$48</f>
        <v>0</v>
      </c>
      <c r="P56" s="169">
        <f>[16]TAX!P$48</f>
        <v>0</v>
      </c>
      <c r="Q56" s="169">
        <f>[16]TAX!Q$48</f>
        <v>0</v>
      </c>
      <c r="R56" s="169">
        <f>[16]TAX!R$48</f>
        <v>0</v>
      </c>
      <c r="S56" s="169">
        <f>[16]TAX!S$48</f>
        <v>0</v>
      </c>
      <c r="T56" s="169">
        <f>[16]TAX!T$48</f>
        <v>0</v>
      </c>
      <c r="U56" s="169">
        <f>[16]TAX!U$48</f>
        <v>0</v>
      </c>
      <c r="V56" s="169">
        <f>[16]TAX!V$48</f>
        <v>0</v>
      </c>
      <c r="W56" s="169">
        <f>[16]TAX!W$48</f>
        <v>0</v>
      </c>
      <c r="X56" s="169">
        <f>[16]TAX!X$48</f>
        <v>0</v>
      </c>
      <c r="Y56" s="169">
        <f>[16]TAX!Y$48</f>
        <v>0</v>
      </c>
      <c r="AA56" s="355">
        <f t="shared" si="8"/>
        <v>7497.4759999999997</v>
      </c>
      <c r="AB56" s="356">
        <f t="shared" si="2"/>
        <v>3748.7379999999998</v>
      </c>
    </row>
    <row r="57" spans="1:28" outlineLevel="1">
      <c r="A57" s="12"/>
      <c r="D57" s="419" t="s">
        <v>181</v>
      </c>
      <c r="E57" s="420">
        <f>E56/(0.017*C1*8760)</f>
        <v>0.32185893455098924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0.5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2397.1997876811029</v>
      </c>
      <c r="F64" s="16">
        <f t="shared" si="16"/>
        <v>1926.6139616173173</v>
      </c>
      <c r="G64" s="20">
        <f t="shared" si="16"/>
        <v>1617.0415206852572</v>
      </c>
      <c r="H64" s="16">
        <f t="shared" si="16"/>
        <v>1955.2879946885087</v>
      </c>
      <c r="I64" s="16">
        <f t="shared" si="16"/>
        <v>1945.6150149365803</v>
      </c>
      <c r="J64" s="16">
        <f t="shared" si="16"/>
        <v>2051.6955928502862</v>
      </c>
      <c r="K64" s="16">
        <f t="shared" si="16"/>
        <v>2136.8457629618297</v>
      </c>
      <c r="L64" s="16">
        <f t="shared" si="16"/>
        <v>2217.0588259629867</v>
      </c>
      <c r="M64" s="16">
        <f t="shared" si="16"/>
        <v>2294.6093222245863</v>
      </c>
      <c r="N64" s="16">
        <f t="shared" si="16"/>
        <v>2371.9654871587099</v>
      </c>
      <c r="O64" s="16">
        <f t="shared" si="16"/>
        <v>2414.5539019695143</v>
      </c>
      <c r="P64" s="16">
        <f t="shared" si="16"/>
        <v>1542.1310082517221</v>
      </c>
      <c r="Q64" s="16">
        <f t="shared" si="16"/>
        <v>1553.7991473174038</v>
      </c>
      <c r="R64" s="16">
        <f t="shared" si="16"/>
        <v>1568.0182889342216</v>
      </c>
      <c r="S64" s="16">
        <f t="shared" si="16"/>
        <v>1574.0233799225846</v>
      </c>
      <c r="T64" s="16">
        <f t="shared" si="16"/>
        <v>1675.3834363780995</v>
      </c>
      <c r="U64" s="16">
        <f t="shared" si="16"/>
        <v>1971.9738196119349</v>
      </c>
      <c r="V64" s="16">
        <f t="shared" si="16"/>
        <v>0</v>
      </c>
      <c r="W64" s="16">
        <f t="shared" si="16"/>
        <v>0</v>
      </c>
      <c r="X64" s="16">
        <f t="shared" si="16"/>
        <v>0</v>
      </c>
      <c r="Y64" s="16">
        <f t="shared" si="16"/>
        <v>0</v>
      </c>
      <c r="AA64" s="355">
        <f t="shared" si="8"/>
        <v>30816.616465471547</v>
      </c>
      <c r="AB64" s="356">
        <f t="shared" si="2"/>
        <v>15408.308232735773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171">
        <v>0</v>
      </c>
      <c r="F66" s="171">
        <v>0</v>
      </c>
      <c r="G66" s="171">
        <v>0</v>
      </c>
      <c r="H66" s="171">
        <v>0</v>
      </c>
      <c r="I66" s="171">
        <v>0</v>
      </c>
      <c r="J66" s="171">
        <v>0</v>
      </c>
      <c r="K66" s="171">
        <v>0</v>
      </c>
      <c r="L66" s="171">
        <v>0</v>
      </c>
      <c r="M66" s="171">
        <v>0</v>
      </c>
      <c r="N66" s="171">
        <v>0</v>
      </c>
      <c r="O66" s="171">
        <v>0</v>
      </c>
      <c r="P66" s="171">
        <v>0</v>
      </c>
      <c r="Q66" s="171">
        <v>0</v>
      </c>
      <c r="R66" s="171">
        <v>0</v>
      </c>
      <c r="S66" s="171">
        <v>0</v>
      </c>
      <c r="T66" s="171">
        <v>0</v>
      </c>
      <c r="U66" s="171">
        <v>0</v>
      </c>
      <c r="V66" s="171">
        <v>0</v>
      </c>
      <c r="W66" s="171">
        <v>0</v>
      </c>
      <c r="X66" s="171">
        <v>0</v>
      </c>
      <c r="Y66" s="171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7">SUM(E64:E66)</f>
        <v>2397.1997876811029</v>
      </c>
      <c r="F69" s="91">
        <f t="shared" si="17"/>
        <v>1926.6139616173173</v>
      </c>
      <c r="G69" s="91">
        <f t="shared" si="17"/>
        <v>1617.0415206852572</v>
      </c>
      <c r="H69" s="91">
        <f t="shared" si="17"/>
        <v>1955.2879946885087</v>
      </c>
      <c r="I69" s="91">
        <f t="shared" si="17"/>
        <v>1945.6150149365803</v>
      </c>
      <c r="J69" s="91">
        <f t="shared" si="17"/>
        <v>2051.6955928502862</v>
      </c>
      <c r="K69" s="91">
        <f t="shared" si="17"/>
        <v>2136.8457629618297</v>
      </c>
      <c r="L69" s="91">
        <f t="shared" si="17"/>
        <v>2217.0588259629867</v>
      </c>
      <c r="M69" s="91">
        <f t="shared" si="17"/>
        <v>2294.6093222245863</v>
      </c>
      <c r="N69" s="91">
        <f t="shared" si="17"/>
        <v>2371.9654871587099</v>
      </c>
      <c r="O69" s="91">
        <f t="shared" si="17"/>
        <v>2414.5539019695143</v>
      </c>
      <c r="P69" s="91">
        <f t="shared" si="17"/>
        <v>1542.1310082517221</v>
      </c>
      <c r="Q69" s="91">
        <f t="shared" si="17"/>
        <v>1553.7991473174038</v>
      </c>
      <c r="R69" s="91">
        <f t="shared" si="17"/>
        <v>1568.0182889342216</v>
      </c>
      <c r="S69" s="91">
        <f t="shared" si="17"/>
        <v>1574.0233799225846</v>
      </c>
      <c r="T69" s="91">
        <f t="shared" si="17"/>
        <v>1675.3834363780995</v>
      </c>
      <c r="U69" s="91">
        <f t="shared" si="17"/>
        <v>1971.9738196119349</v>
      </c>
      <c r="V69" s="91">
        <f t="shared" si="17"/>
        <v>0</v>
      </c>
      <c r="W69" s="91">
        <f t="shared" si="17"/>
        <v>0</v>
      </c>
      <c r="X69" s="91">
        <f t="shared" si="17"/>
        <v>0</v>
      </c>
      <c r="Y69" s="91">
        <f t="shared" si="17"/>
        <v>0</v>
      </c>
      <c r="AA69" s="355">
        <f t="shared" si="8"/>
        <v>30816.616465471547</v>
      </c>
      <c r="AB69" s="356">
        <f t="shared" si="2"/>
        <v>15408.308232735773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8">F89</f>
        <v>1062.2916861386557</v>
      </c>
      <c r="G71" s="94">
        <f t="shared" si="18"/>
        <v>2260.2360606695365</v>
      </c>
      <c r="H71" s="94">
        <f t="shared" si="18"/>
        <v>979.35500743063392</v>
      </c>
      <c r="I71" s="94">
        <f t="shared" si="18"/>
        <v>292.15385602615089</v>
      </c>
      <c r="J71" s="94">
        <f t="shared" si="18"/>
        <v>251.57803497415841</v>
      </c>
      <c r="K71" s="94">
        <f t="shared" si="18"/>
        <v>-299.16770471320342</v>
      </c>
      <c r="L71" s="94">
        <f t="shared" si="18"/>
        <v>-848.02500093084245</v>
      </c>
      <c r="M71" s="94">
        <f t="shared" si="18"/>
        <v>-877.68806575090423</v>
      </c>
      <c r="N71" s="94">
        <f t="shared" si="18"/>
        <v>-907.27679883820656</v>
      </c>
      <c r="O71" s="94">
        <f t="shared" si="18"/>
        <v>-923.56686750333915</v>
      </c>
      <c r="P71" s="94">
        <f t="shared" si="18"/>
        <v>-589.8651106562836</v>
      </c>
      <c r="Q71" s="94">
        <f t="shared" si="18"/>
        <v>-594.328173848907</v>
      </c>
      <c r="R71" s="94">
        <f t="shared" si="18"/>
        <v>-599.76699551733975</v>
      </c>
      <c r="S71" s="94">
        <f t="shared" si="18"/>
        <v>-602.06394282038855</v>
      </c>
      <c r="T71" s="94">
        <f t="shared" si="18"/>
        <v>-640.83416441462293</v>
      </c>
      <c r="U71" s="94">
        <f t="shared" si="18"/>
        <v>-754.27998600156502</v>
      </c>
      <c r="V71" s="94">
        <f t="shared" si="18"/>
        <v>0</v>
      </c>
      <c r="W71" s="94">
        <f t="shared" si="18"/>
        <v>0</v>
      </c>
      <c r="X71" s="94">
        <f t="shared" si="18"/>
        <v>0</v>
      </c>
      <c r="Y71" s="94">
        <f t="shared" si="18"/>
        <v>0</v>
      </c>
      <c r="AA71" s="355">
        <f t="shared" si="8"/>
        <v>-2791.2481657564676</v>
      </c>
      <c r="AB71" s="356">
        <f t="shared" si="2"/>
        <v>-1395.6240828782338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19">E69+E71</f>
        <v>2397.1997876811029</v>
      </c>
      <c r="F73" s="24">
        <f t="shared" si="19"/>
        <v>2988.905647755973</v>
      </c>
      <c r="G73" s="24">
        <f t="shared" si="19"/>
        <v>3877.2775813547937</v>
      </c>
      <c r="H73" s="24">
        <f t="shared" si="19"/>
        <v>2934.6430021191427</v>
      </c>
      <c r="I73" s="24">
        <f t="shared" si="19"/>
        <v>2237.7688709627314</v>
      </c>
      <c r="J73" s="24">
        <f t="shared" si="19"/>
        <v>2303.2736278244447</v>
      </c>
      <c r="K73" s="24">
        <f t="shared" si="19"/>
        <v>1837.6780582486263</v>
      </c>
      <c r="L73" s="24">
        <f t="shared" si="19"/>
        <v>1369.0338250321443</v>
      </c>
      <c r="M73" s="24">
        <f t="shared" si="19"/>
        <v>1416.9212564736822</v>
      </c>
      <c r="N73" s="24">
        <f t="shared" si="19"/>
        <v>1464.6886883205034</v>
      </c>
      <c r="O73" s="24">
        <f t="shared" si="19"/>
        <v>1490.9870344661751</v>
      </c>
      <c r="P73" s="24">
        <f t="shared" si="19"/>
        <v>952.26589759543845</v>
      </c>
      <c r="Q73" s="24">
        <f t="shared" si="19"/>
        <v>959.47097346849682</v>
      </c>
      <c r="R73" s="24">
        <f t="shared" si="19"/>
        <v>968.25129341688182</v>
      </c>
      <c r="S73" s="24">
        <f t="shared" si="19"/>
        <v>971.95943710219603</v>
      </c>
      <c r="T73" s="24">
        <f t="shared" si="19"/>
        <v>1034.5492719634767</v>
      </c>
      <c r="U73" s="24">
        <f t="shared" si="19"/>
        <v>1217.6938336103699</v>
      </c>
      <c r="V73" s="24">
        <f t="shared" si="19"/>
        <v>0</v>
      </c>
      <c r="W73" s="24">
        <f t="shared" si="19"/>
        <v>0</v>
      </c>
      <c r="X73" s="24">
        <f t="shared" si="19"/>
        <v>0</v>
      </c>
      <c r="Y73" s="24">
        <f t="shared" si="19"/>
        <v>0</v>
      </c>
      <c r="AA73" s="355">
        <f t="shared" si="8"/>
        <v>28025.368299715075</v>
      </c>
      <c r="AB73" s="356">
        <f t="shared" si="2"/>
        <v>14012.684149857538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"/>
      <c r="C76" s="159">
        <f>+C$60</f>
        <v>0.5</v>
      </c>
      <c r="D76" s="24"/>
      <c r="E76" s="24">
        <f t="shared" ref="E76:Y76" si="21">$C$76*E54</f>
        <v>1099.6196784465405</v>
      </c>
      <c r="F76" s="24">
        <f t="shared" si="21"/>
        <v>770.59806064934662</v>
      </c>
      <c r="G76" s="91">
        <f t="shared" si="21"/>
        <v>675.01756951157313</v>
      </c>
      <c r="H76" s="24">
        <f t="shared" si="21"/>
        <v>779.45116836007696</v>
      </c>
      <c r="I76" s="24">
        <f t="shared" si="21"/>
        <v>799.67663586166918</v>
      </c>
      <c r="J76" s="24">
        <f t="shared" si="21"/>
        <v>832.42901429252584</v>
      </c>
      <c r="K76" s="24">
        <f t="shared" si="21"/>
        <v>858.71912931446491</v>
      </c>
      <c r="L76" s="24">
        <f t="shared" si="21"/>
        <v>906.69691251607219</v>
      </c>
      <c r="M76" s="24">
        <f t="shared" si="21"/>
        <v>930.64062823684105</v>
      </c>
      <c r="N76" s="24">
        <f t="shared" si="21"/>
        <v>734.01034416025175</v>
      </c>
      <c r="O76" s="24">
        <f t="shared" si="21"/>
        <v>503.43351723308757</v>
      </c>
      <c r="P76" s="24">
        <f t="shared" si="21"/>
        <v>234.07294879771922</v>
      </c>
      <c r="Q76" s="24">
        <f t="shared" si="21"/>
        <v>237.67548673424847</v>
      </c>
      <c r="R76" s="24">
        <f t="shared" si="21"/>
        <v>242.06564670844091</v>
      </c>
      <c r="S76" s="24">
        <f t="shared" si="21"/>
        <v>243.91971855109801</v>
      </c>
      <c r="T76" s="24">
        <f t="shared" si="21"/>
        <v>275.21463598173818</v>
      </c>
      <c r="U76" s="24">
        <f t="shared" si="21"/>
        <v>366.78691680518489</v>
      </c>
      <c r="V76" s="24">
        <f t="shared" si="21"/>
        <v>0</v>
      </c>
      <c r="W76" s="24">
        <f t="shared" si="21"/>
        <v>0</v>
      </c>
      <c r="X76" s="24">
        <f t="shared" si="21"/>
        <v>0</v>
      </c>
      <c r="Y76" s="24">
        <f t="shared" si="21"/>
        <v>0</v>
      </c>
      <c r="AA76" s="355">
        <f t="shared" si="8"/>
        <v>9390.4083337143402</v>
      </c>
      <c r="AB76" s="356">
        <f>AA76</f>
        <v>9390.4083337143402</v>
      </c>
    </row>
    <row r="77" spans="1:28" outlineLevel="1">
      <c r="A77" s="13" t="s">
        <v>136</v>
      </c>
      <c r="B77" s="22"/>
      <c r="C77" s="159">
        <f>+C60</f>
        <v>0.5</v>
      </c>
      <c r="D77" s="24"/>
      <c r="E77" s="24">
        <f t="shared" ref="E77:Y77" si="22">$C$77*E73</f>
        <v>1198.5998938405514</v>
      </c>
      <c r="F77" s="24">
        <f t="shared" si="22"/>
        <v>1494.4528238779865</v>
      </c>
      <c r="G77" s="91">
        <f t="shared" si="22"/>
        <v>1938.6387906773969</v>
      </c>
      <c r="H77" s="24">
        <f t="shared" si="22"/>
        <v>1467.3215010595713</v>
      </c>
      <c r="I77" s="24">
        <f t="shared" si="22"/>
        <v>1118.8844354813657</v>
      </c>
      <c r="J77" s="24">
        <f t="shared" si="22"/>
        <v>1151.6368139122224</v>
      </c>
      <c r="K77" s="24">
        <f t="shared" si="22"/>
        <v>918.83902912431313</v>
      </c>
      <c r="L77" s="24">
        <f t="shared" si="22"/>
        <v>684.51691251607213</v>
      </c>
      <c r="M77" s="24">
        <f t="shared" si="22"/>
        <v>708.4606282368411</v>
      </c>
      <c r="N77" s="24">
        <f t="shared" si="22"/>
        <v>732.34434416025169</v>
      </c>
      <c r="O77" s="24">
        <f t="shared" si="22"/>
        <v>745.49351723308757</v>
      </c>
      <c r="P77" s="24">
        <f t="shared" si="22"/>
        <v>476.13294879771922</v>
      </c>
      <c r="Q77" s="24">
        <f t="shared" si="22"/>
        <v>479.73548673424841</v>
      </c>
      <c r="R77" s="24">
        <f t="shared" si="22"/>
        <v>484.12564670844091</v>
      </c>
      <c r="S77" s="24">
        <f t="shared" si="22"/>
        <v>485.97971855109802</v>
      </c>
      <c r="T77" s="24">
        <f t="shared" si="22"/>
        <v>517.27463598173836</v>
      </c>
      <c r="U77" s="24">
        <f t="shared" si="22"/>
        <v>608.84691680518495</v>
      </c>
      <c r="V77" s="24">
        <f t="shared" si="22"/>
        <v>0</v>
      </c>
      <c r="W77" s="24">
        <f t="shared" si="22"/>
        <v>0</v>
      </c>
      <c r="X77" s="24">
        <f t="shared" si="22"/>
        <v>0</v>
      </c>
      <c r="Y77" s="24">
        <f t="shared" si="22"/>
        <v>0</v>
      </c>
      <c r="AA77" s="355">
        <f t="shared" si="8"/>
        <v>14012.684149857538</v>
      </c>
      <c r="AB77" s="356">
        <f>AA77</f>
        <v>14012.684149857538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0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0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0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0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0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0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0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0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3">G62</f>
        <v>2002</v>
      </c>
      <c r="H86" s="99">
        <f t="shared" si="23"/>
        <v>2003</v>
      </c>
      <c r="I86" s="99">
        <f t="shared" si="23"/>
        <v>2004</v>
      </c>
      <c r="J86" s="99">
        <f t="shared" si="23"/>
        <v>2005</v>
      </c>
      <c r="K86" s="99">
        <f t="shared" si="23"/>
        <v>2006</v>
      </c>
      <c r="L86" s="99">
        <f t="shared" si="23"/>
        <v>2007</v>
      </c>
      <c r="M86" s="99">
        <f t="shared" si="23"/>
        <v>2008</v>
      </c>
      <c r="N86" s="99">
        <f t="shared" si="23"/>
        <v>2009</v>
      </c>
      <c r="O86" s="99">
        <f t="shared" si="23"/>
        <v>2010</v>
      </c>
      <c r="P86" s="99">
        <f t="shared" si="23"/>
        <v>2011</v>
      </c>
      <c r="Q86" s="99">
        <f t="shared" si="23"/>
        <v>2012</v>
      </c>
      <c r="R86" s="99">
        <f t="shared" si="23"/>
        <v>2013</v>
      </c>
      <c r="S86" s="99">
        <f t="shared" si="23"/>
        <v>2014</v>
      </c>
      <c r="T86" s="99">
        <f t="shared" si="23"/>
        <v>2015</v>
      </c>
      <c r="U86" s="99">
        <f t="shared" si="23"/>
        <v>2016</v>
      </c>
      <c r="V86" s="99">
        <f t="shared" si="23"/>
        <v>2017</v>
      </c>
      <c r="W86" s="99">
        <f t="shared" si="23"/>
        <v>2018</v>
      </c>
      <c r="X86" s="99">
        <f t="shared" si="23"/>
        <v>2019</v>
      </c>
      <c r="Y86" s="99">
        <f t="shared" si="23"/>
        <v>2020</v>
      </c>
      <c r="AA86" s="355">
        <f t="shared" si="8"/>
        <v>40210</v>
      </c>
      <c r="AB86" s="356">
        <f t="shared" si="20"/>
        <v>20105</v>
      </c>
    </row>
    <row r="87" spans="1:30" s="128" customFormat="1">
      <c r="AA87" s="355">
        <f t="shared" si="8"/>
        <v>0</v>
      </c>
      <c r="AB87" s="356">
        <f t="shared" si="20"/>
        <v>0</v>
      </c>
    </row>
    <row r="88" spans="1:30" s="128" customFormat="1">
      <c r="A88" s="11" t="s">
        <v>31</v>
      </c>
      <c r="F88" s="129">
        <f>F69</f>
        <v>1926.6139616173173</v>
      </c>
      <c r="G88" s="129">
        <f t="shared" ref="G88:Y88" si="24">G69</f>
        <v>1617.0415206852572</v>
      </c>
      <c r="H88" s="129">
        <f t="shared" si="24"/>
        <v>1955.2879946885087</v>
      </c>
      <c r="I88" s="129">
        <f t="shared" si="24"/>
        <v>1945.6150149365803</v>
      </c>
      <c r="J88" s="129">
        <f t="shared" si="24"/>
        <v>2051.6955928502862</v>
      </c>
      <c r="K88" s="129">
        <f t="shared" si="24"/>
        <v>2136.8457629618297</v>
      </c>
      <c r="L88" s="129">
        <f t="shared" si="24"/>
        <v>2217.0588259629867</v>
      </c>
      <c r="M88" s="129">
        <f t="shared" si="24"/>
        <v>2294.6093222245863</v>
      </c>
      <c r="N88" s="129">
        <f t="shared" si="24"/>
        <v>2371.9654871587099</v>
      </c>
      <c r="O88" s="129">
        <f t="shared" si="24"/>
        <v>2414.5539019695143</v>
      </c>
      <c r="P88" s="129">
        <f t="shared" si="24"/>
        <v>1542.1310082517221</v>
      </c>
      <c r="Q88" s="129">
        <f t="shared" si="24"/>
        <v>1553.7991473174038</v>
      </c>
      <c r="R88" s="129">
        <f t="shared" si="24"/>
        <v>1568.0182889342216</v>
      </c>
      <c r="S88" s="129">
        <f t="shared" si="24"/>
        <v>1574.0233799225846</v>
      </c>
      <c r="T88" s="129">
        <f t="shared" si="24"/>
        <v>1675.3834363780995</v>
      </c>
      <c r="U88" s="129">
        <f t="shared" si="24"/>
        <v>1971.9738196119349</v>
      </c>
      <c r="V88" s="129">
        <f t="shared" si="24"/>
        <v>0</v>
      </c>
      <c r="W88" s="129">
        <f t="shared" si="24"/>
        <v>0</v>
      </c>
      <c r="X88" s="129">
        <f t="shared" si="24"/>
        <v>0</v>
      </c>
      <c r="Y88" s="129">
        <f t="shared" si="24"/>
        <v>0</v>
      </c>
      <c r="AA88" s="355">
        <f t="shared" si="8"/>
        <v>30816.616465471547</v>
      </c>
      <c r="AB88" s="356">
        <f t="shared" si="20"/>
        <v>15408.308232735773</v>
      </c>
    </row>
    <row r="89" spans="1:30" s="128" customFormat="1">
      <c r="A89" s="128" t="s">
        <v>42</v>
      </c>
      <c r="F89" s="100">
        <f>F126+F127</f>
        <v>1062.2916861386557</v>
      </c>
      <c r="G89" s="100">
        <f t="shared" ref="G89:Y89" si="25">G126+G127</f>
        <v>2260.2360606695365</v>
      </c>
      <c r="H89" s="100">
        <f t="shared" si="25"/>
        <v>979.35500743063392</v>
      </c>
      <c r="I89" s="100">
        <f t="shared" si="25"/>
        <v>292.15385602615089</v>
      </c>
      <c r="J89" s="100">
        <f t="shared" si="25"/>
        <v>251.57803497415841</v>
      </c>
      <c r="K89" s="100">
        <f t="shared" si="25"/>
        <v>-299.16770471320342</v>
      </c>
      <c r="L89" s="100">
        <f t="shared" si="25"/>
        <v>-848.02500093084245</v>
      </c>
      <c r="M89" s="100">
        <f t="shared" si="25"/>
        <v>-877.68806575090423</v>
      </c>
      <c r="N89" s="100">
        <f t="shared" si="25"/>
        <v>-907.27679883820656</v>
      </c>
      <c r="O89" s="100">
        <f t="shared" si="25"/>
        <v>-923.56686750333915</v>
      </c>
      <c r="P89" s="100">
        <f t="shared" si="25"/>
        <v>-589.8651106562836</v>
      </c>
      <c r="Q89" s="100">
        <f t="shared" si="25"/>
        <v>-594.328173848907</v>
      </c>
      <c r="R89" s="100">
        <f t="shared" si="25"/>
        <v>-599.76699551733975</v>
      </c>
      <c r="S89" s="100">
        <f t="shared" si="25"/>
        <v>-602.06394282038855</v>
      </c>
      <c r="T89" s="100">
        <f t="shared" si="25"/>
        <v>-640.83416441462293</v>
      </c>
      <c r="U89" s="100">
        <f t="shared" si="25"/>
        <v>-754.27998600156502</v>
      </c>
      <c r="V89" s="100">
        <f t="shared" si="25"/>
        <v>0</v>
      </c>
      <c r="W89" s="100">
        <f t="shared" si="25"/>
        <v>0</v>
      </c>
      <c r="X89" s="100">
        <f t="shared" si="25"/>
        <v>0</v>
      </c>
      <c r="Y89" s="100">
        <f t="shared" si="25"/>
        <v>0</v>
      </c>
      <c r="AA89" s="355">
        <f t="shared" si="8"/>
        <v>-2791.2481657564676</v>
      </c>
      <c r="AB89" s="356">
        <f t="shared" si="20"/>
        <v>-1395.6240828782338</v>
      </c>
    </row>
    <row r="90" spans="1:30" s="128" customFormat="1">
      <c r="A90" s="128" t="s">
        <v>109</v>
      </c>
      <c r="F90" s="100">
        <f>F56</f>
        <v>835.63199999999983</v>
      </c>
      <c r="G90" s="100">
        <f t="shared" ref="G90:Y90" si="26">G56</f>
        <v>835.63199999999983</v>
      </c>
      <c r="H90" s="100">
        <f t="shared" si="26"/>
        <v>835.63199999999983</v>
      </c>
      <c r="I90" s="100">
        <f t="shared" si="26"/>
        <v>882.05600000000004</v>
      </c>
      <c r="J90" s="100">
        <f t="shared" si="26"/>
        <v>882.05600000000004</v>
      </c>
      <c r="K90" s="100">
        <f t="shared" si="26"/>
        <v>882.05600000000004</v>
      </c>
      <c r="L90" s="100">
        <f t="shared" si="26"/>
        <v>928.48</v>
      </c>
      <c r="M90" s="100">
        <f t="shared" si="26"/>
        <v>928.48</v>
      </c>
      <c r="N90" s="100">
        <f t="shared" si="26"/>
        <v>487.45200000000006</v>
      </c>
      <c r="O90" s="100">
        <f t="shared" si="26"/>
        <v>0</v>
      </c>
      <c r="P90" s="100">
        <f t="shared" si="26"/>
        <v>0</v>
      </c>
      <c r="Q90" s="100">
        <f t="shared" si="26"/>
        <v>0</v>
      </c>
      <c r="R90" s="100">
        <f t="shared" si="26"/>
        <v>0</v>
      </c>
      <c r="S90" s="100">
        <f t="shared" si="26"/>
        <v>0</v>
      </c>
      <c r="T90" s="100">
        <f t="shared" si="26"/>
        <v>0</v>
      </c>
      <c r="U90" s="100">
        <f t="shared" si="26"/>
        <v>0</v>
      </c>
      <c r="V90" s="100">
        <f t="shared" si="26"/>
        <v>0</v>
      </c>
      <c r="W90" s="100">
        <f t="shared" si="26"/>
        <v>0</v>
      </c>
      <c r="X90" s="100">
        <f t="shared" si="26"/>
        <v>0</v>
      </c>
      <c r="Y90" s="100">
        <f t="shared" si="26"/>
        <v>0</v>
      </c>
      <c r="AA90" s="355">
        <f t="shared" si="8"/>
        <v>7497.4759999999997</v>
      </c>
      <c r="AB90" s="356">
        <f t="shared" si="20"/>
        <v>3748.7379999999998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f>Y99</f>
        <v>15775.790556895479</v>
      </c>
      <c r="V91" s="101">
        <v>0</v>
      </c>
      <c r="W91" s="101">
        <v>0</v>
      </c>
      <c r="X91" s="101">
        <v>0</v>
      </c>
      <c r="Y91" s="101"/>
      <c r="AA91" s="355">
        <f t="shared" si="8"/>
        <v>15775.790556895479</v>
      </c>
      <c r="AB91" s="356">
        <f t="shared" si="20"/>
        <v>7887.8952784477397</v>
      </c>
    </row>
    <row r="92" spans="1:30" s="128" customFormat="1">
      <c r="A92" s="128" t="s">
        <v>44</v>
      </c>
      <c r="E92" s="173">
        <v>-26132.48404440493</v>
      </c>
      <c r="F92" s="129">
        <f>SUM(F88:F91)</f>
        <v>3824.537647755973</v>
      </c>
      <c r="G92" s="129">
        <f t="shared" ref="G92:Y92" si="27">SUM(G88:G91)</f>
        <v>4712.9095813547938</v>
      </c>
      <c r="H92" s="129">
        <f t="shared" si="27"/>
        <v>3770.2750021191423</v>
      </c>
      <c r="I92" s="129">
        <f t="shared" si="27"/>
        <v>3119.8248709627314</v>
      </c>
      <c r="J92" s="129">
        <f t="shared" si="27"/>
        <v>3185.3296278244447</v>
      </c>
      <c r="K92" s="129">
        <f t="shared" si="27"/>
        <v>2719.7340582486263</v>
      </c>
      <c r="L92" s="129">
        <f t="shared" si="27"/>
        <v>2297.5138250321443</v>
      </c>
      <c r="M92" s="129">
        <f t="shared" si="27"/>
        <v>2345.4012564736822</v>
      </c>
      <c r="N92" s="129">
        <f t="shared" si="27"/>
        <v>1952.1406883205034</v>
      </c>
      <c r="O92" s="129">
        <f t="shared" si="27"/>
        <v>1490.9870344661751</v>
      </c>
      <c r="P92" s="129">
        <f t="shared" si="27"/>
        <v>952.26589759543845</v>
      </c>
      <c r="Q92" s="129">
        <f t="shared" si="27"/>
        <v>959.47097346849682</v>
      </c>
      <c r="R92" s="129">
        <f t="shared" si="27"/>
        <v>968.25129341688182</v>
      </c>
      <c r="S92" s="129">
        <f t="shared" si="27"/>
        <v>971.95943710219603</v>
      </c>
      <c r="T92" s="129">
        <f t="shared" si="27"/>
        <v>1034.5492719634767</v>
      </c>
      <c r="U92" s="129">
        <f t="shared" si="27"/>
        <v>16993.484390505848</v>
      </c>
      <c r="V92" s="129">
        <f t="shared" si="27"/>
        <v>0</v>
      </c>
      <c r="W92" s="129">
        <f t="shared" si="27"/>
        <v>0</v>
      </c>
      <c r="X92" s="129">
        <f t="shared" si="27"/>
        <v>0</v>
      </c>
      <c r="Y92" s="129">
        <f t="shared" si="27"/>
        <v>0</v>
      </c>
      <c r="AA92" s="355">
        <f t="shared" si="8"/>
        <v>51298.634856610559</v>
      </c>
      <c r="AB92" s="356">
        <f t="shared" si="20"/>
        <v>25649.317428305279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0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0"/>
        <v>0</v>
      </c>
    </row>
    <row r="95" spans="1:30" s="128" customFormat="1" ht="13.5" thickBot="1">
      <c r="A95" s="128" t="s">
        <v>46</v>
      </c>
      <c r="E95" s="174">
        <f>NPV(C96,E92:Y92)</f>
        <v>1.5019178561387805E-11</v>
      </c>
      <c r="R95" s="133"/>
      <c r="U95" s="134" t="s">
        <v>80</v>
      </c>
      <c r="V95" s="135"/>
      <c r="W95" s="135"/>
      <c r="X95" s="135"/>
      <c r="Y95" s="136">
        <f>U88</f>
        <v>1971.9738196119349</v>
      </c>
      <c r="AA95" s="355">
        <f t="shared" si="8"/>
        <v>1971.9738196119349</v>
      </c>
      <c r="AB95" s="356">
        <f t="shared" si="20"/>
        <v>985.98690980596746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0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1971.9738196119349</v>
      </c>
      <c r="AA97" s="355">
        <f t="shared" si="8"/>
        <v>1971.9738196119349</v>
      </c>
      <c r="AB97" s="356">
        <f t="shared" si="20"/>
        <v>985.98690980596746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0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15775.790556895479</v>
      </c>
      <c r="AA99" s="355">
        <f t="shared" si="8"/>
        <v>15775.790556895479</v>
      </c>
      <c r="AB99" s="356">
        <f t="shared" si="20"/>
        <v>7887.8952784477397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0"/>
        <v>0</v>
      </c>
    </row>
    <row r="101" spans="1:28" s="128" customFormat="1">
      <c r="A101" s="128" t="s">
        <v>53</v>
      </c>
      <c r="D101" s="177">
        <v>0</v>
      </c>
      <c r="AA101" s="355">
        <f t="shared" si="8"/>
        <v>0</v>
      </c>
      <c r="AB101" s="356">
        <f t="shared" si="20"/>
        <v>0</v>
      </c>
    </row>
    <row r="102" spans="1:28" s="128" customFormat="1" ht="15">
      <c r="A102" s="128" t="s">
        <v>54</v>
      </c>
      <c r="D102" s="101">
        <f>-E92</f>
        <v>26132.48404440493</v>
      </c>
      <c r="AA102" s="355">
        <f t="shared" si="8"/>
        <v>0</v>
      </c>
      <c r="AB102" s="356">
        <f t="shared" si="20"/>
        <v>0</v>
      </c>
    </row>
    <row r="103" spans="1:28" s="128" customFormat="1">
      <c r="D103" s="142">
        <f>D101+D102</f>
        <v>26132.48404440493</v>
      </c>
      <c r="AA103" s="355">
        <f t="shared" si="8"/>
        <v>0</v>
      </c>
      <c r="AB103" s="356">
        <f t="shared" si="20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28" customFormat="1">
      <c r="A105" s="128" t="s">
        <v>56</v>
      </c>
      <c r="D105" s="142">
        <f>D103*D104</f>
        <v>23519.235639964438</v>
      </c>
      <c r="AA105" s="355">
        <f t="shared" si="28"/>
        <v>0</v>
      </c>
      <c r="AB105" s="356">
        <f t="shared" si="20"/>
        <v>0</v>
      </c>
    </row>
    <row r="106" spans="1:28" s="128" customFormat="1">
      <c r="AA106" s="355">
        <f t="shared" si="28"/>
        <v>0</v>
      </c>
      <c r="AB106" s="356">
        <f t="shared" si="20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29">G107+1</f>
        <v>2003</v>
      </c>
      <c r="I107" s="99">
        <f t="shared" si="29"/>
        <v>2004</v>
      </c>
      <c r="J107" s="99">
        <f t="shared" si="29"/>
        <v>2005</v>
      </c>
      <c r="K107" s="99">
        <f t="shared" si="29"/>
        <v>2006</v>
      </c>
      <c r="L107" s="99">
        <f t="shared" si="29"/>
        <v>2007</v>
      </c>
      <c r="M107" s="99">
        <f t="shared" si="29"/>
        <v>2008</v>
      </c>
      <c r="N107" s="99">
        <f t="shared" si="29"/>
        <v>2009</v>
      </c>
      <c r="O107" s="99">
        <f t="shared" si="29"/>
        <v>2010</v>
      </c>
      <c r="P107" s="99">
        <f t="shared" si="29"/>
        <v>2011</v>
      </c>
      <c r="Q107" s="99">
        <f t="shared" si="29"/>
        <v>2012</v>
      </c>
      <c r="R107" s="99">
        <f t="shared" si="29"/>
        <v>2013</v>
      </c>
      <c r="S107" s="99">
        <f t="shared" si="29"/>
        <v>2014</v>
      </c>
      <c r="T107" s="99">
        <f t="shared" si="29"/>
        <v>2015</v>
      </c>
      <c r="U107" s="99">
        <f t="shared" si="29"/>
        <v>2016</v>
      </c>
      <c r="V107" s="99">
        <f t="shared" si="29"/>
        <v>2017</v>
      </c>
      <c r="W107" s="99">
        <f t="shared" si="29"/>
        <v>2018</v>
      </c>
      <c r="X107" s="99">
        <f t="shared" si="29"/>
        <v>2019</v>
      </c>
      <c r="Y107" s="99">
        <f t="shared" si="29"/>
        <v>2020</v>
      </c>
      <c r="AA107" s="355">
        <f t="shared" si="28"/>
        <v>40210</v>
      </c>
      <c r="AB107" s="356">
        <f t="shared" si="20"/>
        <v>20105</v>
      </c>
    </row>
    <row r="108" spans="1:28" s="128" customFormat="1">
      <c r="A108" s="103" t="s">
        <v>57</v>
      </c>
      <c r="AA108" s="355">
        <f t="shared" si="28"/>
        <v>0</v>
      </c>
      <c r="AB108" s="356">
        <f t="shared" si="20"/>
        <v>0</v>
      </c>
    </row>
    <row r="109" spans="1:28" s="128" customFormat="1">
      <c r="A109" s="128" t="s">
        <v>58</v>
      </c>
      <c r="B109" s="179">
        <v>30</v>
      </c>
      <c r="C109" s="128" t="s">
        <v>0</v>
      </c>
      <c r="D109" s="143">
        <f>D105</f>
        <v>23519.235639964438</v>
      </c>
      <c r="F109" s="132">
        <f>ROUND(D109/$B$109,0)</f>
        <v>784</v>
      </c>
      <c r="G109" s="132">
        <f>F109</f>
        <v>784</v>
      </c>
      <c r="H109" s="132">
        <f t="shared" ref="H109:U110" si="30">G109</f>
        <v>784</v>
      </c>
      <c r="I109" s="132">
        <f t="shared" si="30"/>
        <v>784</v>
      </c>
      <c r="J109" s="132">
        <f t="shared" si="30"/>
        <v>784</v>
      </c>
      <c r="K109" s="132">
        <f t="shared" si="30"/>
        <v>784</v>
      </c>
      <c r="L109" s="132">
        <f t="shared" si="30"/>
        <v>784</v>
      </c>
      <c r="M109" s="132">
        <f t="shared" si="30"/>
        <v>784</v>
      </c>
      <c r="N109" s="132">
        <f t="shared" si="30"/>
        <v>784</v>
      </c>
      <c r="O109" s="132">
        <f t="shared" si="30"/>
        <v>784</v>
      </c>
      <c r="P109" s="132">
        <f t="shared" si="30"/>
        <v>784</v>
      </c>
      <c r="Q109" s="132">
        <f t="shared" si="30"/>
        <v>784</v>
      </c>
      <c r="R109" s="132">
        <f t="shared" si="30"/>
        <v>784</v>
      </c>
      <c r="S109" s="132">
        <f t="shared" si="30"/>
        <v>784</v>
      </c>
      <c r="T109" s="132">
        <f t="shared" si="30"/>
        <v>784</v>
      </c>
      <c r="U109" s="132">
        <f t="shared" si="30"/>
        <v>784</v>
      </c>
      <c r="V109" s="360"/>
      <c r="W109" s="360"/>
      <c r="X109" s="360"/>
      <c r="Y109" s="360"/>
      <c r="AA109" s="355">
        <f t="shared" si="28"/>
        <v>12544</v>
      </c>
      <c r="AB109" s="356">
        <f t="shared" si="20"/>
        <v>6272</v>
      </c>
    </row>
    <row r="110" spans="1:28" s="128" customFormat="1">
      <c r="A110" s="128" t="s">
        <v>138</v>
      </c>
      <c r="D110" s="143">
        <f>D104*'FPLE_Wind Summary'!J22</f>
        <v>1624.3728788480732</v>
      </c>
      <c r="F110" s="132">
        <f>ROUND(D110/$B$109,0)</f>
        <v>54</v>
      </c>
      <c r="G110" s="132">
        <f>F110</f>
        <v>54</v>
      </c>
      <c r="H110" s="132">
        <f t="shared" si="30"/>
        <v>54</v>
      </c>
      <c r="I110" s="132">
        <f t="shared" si="30"/>
        <v>54</v>
      </c>
      <c r="J110" s="132">
        <f t="shared" si="30"/>
        <v>54</v>
      </c>
      <c r="K110" s="132">
        <f t="shared" si="30"/>
        <v>54</v>
      </c>
      <c r="L110" s="132">
        <f t="shared" si="30"/>
        <v>54</v>
      </c>
      <c r="M110" s="132">
        <f t="shared" si="30"/>
        <v>54</v>
      </c>
      <c r="N110" s="132">
        <f t="shared" si="30"/>
        <v>54</v>
      </c>
      <c r="O110" s="132">
        <f t="shared" si="30"/>
        <v>54</v>
      </c>
      <c r="P110" s="132">
        <f t="shared" si="30"/>
        <v>54</v>
      </c>
      <c r="Q110" s="132">
        <f t="shared" si="30"/>
        <v>54</v>
      </c>
      <c r="R110" s="132">
        <f t="shared" si="30"/>
        <v>54</v>
      </c>
      <c r="S110" s="132">
        <f t="shared" si="30"/>
        <v>54</v>
      </c>
      <c r="T110" s="132">
        <f t="shared" si="30"/>
        <v>54</v>
      </c>
      <c r="U110" s="132">
        <f t="shared" si="30"/>
        <v>54</v>
      </c>
      <c r="V110" s="360"/>
      <c r="W110" s="360"/>
      <c r="X110" s="360"/>
      <c r="Y110" s="360"/>
      <c r="AA110" s="355">
        <f t="shared" si="28"/>
        <v>864</v>
      </c>
      <c r="AB110" s="356">
        <f t="shared" si="20"/>
        <v>432</v>
      </c>
    </row>
    <row r="111" spans="1:28" s="128" customFormat="1">
      <c r="AA111" s="355">
        <f t="shared" si="28"/>
        <v>0</v>
      </c>
      <c r="AB111" s="356">
        <f t="shared" si="20"/>
        <v>0</v>
      </c>
    </row>
    <row r="112" spans="1:28" s="128" customFormat="1">
      <c r="A112" s="103" t="s">
        <v>59</v>
      </c>
      <c r="AA112" s="355">
        <f t="shared" si="28"/>
        <v>0</v>
      </c>
      <c r="AB112" s="356">
        <f t="shared" si="20"/>
        <v>0</v>
      </c>
    </row>
    <row r="113" spans="1:28" s="128" customFormat="1">
      <c r="A113" s="104" t="s">
        <v>60</v>
      </c>
      <c r="D113" s="143">
        <f>D109</f>
        <v>23519.235639964438</v>
      </c>
      <c r="AA113" s="355">
        <f t="shared" si="28"/>
        <v>0</v>
      </c>
      <c r="AB113" s="356">
        <f t="shared" si="20"/>
        <v>0</v>
      </c>
    </row>
    <row r="114" spans="1:28" s="128" customFormat="1">
      <c r="A114" s="128" t="s">
        <v>61</v>
      </c>
      <c r="E114" s="144"/>
      <c r="F114" s="180">
        <v>0.2</v>
      </c>
      <c r="G114" s="180">
        <v>0.32</v>
      </c>
      <c r="H114" s="180">
        <v>0.192</v>
      </c>
      <c r="I114" s="180">
        <v>0.1152</v>
      </c>
      <c r="J114" s="180">
        <v>0.1152</v>
      </c>
      <c r="K114" s="180">
        <v>5.7599999999999998E-2</v>
      </c>
      <c r="L114" s="180">
        <v>0</v>
      </c>
      <c r="M114" s="180">
        <v>0</v>
      </c>
      <c r="N114" s="180">
        <v>0</v>
      </c>
      <c r="O114" s="180">
        <v>0</v>
      </c>
      <c r="P114" s="180">
        <v>0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45"/>
      <c r="AA114" s="355">
        <f t="shared" si="28"/>
        <v>0.99999999999999989</v>
      </c>
      <c r="AB114" s="356">
        <f t="shared" si="20"/>
        <v>0.49999999999999994</v>
      </c>
    </row>
    <row r="115" spans="1:28" s="128" customFormat="1">
      <c r="A115" s="128" t="s">
        <v>59</v>
      </c>
      <c r="F115" s="132">
        <f t="shared" ref="F115:U115" si="31">$D$113*F114</f>
        <v>4703.8471279928881</v>
      </c>
      <c r="G115" s="132">
        <f t="shared" si="31"/>
        <v>7526.1554047886202</v>
      </c>
      <c r="H115" s="132">
        <f t="shared" si="31"/>
        <v>4515.6932428731725</v>
      </c>
      <c r="I115" s="132">
        <f t="shared" si="31"/>
        <v>2709.415945723903</v>
      </c>
      <c r="J115" s="132">
        <f t="shared" si="31"/>
        <v>2709.415945723903</v>
      </c>
      <c r="K115" s="132">
        <f t="shared" si="31"/>
        <v>1354.7079728619515</v>
      </c>
      <c r="L115" s="132">
        <f t="shared" si="31"/>
        <v>0</v>
      </c>
      <c r="M115" s="132">
        <f t="shared" si="31"/>
        <v>0</v>
      </c>
      <c r="N115" s="132">
        <f t="shared" si="31"/>
        <v>0</v>
      </c>
      <c r="O115" s="132">
        <f t="shared" si="31"/>
        <v>0</v>
      </c>
      <c r="P115" s="132">
        <f t="shared" si="31"/>
        <v>0</v>
      </c>
      <c r="Q115" s="132">
        <f t="shared" si="31"/>
        <v>0</v>
      </c>
      <c r="R115" s="132">
        <f t="shared" si="31"/>
        <v>0</v>
      </c>
      <c r="S115" s="132">
        <f t="shared" si="31"/>
        <v>0</v>
      </c>
      <c r="T115" s="132">
        <f t="shared" si="31"/>
        <v>0</v>
      </c>
      <c r="U115" s="132">
        <f t="shared" si="31"/>
        <v>0</v>
      </c>
      <c r="V115" s="360"/>
      <c r="W115" s="360"/>
      <c r="X115" s="360"/>
      <c r="Y115" s="360"/>
      <c r="AA115" s="355">
        <f t="shared" si="28"/>
        <v>23519.235639964441</v>
      </c>
      <c r="AB115" s="356">
        <f t="shared" si="20"/>
        <v>11759.617819982221</v>
      </c>
    </row>
    <row r="116" spans="1:28" s="128" customFormat="1">
      <c r="A116" s="128" t="s">
        <v>138</v>
      </c>
      <c r="D116" s="143">
        <f>D110</f>
        <v>1624.3728788480732</v>
      </c>
      <c r="F116" s="132">
        <f>$D$116*F114</f>
        <v>324.87457576961469</v>
      </c>
      <c r="G116" s="132">
        <f t="shared" ref="G116:U116" si="32">$D$116*G114</f>
        <v>519.79932123138349</v>
      </c>
      <c r="H116" s="132">
        <f t="shared" si="32"/>
        <v>311.87959273883007</v>
      </c>
      <c r="I116" s="132">
        <f t="shared" si="32"/>
        <v>187.12775564329803</v>
      </c>
      <c r="J116" s="132">
        <f t="shared" si="32"/>
        <v>187.12775564329803</v>
      </c>
      <c r="K116" s="132">
        <f t="shared" si="32"/>
        <v>93.563877821649015</v>
      </c>
      <c r="L116" s="132">
        <f t="shared" si="32"/>
        <v>0</v>
      </c>
      <c r="M116" s="132">
        <f t="shared" si="32"/>
        <v>0</v>
      </c>
      <c r="N116" s="132">
        <f t="shared" si="32"/>
        <v>0</v>
      </c>
      <c r="O116" s="132">
        <f t="shared" si="32"/>
        <v>0</v>
      </c>
      <c r="P116" s="132">
        <f t="shared" si="32"/>
        <v>0</v>
      </c>
      <c r="Q116" s="132">
        <f t="shared" si="32"/>
        <v>0</v>
      </c>
      <c r="R116" s="132">
        <f t="shared" si="32"/>
        <v>0</v>
      </c>
      <c r="S116" s="132">
        <f t="shared" si="32"/>
        <v>0</v>
      </c>
      <c r="T116" s="132">
        <f t="shared" si="32"/>
        <v>0</v>
      </c>
      <c r="U116" s="132">
        <f t="shared" si="32"/>
        <v>0</v>
      </c>
      <c r="V116" s="360"/>
      <c r="W116" s="360"/>
      <c r="X116" s="360"/>
      <c r="Y116" s="360"/>
      <c r="AA116" s="355">
        <f t="shared" si="28"/>
        <v>1624.3728788480735</v>
      </c>
      <c r="AB116" s="356">
        <f t="shared" si="20"/>
        <v>812.18643942403673</v>
      </c>
    </row>
    <row r="117" spans="1:28" s="128" customFormat="1">
      <c r="AA117" s="355">
        <f t="shared" si="28"/>
        <v>0</v>
      </c>
      <c r="AB117" s="356">
        <f t="shared" si="20"/>
        <v>0</v>
      </c>
    </row>
    <row r="118" spans="1:28" s="128" customFormat="1">
      <c r="AA118" s="355">
        <f t="shared" si="28"/>
        <v>0</v>
      </c>
      <c r="AB118" s="356">
        <f t="shared" si="20"/>
        <v>0</v>
      </c>
    </row>
    <row r="119" spans="1:28" s="128" customFormat="1" ht="13.5" thickBot="1">
      <c r="F119" s="99">
        <f>F107</f>
        <v>2001</v>
      </c>
      <c r="G119" s="99">
        <f t="shared" ref="G119:Y119" si="33">G107</f>
        <v>2002</v>
      </c>
      <c r="H119" s="99">
        <f t="shared" si="33"/>
        <v>2003</v>
      </c>
      <c r="I119" s="99">
        <f t="shared" si="33"/>
        <v>2004</v>
      </c>
      <c r="J119" s="99">
        <f t="shared" si="33"/>
        <v>2005</v>
      </c>
      <c r="K119" s="99">
        <f t="shared" si="33"/>
        <v>2006</v>
      </c>
      <c r="L119" s="99">
        <f t="shared" si="33"/>
        <v>2007</v>
      </c>
      <c r="M119" s="99">
        <f t="shared" si="33"/>
        <v>2008</v>
      </c>
      <c r="N119" s="99">
        <f t="shared" si="33"/>
        <v>2009</v>
      </c>
      <c r="O119" s="99">
        <f t="shared" si="33"/>
        <v>2010</v>
      </c>
      <c r="P119" s="99">
        <f t="shared" si="33"/>
        <v>2011</v>
      </c>
      <c r="Q119" s="99">
        <f t="shared" si="33"/>
        <v>2012</v>
      </c>
      <c r="R119" s="99">
        <f t="shared" si="33"/>
        <v>2013</v>
      </c>
      <c r="S119" s="99">
        <f t="shared" si="33"/>
        <v>2014</v>
      </c>
      <c r="T119" s="99">
        <f t="shared" si="33"/>
        <v>2015</v>
      </c>
      <c r="U119" s="99">
        <f t="shared" si="33"/>
        <v>2016</v>
      </c>
      <c r="V119" s="99">
        <f t="shared" si="33"/>
        <v>2017</v>
      </c>
      <c r="W119" s="99">
        <f t="shared" si="33"/>
        <v>2018</v>
      </c>
      <c r="X119" s="99">
        <f t="shared" si="33"/>
        <v>2019</v>
      </c>
      <c r="Y119" s="99">
        <f t="shared" si="33"/>
        <v>2020</v>
      </c>
      <c r="AA119" s="355">
        <f t="shared" si="28"/>
        <v>40210</v>
      </c>
      <c r="AB119" s="356">
        <f t="shared" si="20"/>
        <v>20105</v>
      </c>
    </row>
    <row r="120" spans="1:28" s="128" customFormat="1">
      <c r="A120" s="98" t="s">
        <v>62</v>
      </c>
      <c r="AA120" s="355">
        <f t="shared" si="28"/>
        <v>0</v>
      </c>
      <c r="AB120" s="356">
        <f t="shared" si="20"/>
        <v>0</v>
      </c>
    </row>
    <row r="121" spans="1:28" s="128" customFormat="1">
      <c r="A121" s="146" t="str">
        <f>A64</f>
        <v>EBITDA</v>
      </c>
      <c r="F121" s="132">
        <f>F39</f>
        <v>1926.6139616173173</v>
      </c>
      <c r="G121" s="132">
        <f t="shared" ref="G121:Y121" si="34">G39</f>
        <v>1617.0415206852572</v>
      </c>
      <c r="H121" s="132">
        <f t="shared" si="34"/>
        <v>1955.2879946885087</v>
      </c>
      <c r="I121" s="132">
        <f t="shared" si="34"/>
        <v>1945.6150149365803</v>
      </c>
      <c r="J121" s="132">
        <f>J39</f>
        <v>2051.6955928502862</v>
      </c>
      <c r="K121" s="132">
        <f t="shared" si="34"/>
        <v>2136.8457629618297</v>
      </c>
      <c r="L121" s="132">
        <f t="shared" si="34"/>
        <v>2217.0588259629867</v>
      </c>
      <c r="M121" s="132">
        <f t="shared" si="34"/>
        <v>2294.6093222245863</v>
      </c>
      <c r="N121" s="132">
        <f t="shared" si="34"/>
        <v>2371.9654871587099</v>
      </c>
      <c r="O121" s="132">
        <f t="shared" si="34"/>
        <v>2414.5539019695143</v>
      </c>
      <c r="P121" s="132">
        <f t="shared" si="34"/>
        <v>1542.1310082517221</v>
      </c>
      <c r="Q121" s="132">
        <f t="shared" si="34"/>
        <v>1553.7991473174038</v>
      </c>
      <c r="R121" s="132">
        <f t="shared" si="34"/>
        <v>1568.0182889342216</v>
      </c>
      <c r="S121" s="132">
        <f t="shared" si="34"/>
        <v>1574.0233799225846</v>
      </c>
      <c r="T121" s="132">
        <f t="shared" si="34"/>
        <v>1675.3834363780995</v>
      </c>
      <c r="U121" s="132">
        <f t="shared" si="34"/>
        <v>1971.9738196119349</v>
      </c>
      <c r="V121" s="132">
        <f t="shared" si="34"/>
        <v>0</v>
      </c>
      <c r="W121" s="132">
        <f t="shared" si="34"/>
        <v>0</v>
      </c>
      <c r="X121" s="132">
        <f t="shared" si="34"/>
        <v>0</v>
      </c>
      <c r="Y121" s="132">
        <f t="shared" si="34"/>
        <v>0</v>
      </c>
      <c r="AA121" s="355">
        <f t="shared" si="28"/>
        <v>30816.616465471547</v>
      </c>
      <c r="AB121" s="356">
        <f t="shared" si="20"/>
        <v>15408.308232735773</v>
      </c>
    </row>
    <row r="122" spans="1:28" s="128" customFormat="1">
      <c r="A122" s="128" t="s">
        <v>63</v>
      </c>
      <c r="F122" s="132">
        <f>-F115</f>
        <v>-4703.8471279928881</v>
      </c>
      <c r="G122" s="132">
        <f t="shared" ref="G122:Y122" si="35">-G115</f>
        <v>-7526.1554047886202</v>
      </c>
      <c r="H122" s="132">
        <f t="shared" si="35"/>
        <v>-4515.6932428731725</v>
      </c>
      <c r="I122" s="132">
        <f t="shared" si="35"/>
        <v>-2709.415945723903</v>
      </c>
      <c r="J122" s="132">
        <f t="shared" si="35"/>
        <v>-2709.415945723903</v>
      </c>
      <c r="K122" s="132">
        <f t="shared" si="35"/>
        <v>-1354.7079728619515</v>
      </c>
      <c r="L122" s="132">
        <f t="shared" si="35"/>
        <v>0</v>
      </c>
      <c r="M122" s="132">
        <f t="shared" si="35"/>
        <v>0</v>
      </c>
      <c r="N122" s="132">
        <f t="shared" si="35"/>
        <v>0</v>
      </c>
      <c r="O122" s="132">
        <f t="shared" si="35"/>
        <v>0</v>
      </c>
      <c r="P122" s="132">
        <f t="shared" si="35"/>
        <v>0</v>
      </c>
      <c r="Q122" s="132">
        <f t="shared" si="35"/>
        <v>0</v>
      </c>
      <c r="R122" s="132">
        <f t="shared" si="35"/>
        <v>0</v>
      </c>
      <c r="S122" s="132">
        <f t="shared" si="35"/>
        <v>0</v>
      </c>
      <c r="T122" s="132">
        <f t="shared" si="35"/>
        <v>0</v>
      </c>
      <c r="U122" s="132">
        <f t="shared" si="35"/>
        <v>0</v>
      </c>
      <c r="V122" s="132">
        <f t="shared" si="35"/>
        <v>0</v>
      </c>
      <c r="W122" s="132">
        <f t="shared" si="35"/>
        <v>0</v>
      </c>
      <c r="X122" s="132">
        <f t="shared" si="35"/>
        <v>0</v>
      </c>
      <c r="Y122" s="132">
        <f t="shared" si="35"/>
        <v>0</v>
      </c>
      <c r="AA122" s="355">
        <f t="shared" si="28"/>
        <v>-23519.235639964441</v>
      </c>
      <c r="AB122" s="356">
        <f t="shared" si="20"/>
        <v>-11759.617819982221</v>
      </c>
    </row>
    <row r="123" spans="1:28" s="128" customFormat="1">
      <c r="A123" s="128" t="s">
        <v>64</v>
      </c>
      <c r="F123" s="147">
        <f>-F46</f>
        <v>0</v>
      </c>
      <c r="G123" s="147">
        <f t="shared" ref="G123:Y123" si="36">-G46</f>
        <v>0</v>
      </c>
      <c r="H123" s="147">
        <f t="shared" si="36"/>
        <v>0</v>
      </c>
      <c r="I123" s="147">
        <f t="shared" si="36"/>
        <v>0</v>
      </c>
      <c r="J123" s="147">
        <f t="shared" si="36"/>
        <v>0</v>
      </c>
      <c r="K123" s="147">
        <f t="shared" si="36"/>
        <v>0</v>
      </c>
      <c r="L123" s="147">
        <f t="shared" si="36"/>
        <v>0</v>
      </c>
      <c r="M123" s="147">
        <f t="shared" si="36"/>
        <v>0</v>
      </c>
      <c r="N123" s="147">
        <f t="shared" si="36"/>
        <v>0</v>
      </c>
      <c r="O123" s="147">
        <f t="shared" si="36"/>
        <v>0</v>
      </c>
      <c r="P123" s="147">
        <f t="shared" si="36"/>
        <v>0</v>
      </c>
      <c r="Q123" s="147">
        <f t="shared" si="36"/>
        <v>0</v>
      </c>
      <c r="R123" s="147">
        <f t="shared" si="36"/>
        <v>0</v>
      </c>
      <c r="S123" s="147">
        <f t="shared" si="36"/>
        <v>0</v>
      </c>
      <c r="T123" s="147">
        <f t="shared" si="36"/>
        <v>0</v>
      </c>
      <c r="U123" s="147">
        <f t="shared" si="36"/>
        <v>0</v>
      </c>
      <c r="V123" s="147">
        <f t="shared" si="36"/>
        <v>0</v>
      </c>
      <c r="W123" s="147">
        <f t="shared" si="36"/>
        <v>0</v>
      </c>
      <c r="X123" s="147">
        <f t="shared" si="36"/>
        <v>0</v>
      </c>
      <c r="Y123" s="147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28" customFormat="1">
      <c r="A124" s="128" t="s">
        <v>65</v>
      </c>
      <c r="F124" s="132">
        <f>SUM(F121:F123)</f>
        <v>-2777.2331663755708</v>
      </c>
      <c r="G124" s="132">
        <f t="shared" ref="G124:Y124" si="37">SUM(G121:G123)</f>
        <v>-5909.1138841033626</v>
      </c>
      <c r="H124" s="132">
        <f t="shared" si="37"/>
        <v>-2560.4052481846638</v>
      </c>
      <c r="I124" s="132">
        <f t="shared" si="37"/>
        <v>-763.80093078732261</v>
      </c>
      <c r="J124" s="132">
        <f t="shared" si="37"/>
        <v>-657.72035287361678</v>
      </c>
      <c r="K124" s="132">
        <f t="shared" si="37"/>
        <v>782.1377900998782</v>
      </c>
      <c r="L124" s="132">
        <f t="shared" si="37"/>
        <v>2217.0588259629867</v>
      </c>
      <c r="M124" s="132">
        <f t="shared" si="37"/>
        <v>2294.6093222245863</v>
      </c>
      <c r="N124" s="132">
        <f t="shared" si="37"/>
        <v>2371.9654871587099</v>
      </c>
      <c r="O124" s="132">
        <f t="shared" si="37"/>
        <v>2414.5539019695143</v>
      </c>
      <c r="P124" s="132">
        <f t="shared" si="37"/>
        <v>1542.1310082517221</v>
      </c>
      <c r="Q124" s="132">
        <f t="shared" si="37"/>
        <v>1553.7991473174038</v>
      </c>
      <c r="R124" s="132">
        <f t="shared" si="37"/>
        <v>1568.0182889342216</v>
      </c>
      <c r="S124" s="132">
        <f t="shared" si="37"/>
        <v>1574.0233799225846</v>
      </c>
      <c r="T124" s="132">
        <f t="shared" si="37"/>
        <v>1675.3834363780995</v>
      </c>
      <c r="U124" s="132">
        <f t="shared" si="37"/>
        <v>1971.9738196119349</v>
      </c>
      <c r="V124" s="132">
        <f t="shared" si="37"/>
        <v>0</v>
      </c>
      <c r="W124" s="132">
        <f t="shared" si="37"/>
        <v>0</v>
      </c>
      <c r="X124" s="132">
        <f t="shared" si="37"/>
        <v>0</v>
      </c>
      <c r="Y124" s="132">
        <f t="shared" si="37"/>
        <v>0</v>
      </c>
      <c r="AA124" s="355">
        <f t="shared" si="28"/>
        <v>7297.3808255071081</v>
      </c>
      <c r="AB124" s="356">
        <f t="shared" si="20"/>
        <v>3648.690412753554</v>
      </c>
    </row>
    <row r="125" spans="1:28" s="128" customFormat="1">
      <c r="AA125" s="355">
        <f t="shared" si="28"/>
        <v>0</v>
      </c>
      <c r="AB125" s="356">
        <f t="shared" si="20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138.86165831877855</v>
      </c>
      <c r="G126" s="132">
        <f t="shared" ref="G126:Y126" si="38">-G124*$C$126</f>
        <v>295.45569420516813</v>
      </c>
      <c r="H126" s="132">
        <f t="shared" si="38"/>
        <v>128.0202624092332</v>
      </c>
      <c r="I126" s="132">
        <f t="shared" si="38"/>
        <v>38.190046539366129</v>
      </c>
      <c r="J126" s="132">
        <f t="shared" si="38"/>
        <v>32.886017643680837</v>
      </c>
      <c r="K126" s="132">
        <f t="shared" si="38"/>
        <v>-39.106889504993916</v>
      </c>
      <c r="L126" s="132">
        <f t="shared" si="38"/>
        <v>-110.85294129814935</v>
      </c>
      <c r="M126" s="132">
        <f t="shared" si="38"/>
        <v>-114.73046611122932</v>
      </c>
      <c r="N126" s="132">
        <f t="shared" si="38"/>
        <v>-118.59827435793551</v>
      </c>
      <c r="O126" s="132">
        <f t="shared" si="38"/>
        <v>-120.72769509847572</v>
      </c>
      <c r="P126" s="132">
        <f t="shared" si="38"/>
        <v>-77.106550412586103</v>
      </c>
      <c r="Q126" s="132">
        <f t="shared" si="38"/>
        <v>-77.6899573658702</v>
      </c>
      <c r="R126" s="132">
        <f t="shared" si="38"/>
        <v>-78.400914446711084</v>
      </c>
      <c r="S126" s="132">
        <f t="shared" si="38"/>
        <v>-78.70116899612924</v>
      </c>
      <c r="T126" s="132">
        <f t="shared" si="38"/>
        <v>-83.769171818904979</v>
      </c>
      <c r="U126" s="132">
        <f t="shared" si="38"/>
        <v>-98.598690980596757</v>
      </c>
      <c r="V126" s="132">
        <f t="shared" si="38"/>
        <v>0</v>
      </c>
      <c r="W126" s="132">
        <f t="shared" si="38"/>
        <v>0</v>
      </c>
      <c r="X126" s="132">
        <f t="shared" si="38"/>
        <v>0</v>
      </c>
      <c r="Y126" s="132">
        <f t="shared" si="38"/>
        <v>0</v>
      </c>
      <c r="AA126" s="355">
        <f t="shared" si="28"/>
        <v>-364.8690412753553</v>
      </c>
      <c r="AB126" s="356">
        <f t="shared" si="20"/>
        <v>-182.43452063767765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923.43002781987718</v>
      </c>
      <c r="G127" s="132">
        <f t="shared" ref="G127:Y127" si="39">-(G124+G126)*$C$127</f>
        <v>1964.7803664643682</v>
      </c>
      <c r="H127" s="132">
        <f t="shared" si="39"/>
        <v>851.33474502140075</v>
      </c>
      <c r="I127" s="132">
        <f t="shared" si="39"/>
        <v>253.96380948678475</v>
      </c>
      <c r="J127" s="132">
        <f t="shared" si="39"/>
        <v>218.69201733047757</v>
      </c>
      <c r="K127" s="132">
        <f t="shared" si="39"/>
        <v>-260.06081520820948</v>
      </c>
      <c r="L127" s="132">
        <f t="shared" si="39"/>
        <v>-737.17205963269305</v>
      </c>
      <c r="M127" s="132">
        <f t="shared" si="39"/>
        <v>-762.95759963967487</v>
      </c>
      <c r="N127" s="132">
        <f t="shared" si="39"/>
        <v>-788.67852448027099</v>
      </c>
      <c r="O127" s="132">
        <f t="shared" si="39"/>
        <v>-802.83917240486346</v>
      </c>
      <c r="P127" s="132">
        <f t="shared" si="39"/>
        <v>-512.7585602436975</v>
      </c>
      <c r="Q127" s="132">
        <f t="shared" si="39"/>
        <v>-516.63821648303679</v>
      </c>
      <c r="R127" s="132">
        <f t="shared" si="39"/>
        <v>-521.36608107062864</v>
      </c>
      <c r="S127" s="132">
        <f t="shared" si="39"/>
        <v>-523.36277382425931</v>
      </c>
      <c r="T127" s="132">
        <f t="shared" si="39"/>
        <v>-557.06499259571797</v>
      </c>
      <c r="U127" s="132">
        <f t="shared" si="39"/>
        <v>-655.68129502096826</v>
      </c>
      <c r="V127" s="132">
        <f t="shared" si="39"/>
        <v>0</v>
      </c>
      <c r="W127" s="132">
        <f t="shared" si="39"/>
        <v>0</v>
      </c>
      <c r="X127" s="132">
        <f t="shared" si="39"/>
        <v>0</v>
      </c>
      <c r="Y127" s="132">
        <f t="shared" si="39"/>
        <v>0</v>
      </c>
      <c r="AA127" s="355">
        <f t="shared" si="28"/>
        <v>-2426.3791244811118</v>
      </c>
      <c r="AB127" s="356">
        <f t="shared" si="20"/>
        <v>-1213.1895622405559</v>
      </c>
    </row>
    <row r="128" spans="1:28" s="128" customFormat="1">
      <c r="AA128" s="355">
        <f t="shared" si="28"/>
        <v>0</v>
      </c>
      <c r="AB128" s="356">
        <f t="shared" si="20"/>
        <v>0</v>
      </c>
    </row>
    <row r="129" spans="1:28" s="128" customFormat="1">
      <c r="AA129" s="355">
        <f t="shared" si="28"/>
        <v>0</v>
      </c>
      <c r="AB129" s="356">
        <f t="shared" si="20"/>
        <v>0</v>
      </c>
    </row>
    <row r="130" spans="1:28" s="128" customFormat="1">
      <c r="AA130" s="355">
        <f t="shared" si="28"/>
        <v>0</v>
      </c>
      <c r="AB130" s="356">
        <f t="shared" si="20"/>
        <v>0</v>
      </c>
    </row>
    <row r="131" spans="1:28" s="128" customFormat="1">
      <c r="AA131" s="355">
        <f t="shared" si="28"/>
        <v>0</v>
      </c>
      <c r="AB131" s="356">
        <f t="shared" si="20"/>
        <v>0</v>
      </c>
    </row>
    <row r="132" spans="1:28" s="128" customFormat="1">
      <c r="AA132" s="355">
        <f t="shared" si="28"/>
        <v>0</v>
      </c>
      <c r="AB132" s="356">
        <f t="shared" si="20"/>
        <v>0</v>
      </c>
    </row>
    <row r="133" spans="1:28" s="128" customFormat="1">
      <c r="AA133" s="355">
        <f t="shared" si="28"/>
        <v>0</v>
      </c>
      <c r="AB133" s="356">
        <f t="shared" si="20"/>
        <v>0</v>
      </c>
    </row>
    <row r="134" spans="1:28" s="128" customFormat="1">
      <c r="AA134" s="355">
        <f t="shared" si="28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0">G119</f>
        <v>2002</v>
      </c>
      <c r="H135" s="99">
        <f t="shared" si="40"/>
        <v>2003</v>
      </c>
      <c r="I135" s="99">
        <f t="shared" si="40"/>
        <v>2004</v>
      </c>
      <c r="J135" s="99">
        <f t="shared" si="40"/>
        <v>2005</v>
      </c>
      <c r="K135" s="99">
        <f t="shared" si="40"/>
        <v>2006</v>
      </c>
      <c r="L135" s="99">
        <f t="shared" si="40"/>
        <v>2007</v>
      </c>
      <c r="M135" s="99">
        <f t="shared" si="40"/>
        <v>2008</v>
      </c>
      <c r="N135" s="99">
        <f t="shared" si="40"/>
        <v>2009</v>
      </c>
      <c r="O135" s="99">
        <f t="shared" si="40"/>
        <v>2010</v>
      </c>
      <c r="P135" s="99">
        <f t="shared" si="40"/>
        <v>2011</v>
      </c>
      <c r="Q135" s="99">
        <f t="shared" si="40"/>
        <v>2012</v>
      </c>
      <c r="R135" s="99">
        <f t="shared" si="40"/>
        <v>2013</v>
      </c>
      <c r="S135" s="99">
        <f t="shared" si="40"/>
        <v>2014</v>
      </c>
      <c r="T135" s="99">
        <f t="shared" si="40"/>
        <v>2015</v>
      </c>
      <c r="U135" s="99">
        <f t="shared" si="40"/>
        <v>2016</v>
      </c>
      <c r="V135" s="99">
        <f t="shared" si="40"/>
        <v>2017</v>
      </c>
      <c r="W135" s="99">
        <f t="shared" si="40"/>
        <v>2018</v>
      </c>
      <c r="X135" s="99">
        <f t="shared" si="40"/>
        <v>2019</v>
      </c>
      <c r="Y135" s="9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28" customFormat="1">
      <c r="AA136" s="355">
        <f t="shared" si="28"/>
        <v>0</v>
      </c>
      <c r="AB136" s="356">
        <f t="shared" si="41"/>
        <v>0</v>
      </c>
    </row>
    <row r="137" spans="1:28" s="128" customFormat="1">
      <c r="A137" s="128" t="s">
        <v>78</v>
      </c>
      <c r="F137" s="181">
        <f>F46</f>
        <v>0</v>
      </c>
      <c r="G137" s="181">
        <f t="shared" ref="G137:Y137" si="42">G46</f>
        <v>0</v>
      </c>
      <c r="H137" s="181">
        <f t="shared" si="42"/>
        <v>0</v>
      </c>
      <c r="I137" s="181">
        <f t="shared" si="42"/>
        <v>0</v>
      </c>
      <c r="J137" s="181">
        <f t="shared" si="42"/>
        <v>0</v>
      </c>
      <c r="K137" s="181">
        <f t="shared" si="42"/>
        <v>0</v>
      </c>
      <c r="L137" s="181">
        <f t="shared" si="42"/>
        <v>0</v>
      </c>
      <c r="M137" s="181">
        <f t="shared" si="42"/>
        <v>0</v>
      </c>
      <c r="N137" s="181">
        <f t="shared" si="42"/>
        <v>0</v>
      </c>
      <c r="O137" s="181">
        <f t="shared" si="42"/>
        <v>0</v>
      </c>
      <c r="P137" s="181">
        <f t="shared" si="42"/>
        <v>0</v>
      </c>
      <c r="Q137" s="181">
        <f t="shared" si="42"/>
        <v>0</v>
      </c>
      <c r="R137" s="181">
        <f t="shared" si="42"/>
        <v>0</v>
      </c>
      <c r="S137" s="181">
        <f t="shared" si="42"/>
        <v>0</v>
      </c>
      <c r="T137" s="181">
        <f t="shared" si="42"/>
        <v>0</v>
      </c>
      <c r="U137" s="181">
        <f t="shared" si="42"/>
        <v>0</v>
      </c>
      <c r="V137" s="181">
        <f t="shared" si="42"/>
        <v>0</v>
      </c>
      <c r="W137" s="181">
        <f t="shared" si="42"/>
        <v>0</v>
      </c>
      <c r="X137" s="181">
        <f t="shared" si="42"/>
        <v>0</v>
      </c>
      <c r="Y137" s="181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28" customFormat="1">
      <c r="A138" s="128" t="s">
        <v>67</v>
      </c>
      <c r="F138" s="147">
        <f t="shared" ref="F138:Y138" si="43">SUM(F33:F35)</f>
        <v>0</v>
      </c>
      <c r="G138" s="147">
        <f t="shared" si="43"/>
        <v>0</v>
      </c>
      <c r="H138" s="147">
        <f t="shared" si="43"/>
        <v>0</v>
      </c>
      <c r="I138" s="147">
        <f t="shared" si="43"/>
        <v>0</v>
      </c>
      <c r="J138" s="147">
        <f t="shared" si="43"/>
        <v>0</v>
      </c>
      <c r="K138" s="147">
        <f t="shared" si="43"/>
        <v>0</v>
      </c>
      <c r="L138" s="147">
        <f t="shared" si="43"/>
        <v>0</v>
      </c>
      <c r="M138" s="147">
        <f t="shared" si="43"/>
        <v>0</v>
      </c>
      <c r="N138" s="147">
        <f t="shared" si="43"/>
        <v>0</v>
      </c>
      <c r="O138" s="147">
        <f t="shared" si="43"/>
        <v>0</v>
      </c>
      <c r="P138" s="147">
        <f t="shared" si="43"/>
        <v>0</v>
      </c>
      <c r="Q138" s="147">
        <f t="shared" si="43"/>
        <v>0</v>
      </c>
      <c r="R138" s="147">
        <f t="shared" si="43"/>
        <v>0</v>
      </c>
      <c r="S138" s="147">
        <f t="shared" si="43"/>
        <v>0</v>
      </c>
      <c r="T138" s="147">
        <f t="shared" si="43"/>
        <v>0</v>
      </c>
      <c r="U138" s="147">
        <f t="shared" si="43"/>
        <v>0</v>
      </c>
      <c r="V138" s="147">
        <f t="shared" si="43"/>
        <v>0</v>
      </c>
      <c r="W138" s="147">
        <f t="shared" si="43"/>
        <v>0</v>
      </c>
      <c r="X138" s="147">
        <f t="shared" si="43"/>
        <v>0</v>
      </c>
      <c r="Y138" s="147">
        <f t="shared" si="43"/>
        <v>0</v>
      </c>
      <c r="AA138" s="355">
        <f t="shared" si="28"/>
        <v>0</v>
      </c>
      <c r="AB138" s="356">
        <f t="shared" si="41"/>
        <v>0</v>
      </c>
    </row>
    <row r="139" spans="1:28" s="128" customFormat="1">
      <c r="A139" s="128" t="s">
        <v>68</v>
      </c>
      <c r="F139" s="132">
        <f>F137+F138</f>
        <v>0</v>
      </c>
      <c r="G139" s="132">
        <f t="shared" ref="G139:Y139" si="44">G137+G138</f>
        <v>0</v>
      </c>
      <c r="H139" s="132">
        <f t="shared" si="44"/>
        <v>0</v>
      </c>
      <c r="I139" s="132">
        <f t="shared" si="44"/>
        <v>0</v>
      </c>
      <c r="J139" s="132">
        <f t="shared" si="44"/>
        <v>0</v>
      </c>
      <c r="K139" s="132">
        <f t="shared" si="44"/>
        <v>0</v>
      </c>
      <c r="L139" s="132">
        <f t="shared" si="44"/>
        <v>0</v>
      </c>
      <c r="M139" s="132">
        <f t="shared" si="44"/>
        <v>0</v>
      </c>
      <c r="N139" s="132">
        <f t="shared" si="44"/>
        <v>0</v>
      </c>
      <c r="O139" s="132">
        <f t="shared" si="44"/>
        <v>0</v>
      </c>
      <c r="P139" s="132">
        <f t="shared" si="44"/>
        <v>0</v>
      </c>
      <c r="Q139" s="132">
        <f t="shared" si="44"/>
        <v>0</v>
      </c>
      <c r="R139" s="132">
        <f t="shared" si="44"/>
        <v>0</v>
      </c>
      <c r="S139" s="132">
        <f t="shared" si="44"/>
        <v>0</v>
      </c>
      <c r="T139" s="132">
        <f t="shared" si="44"/>
        <v>0</v>
      </c>
      <c r="U139" s="132">
        <f t="shared" si="44"/>
        <v>0</v>
      </c>
      <c r="V139" s="132">
        <f t="shared" si="44"/>
        <v>0</v>
      </c>
      <c r="W139" s="132">
        <f t="shared" si="44"/>
        <v>0</v>
      </c>
      <c r="X139" s="132">
        <f t="shared" si="44"/>
        <v>0</v>
      </c>
      <c r="Y139" s="132">
        <f t="shared" si="44"/>
        <v>0</v>
      </c>
      <c r="AA139" s="355">
        <f t="shared" si="28"/>
        <v>0</v>
      </c>
      <c r="AB139" s="356">
        <f t="shared" si="41"/>
        <v>0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0</v>
      </c>
      <c r="G140" s="132">
        <f t="shared" ref="G140:Y140" si="45">G139*$C$140</f>
        <v>0</v>
      </c>
      <c r="H140" s="132">
        <f t="shared" si="45"/>
        <v>0</v>
      </c>
      <c r="I140" s="132">
        <f t="shared" si="45"/>
        <v>0</v>
      </c>
      <c r="J140" s="132">
        <f t="shared" si="45"/>
        <v>0</v>
      </c>
      <c r="K140" s="132">
        <f t="shared" si="45"/>
        <v>0</v>
      </c>
      <c r="L140" s="132">
        <f t="shared" si="45"/>
        <v>0</v>
      </c>
      <c r="M140" s="132">
        <f t="shared" si="45"/>
        <v>0</v>
      </c>
      <c r="N140" s="132">
        <f t="shared" si="45"/>
        <v>0</v>
      </c>
      <c r="O140" s="132">
        <f t="shared" si="45"/>
        <v>0</v>
      </c>
      <c r="P140" s="132">
        <f t="shared" si="45"/>
        <v>0</v>
      </c>
      <c r="Q140" s="132">
        <f t="shared" si="45"/>
        <v>0</v>
      </c>
      <c r="R140" s="132">
        <f t="shared" si="45"/>
        <v>0</v>
      </c>
      <c r="S140" s="132">
        <f t="shared" si="45"/>
        <v>0</v>
      </c>
      <c r="T140" s="132">
        <f t="shared" si="45"/>
        <v>0</v>
      </c>
      <c r="U140" s="132">
        <f t="shared" si="45"/>
        <v>0</v>
      </c>
      <c r="V140" s="132">
        <f t="shared" si="45"/>
        <v>0</v>
      </c>
      <c r="W140" s="132">
        <f t="shared" si="45"/>
        <v>0</v>
      </c>
      <c r="X140" s="132">
        <f t="shared" si="45"/>
        <v>0</v>
      </c>
      <c r="Y140" s="132">
        <f t="shared" si="45"/>
        <v>0</v>
      </c>
      <c r="AA140" s="355">
        <f t="shared" si="28"/>
        <v>0</v>
      </c>
      <c r="AB140" s="356">
        <f t="shared" si="41"/>
        <v>0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0</v>
      </c>
      <c r="G141" s="147">
        <f t="shared" ref="G141:Y141" si="46">(G139-G140)*$C$141</f>
        <v>0</v>
      </c>
      <c r="H141" s="147">
        <f t="shared" si="46"/>
        <v>0</v>
      </c>
      <c r="I141" s="147">
        <f t="shared" si="46"/>
        <v>0</v>
      </c>
      <c r="J141" s="147">
        <f t="shared" si="46"/>
        <v>0</v>
      </c>
      <c r="K141" s="147">
        <f t="shared" si="46"/>
        <v>0</v>
      </c>
      <c r="L141" s="147">
        <f t="shared" si="46"/>
        <v>0</v>
      </c>
      <c r="M141" s="147">
        <f t="shared" si="46"/>
        <v>0</v>
      </c>
      <c r="N141" s="147">
        <f t="shared" si="46"/>
        <v>0</v>
      </c>
      <c r="O141" s="147">
        <f t="shared" si="46"/>
        <v>0</v>
      </c>
      <c r="P141" s="147">
        <f t="shared" si="46"/>
        <v>0</v>
      </c>
      <c r="Q141" s="147">
        <f t="shared" si="46"/>
        <v>0</v>
      </c>
      <c r="R141" s="147">
        <f t="shared" si="46"/>
        <v>0</v>
      </c>
      <c r="S141" s="147">
        <f t="shared" si="46"/>
        <v>0</v>
      </c>
      <c r="T141" s="147">
        <f t="shared" si="46"/>
        <v>0</v>
      </c>
      <c r="U141" s="147">
        <f t="shared" si="46"/>
        <v>0</v>
      </c>
      <c r="V141" s="147">
        <f t="shared" si="46"/>
        <v>0</v>
      </c>
      <c r="W141" s="147">
        <f t="shared" si="46"/>
        <v>0</v>
      </c>
      <c r="X141" s="147">
        <f t="shared" si="46"/>
        <v>0</v>
      </c>
      <c r="Y141" s="147">
        <f t="shared" si="46"/>
        <v>0</v>
      </c>
      <c r="AA141" s="355">
        <f t="shared" si="28"/>
        <v>0</v>
      </c>
      <c r="AB141" s="356">
        <f t="shared" si="41"/>
        <v>0</v>
      </c>
    </row>
    <row r="142" spans="1:28" s="128" customFormat="1">
      <c r="A142" s="128" t="s">
        <v>71</v>
      </c>
      <c r="F142" s="132">
        <f>F139-F140-F141</f>
        <v>0</v>
      </c>
      <c r="G142" s="132">
        <f t="shared" ref="G142:Y142" si="47">G139-G140-G141</f>
        <v>0</v>
      </c>
      <c r="H142" s="132">
        <f t="shared" si="47"/>
        <v>0</v>
      </c>
      <c r="I142" s="132">
        <f t="shared" si="47"/>
        <v>0</v>
      </c>
      <c r="J142" s="132">
        <f t="shared" si="47"/>
        <v>0</v>
      </c>
      <c r="K142" s="132">
        <f t="shared" si="47"/>
        <v>0</v>
      </c>
      <c r="L142" s="132">
        <f t="shared" si="47"/>
        <v>0</v>
      </c>
      <c r="M142" s="132">
        <f t="shared" si="47"/>
        <v>0</v>
      </c>
      <c r="N142" s="132">
        <f t="shared" si="47"/>
        <v>0</v>
      </c>
      <c r="O142" s="132">
        <f t="shared" si="47"/>
        <v>0</v>
      </c>
      <c r="P142" s="132">
        <f t="shared" si="47"/>
        <v>0</v>
      </c>
      <c r="Q142" s="132">
        <f t="shared" si="47"/>
        <v>0</v>
      </c>
      <c r="R142" s="132">
        <f t="shared" si="47"/>
        <v>0</v>
      </c>
      <c r="S142" s="132">
        <f t="shared" si="47"/>
        <v>0</v>
      </c>
      <c r="T142" s="132">
        <f t="shared" si="47"/>
        <v>0</v>
      </c>
      <c r="U142" s="132">
        <f t="shared" si="47"/>
        <v>0</v>
      </c>
      <c r="V142" s="132">
        <f t="shared" si="47"/>
        <v>0</v>
      </c>
      <c r="W142" s="132">
        <f t="shared" si="47"/>
        <v>0</v>
      </c>
      <c r="X142" s="132">
        <f t="shared" si="47"/>
        <v>0</v>
      </c>
      <c r="Y142" s="132">
        <f t="shared" si="47"/>
        <v>0</v>
      </c>
      <c r="AA142" s="355">
        <f t="shared" si="28"/>
        <v>0</v>
      </c>
      <c r="AB142" s="356">
        <f t="shared" si="41"/>
        <v>0</v>
      </c>
    </row>
    <row r="143" spans="1:28" s="128" customFormat="1">
      <c r="AA143" s="355">
        <f t="shared" si="28"/>
        <v>0</v>
      </c>
      <c r="AB143" s="356">
        <f t="shared" si="41"/>
        <v>0</v>
      </c>
    </row>
    <row r="144" spans="1:28" s="128" customFormat="1">
      <c r="A144" s="146" t="str">
        <f>A76</f>
        <v>Net Income to FPLE</v>
      </c>
      <c r="F144" s="149">
        <f>F76</f>
        <v>770.59806064934662</v>
      </c>
      <c r="G144" s="149">
        <f t="shared" ref="G144:Y144" si="48">G76</f>
        <v>675.01756951157313</v>
      </c>
      <c r="H144" s="149">
        <f t="shared" si="48"/>
        <v>779.45116836007696</v>
      </c>
      <c r="I144" s="149">
        <f t="shared" si="48"/>
        <v>799.67663586166918</v>
      </c>
      <c r="J144" s="149">
        <f t="shared" si="48"/>
        <v>832.42901429252584</v>
      </c>
      <c r="K144" s="149">
        <f t="shared" si="48"/>
        <v>858.71912931446491</v>
      </c>
      <c r="L144" s="149">
        <f t="shared" si="48"/>
        <v>906.69691251607219</v>
      </c>
      <c r="M144" s="149">
        <f t="shared" si="48"/>
        <v>930.64062823684105</v>
      </c>
      <c r="N144" s="149">
        <f t="shared" si="48"/>
        <v>734.01034416025175</v>
      </c>
      <c r="O144" s="149">
        <f t="shared" si="48"/>
        <v>503.43351723308757</v>
      </c>
      <c r="P144" s="149">
        <f t="shared" si="48"/>
        <v>234.07294879771922</v>
      </c>
      <c r="Q144" s="149">
        <f t="shared" si="48"/>
        <v>237.67548673424847</v>
      </c>
      <c r="R144" s="149">
        <f t="shared" si="48"/>
        <v>242.06564670844091</v>
      </c>
      <c r="S144" s="149">
        <f t="shared" si="48"/>
        <v>243.91971855109801</v>
      </c>
      <c r="T144" s="149">
        <f t="shared" si="48"/>
        <v>275.21463598173818</v>
      </c>
      <c r="U144" s="149">
        <f t="shared" si="48"/>
        <v>366.78691680518489</v>
      </c>
      <c r="V144" s="149">
        <f t="shared" si="48"/>
        <v>0</v>
      </c>
      <c r="W144" s="149">
        <f t="shared" si="48"/>
        <v>0</v>
      </c>
      <c r="X144" s="149">
        <f t="shared" si="48"/>
        <v>0</v>
      </c>
      <c r="Y144" s="149">
        <f t="shared" si="48"/>
        <v>0</v>
      </c>
      <c r="AA144" s="355">
        <f t="shared" si="28"/>
        <v>9390.4083337143402</v>
      </c>
      <c r="AB144" s="356">
        <f t="shared" si="41"/>
        <v>9390.4083337143402</v>
      </c>
    </row>
    <row r="145" spans="1:28" s="128" customFormat="1">
      <c r="A145" s="103" t="s">
        <v>79</v>
      </c>
      <c r="F145" s="142">
        <f>F142+F144</f>
        <v>770.59806064934662</v>
      </c>
      <c r="G145" s="142">
        <f t="shared" ref="G145:Y145" si="49">G142+G144</f>
        <v>675.01756951157313</v>
      </c>
      <c r="H145" s="142">
        <f t="shared" si="49"/>
        <v>779.45116836007696</v>
      </c>
      <c r="I145" s="142">
        <f t="shared" si="49"/>
        <v>799.67663586166918</v>
      </c>
      <c r="J145" s="142">
        <f t="shared" si="49"/>
        <v>832.42901429252584</v>
      </c>
      <c r="K145" s="142">
        <f t="shared" si="49"/>
        <v>858.71912931446491</v>
      </c>
      <c r="L145" s="142">
        <f t="shared" si="49"/>
        <v>906.69691251607219</v>
      </c>
      <c r="M145" s="142">
        <f t="shared" si="49"/>
        <v>930.64062823684105</v>
      </c>
      <c r="N145" s="142">
        <f t="shared" si="49"/>
        <v>734.01034416025175</v>
      </c>
      <c r="O145" s="142">
        <f t="shared" si="49"/>
        <v>503.43351723308757</v>
      </c>
      <c r="P145" s="142">
        <f t="shared" si="49"/>
        <v>234.07294879771922</v>
      </c>
      <c r="Q145" s="142">
        <f t="shared" si="49"/>
        <v>237.67548673424847</v>
      </c>
      <c r="R145" s="142">
        <f t="shared" si="49"/>
        <v>242.06564670844091</v>
      </c>
      <c r="S145" s="142">
        <f t="shared" si="49"/>
        <v>243.91971855109801</v>
      </c>
      <c r="T145" s="142">
        <f t="shared" si="49"/>
        <v>275.21463598173818</v>
      </c>
      <c r="U145" s="142">
        <f t="shared" si="49"/>
        <v>366.78691680518489</v>
      </c>
      <c r="V145" s="142">
        <f t="shared" si="49"/>
        <v>0</v>
      </c>
      <c r="W145" s="142">
        <f t="shared" si="49"/>
        <v>0</v>
      </c>
      <c r="X145" s="142">
        <f t="shared" si="49"/>
        <v>0</v>
      </c>
      <c r="Y145" s="142">
        <f t="shared" si="49"/>
        <v>0</v>
      </c>
      <c r="AA145" s="355">
        <f t="shared" si="28"/>
        <v>9390.4083337143402</v>
      </c>
      <c r="AB145" s="356">
        <f t="shared" si="41"/>
        <v>9390.4083337143402</v>
      </c>
    </row>
    <row r="146" spans="1:28" s="128" customFormat="1">
      <c r="AA146" s="355">
        <f t="shared" si="28"/>
        <v>0</v>
      </c>
      <c r="AB146" s="356">
        <f t="shared" si="41"/>
        <v>0</v>
      </c>
    </row>
    <row r="147" spans="1:28" s="128" customFormat="1">
      <c r="AA147" s="355">
        <f t="shared" si="28"/>
        <v>0</v>
      </c>
      <c r="AB147" s="356">
        <f t="shared" si="41"/>
        <v>0</v>
      </c>
    </row>
    <row r="148" spans="1:28" s="128" customFormat="1">
      <c r="AA148" s="355">
        <f t="shared" si="28"/>
        <v>0</v>
      </c>
      <c r="AB148" s="356">
        <f t="shared" si="41"/>
        <v>0</v>
      </c>
    </row>
    <row r="149" spans="1:28" s="128" customFormat="1">
      <c r="A149" s="105" t="s">
        <v>110</v>
      </c>
      <c r="AA149" s="355">
        <f t="shared" si="28"/>
        <v>0</v>
      </c>
      <c r="AB149" s="356">
        <f t="shared" si="41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0</v>
      </c>
      <c r="G150" s="129">
        <f t="shared" ref="G150:Y150" si="50">G142</f>
        <v>0</v>
      </c>
      <c r="H150" s="129">
        <f t="shared" si="50"/>
        <v>0</v>
      </c>
      <c r="I150" s="129">
        <f t="shared" si="50"/>
        <v>0</v>
      </c>
      <c r="J150" s="129">
        <f t="shared" si="50"/>
        <v>0</v>
      </c>
      <c r="K150" s="129">
        <f t="shared" si="50"/>
        <v>0</v>
      </c>
      <c r="L150" s="129">
        <f t="shared" si="50"/>
        <v>0</v>
      </c>
      <c r="M150" s="129">
        <f t="shared" si="50"/>
        <v>0</v>
      </c>
      <c r="N150" s="129">
        <f t="shared" si="50"/>
        <v>0</v>
      </c>
      <c r="O150" s="129">
        <f t="shared" si="50"/>
        <v>0</v>
      </c>
      <c r="P150" s="129">
        <f t="shared" si="50"/>
        <v>0</v>
      </c>
      <c r="Q150" s="129">
        <f t="shared" si="50"/>
        <v>0</v>
      </c>
      <c r="R150" s="129">
        <f t="shared" si="50"/>
        <v>0</v>
      </c>
      <c r="S150" s="129">
        <f t="shared" si="50"/>
        <v>0</v>
      </c>
      <c r="T150" s="129">
        <f t="shared" si="50"/>
        <v>0</v>
      </c>
      <c r="U150" s="129">
        <f t="shared" si="50"/>
        <v>0</v>
      </c>
      <c r="V150" s="129">
        <f t="shared" si="50"/>
        <v>0</v>
      </c>
      <c r="W150" s="129">
        <f t="shared" si="50"/>
        <v>0</v>
      </c>
      <c r="X150" s="129">
        <f t="shared" si="50"/>
        <v>0</v>
      </c>
      <c r="Y150" s="129">
        <f t="shared" si="50"/>
        <v>0</v>
      </c>
      <c r="AA150" s="355">
        <f t="shared" si="28"/>
        <v>0</v>
      </c>
      <c r="AB150" s="356">
        <f t="shared" si="41"/>
        <v>0</v>
      </c>
    </row>
    <row r="151" spans="1:28" s="128" customFormat="1">
      <c r="A151" s="128" t="s">
        <v>111</v>
      </c>
      <c r="F151" s="182">
        <v>0</v>
      </c>
      <c r="G151" s="182">
        <v>0</v>
      </c>
      <c r="H151" s="182">
        <v>0</v>
      </c>
      <c r="I151" s="182">
        <v>0</v>
      </c>
      <c r="J151" s="182">
        <v>0</v>
      </c>
      <c r="K151" s="182">
        <v>0</v>
      </c>
      <c r="L151" s="182">
        <v>0</v>
      </c>
      <c r="M151" s="182">
        <v>0</v>
      </c>
      <c r="N151" s="182">
        <v>0</v>
      </c>
      <c r="O151" s="182">
        <v>0</v>
      </c>
      <c r="P151" s="182">
        <v>0</v>
      </c>
      <c r="Q151" s="182">
        <v>0</v>
      </c>
      <c r="R151" s="182">
        <v>0</v>
      </c>
      <c r="S151" s="182">
        <v>0</v>
      </c>
      <c r="T151" s="182">
        <v>0</v>
      </c>
      <c r="U151" s="182">
        <v>0</v>
      </c>
      <c r="V151" s="182">
        <v>0</v>
      </c>
      <c r="W151" s="182">
        <v>0</v>
      </c>
      <c r="X151" s="182">
        <v>0</v>
      </c>
      <c r="Y151" s="182">
        <v>0</v>
      </c>
      <c r="AA151" s="355">
        <f t="shared" si="28"/>
        <v>0</v>
      </c>
      <c r="AB151" s="356">
        <f t="shared" si="41"/>
        <v>0</v>
      </c>
    </row>
    <row r="152" spans="1:28" s="128" customFormat="1">
      <c r="F152" s="129">
        <f>F150+F151</f>
        <v>0</v>
      </c>
      <c r="G152" s="129">
        <f t="shared" ref="G152:Y152" si="51">G150+G151</f>
        <v>0</v>
      </c>
      <c r="H152" s="129">
        <f t="shared" si="51"/>
        <v>0</v>
      </c>
      <c r="I152" s="129">
        <f t="shared" si="51"/>
        <v>0</v>
      </c>
      <c r="J152" s="129">
        <f t="shared" si="51"/>
        <v>0</v>
      </c>
      <c r="K152" s="129">
        <f t="shared" si="51"/>
        <v>0</v>
      </c>
      <c r="L152" s="129">
        <f t="shared" si="51"/>
        <v>0</v>
      </c>
      <c r="M152" s="129">
        <f t="shared" si="51"/>
        <v>0</v>
      </c>
      <c r="N152" s="129">
        <f t="shared" si="51"/>
        <v>0</v>
      </c>
      <c r="O152" s="129">
        <f t="shared" si="51"/>
        <v>0</v>
      </c>
      <c r="P152" s="129">
        <f t="shared" si="51"/>
        <v>0</v>
      </c>
      <c r="Q152" s="129">
        <f t="shared" si="51"/>
        <v>0</v>
      </c>
      <c r="R152" s="129">
        <f t="shared" si="51"/>
        <v>0</v>
      </c>
      <c r="S152" s="129">
        <f t="shared" si="51"/>
        <v>0</v>
      </c>
      <c r="T152" s="129">
        <f t="shared" si="51"/>
        <v>0</v>
      </c>
      <c r="U152" s="129">
        <f t="shared" si="51"/>
        <v>0</v>
      </c>
      <c r="V152" s="129">
        <f t="shared" si="51"/>
        <v>0</v>
      </c>
      <c r="W152" s="129">
        <f t="shared" si="51"/>
        <v>0</v>
      </c>
      <c r="X152" s="129">
        <f t="shared" si="51"/>
        <v>0</v>
      </c>
      <c r="Y152" s="129">
        <f t="shared" si="51"/>
        <v>0</v>
      </c>
      <c r="AA152" s="355">
        <f t="shared" si="28"/>
        <v>0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0</v>
      </c>
    </row>
    <row r="156" spans="1:28" s="128" customFormat="1" ht="13.5" thickBot="1">
      <c r="A156" s="128" t="s">
        <v>48</v>
      </c>
      <c r="C156" s="152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13066.242022202465</v>
      </c>
    </row>
    <row r="161" spans="1:25" s="128" customFormat="1">
      <c r="A161" s="108" t="s">
        <v>74</v>
      </c>
      <c r="B161" s="109"/>
      <c r="C161" s="109"/>
      <c r="D161" s="183">
        <v>0</v>
      </c>
      <c r="F161" s="150"/>
    </row>
    <row r="162" spans="1:25" s="128" customFormat="1">
      <c r="A162" s="108" t="s">
        <v>75</v>
      </c>
      <c r="B162" s="109"/>
      <c r="C162" s="109"/>
      <c r="D162" s="111">
        <f>C155-D161</f>
        <v>0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13066.242022202465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 t="s">
        <v>156</v>
      </c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 t="s">
        <v>157</v>
      </c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 t="s">
        <v>158</v>
      </c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 t="s">
        <v>159</v>
      </c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6" t="s">
        <v>160</v>
      </c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6" t="s">
        <v>223</v>
      </c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 t="s">
        <v>186</v>
      </c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17" t="s">
        <v>189</v>
      </c>
      <c r="B176" s="17"/>
      <c r="C176" s="47">
        <f>E57</f>
        <v>0.32185893455098924</v>
      </c>
      <c r="D176" s="32" t="s">
        <v>222</v>
      </c>
      <c r="E176" s="32"/>
      <c r="F176" s="32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 t="s">
        <v>164</v>
      </c>
      <c r="B177" s="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 t="s">
        <v>179</v>
      </c>
      <c r="B178" s="6"/>
      <c r="C178" s="31"/>
      <c r="D178" s="31"/>
      <c r="E178" s="31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 t="s">
        <v>163</v>
      </c>
      <c r="B179" s="6"/>
      <c r="C179" s="31"/>
      <c r="D179" s="31"/>
      <c r="E179" s="31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6" t="s">
        <v>208</v>
      </c>
      <c r="B180" s="6"/>
      <c r="C180" s="31"/>
      <c r="D180" s="31"/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6" t="s">
        <v>166</v>
      </c>
      <c r="B181" s="6"/>
      <c r="C181" s="31"/>
      <c r="D181" s="31"/>
      <c r="E181" s="31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6" t="s">
        <v>167</v>
      </c>
      <c r="B182" s="6"/>
      <c r="C182" s="31"/>
      <c r="D182" s="31"/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 t="s">
        <v>168</v>
      </c>
      <c r="B183" s="6"/>
      <c r="C183" s="31"/>
      <c r="D183" s="31"/>
      <c r="E183" s="31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outlineLevel="1">
      <c r="A184" s="6"/>
      <c r="B184" s="6" t="s">
        <v>169</v>
      </c>
      <c r="C184" s="31"/>
      <c r="D184" s="31"/>
      <c r="E184" s="31"/>
      <c r="F184" s="6"/>
      <c r="G184" s="31"/>
      <c r="H184" s="6"/>
      <c r="I184" s="6"/>
      <c r="J184" s="6"/>
      <c r="K184" s="6"/>
      <c r="L184" s="6"/>
      <c r="M184" s="6"/>
      <c r="N184" s="6"/>
      <c r="O184" s="6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28"/>
      <c r="B185" s="6" t="s">
        <v>170</v>
      </c>
      <c r="C185" s="6"/>
      <c r="D185" s="31"/>
      <c r="E185" s="6"/>
      <c r="F185" s="31"/>
      <c r="G185" s="184"/>
      <c r="H185" s="185"/>
      <c r="I185" s="185"/>
      <c r="J185" s="185"/>
      <c r="K185" s="185"/>
      <c r="L185" s="185"/>
      <c r="M185" s="185"/>
      <c r="N185" s="185"/>
      <c r="O185" s="185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6"/>
      <c r="B186" s="6" t="s">
        <v>171</v>
      </c>
      <c r="C186" s="33"/>
      <c r="D186" s="31"/>
      <c r="E186" s="31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6" t="s">
        <v>182</v>
      </c>
      <c r="B187" s="6"/>
      <c r="C187" s="31"/>
      <c r="D187" s="31"/>
      <c r="E187" s="31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6"/>
      <c r="B188" s="6" t="s">
        <v>184</v>
      </c>
      <c r="C188" s="31"/>
      <c r="D188" s="31"/>
      <c r="E188" s="31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6"/>
      <c r="B189" s="6" t="s">
        <v>172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6"/>
      <c r="B190" s="6"/>
      <c r="C190" s="31"/>
      <c r="D190" s="31"/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6" t="s">
        <v>176</v>
      </c>
      <c r="B191" s="6"/>
      <c r="C191" s="31"/>
      <c r="D191" s="31"/>
      <c r="E191" s="31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6" t="s">
        <v>209</v>
      </c>
      <c r="B192" s="6"/>
      <c r="C192" s="31"/>
      <c r="D192" s="31"/>
      <c r="E192" s="31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6"/>
      <c r="B194" s="1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17"/>
      <c r="B195" s="6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38"/>
      <c r="B196" s="6"/>
      <c r="C196" s="6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40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39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8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40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" customHeight="1" outlineLevel="1">
      <c r="A219" s="40"/>
      <c r="B219" s="6"/>
      <c r="C219" s="6"/>
      <c r="D219" s="6"/>
      <c r="E219" s="27"/>
      <c r="F219" s="27"/>
      <c r="G219" s="2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4.25" customHeight="1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outlineLevel="1">
      <c r="A223" s="40"/>
      <c r="B223" s="6"/>
      <c r="C223" s="6"/>
      <c r="D223" s="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outlineLevel="1">
      <c r="A224" s="42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27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6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17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6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6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3"/>
      <c r="B236" s="3"/>
      <c r="C236" s="3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outlineLevel="1">
      <c r="A237" s="40"/>
      <c r="B237" s="6"/>
      <c r="C237" s="6"/>
      <c r="D237" s="6"/>
      <c r="E237" s="27"/>
      <c r="F237" s="27"/>
      <c r="G237" s="2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outlineLevel="1">
      <c r="A238" s="39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8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27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40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39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20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27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40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27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40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39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40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39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8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8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40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9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39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8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40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6"/>
      <c r="B279" s="6"/>
      <c r="C279" s="6"/>
      <c r="D279" s="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outlineLevel="1">
      <c r="A280" s="6"/>
      <c r="B280" s="6"/>
      <c r="C280" s="6"/>
      <c r="D280" s="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6"/>
      <c r="B281" s="6"/>
      <c r="C281" s="6"/>
      <c r="D281" s="6"/>
      <c r="E281" s="6"/>
      <c r="F281" s="6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3"/>
      <c r="B282" s="3"/>
      <c r="C282" s="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outlineLevel="1">
      <c r="A283" s="17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17"/>
      <c r="B284" s="43"/>
      <c r="C284" s="4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17"/>
      <c r="B287" s="17"/>
      <c r="C287" s="17"/>
      <c r="D287" s="1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44"/>
      <c r="B288" s="17"/>
      <c r="C288" s="17"/>
      <c r="D288" s="17"/>
      <c r="E288" s="45"/>
      <c r="F288" s="45"/>
      <c r="G288" s="45"/>
      <c r="H288" s="45"/>
      <c r="I288" s="45"/>
      <c r="J288" s="45"/>
      <c r="K288" s="45"/>
      <c r="L288" s="45"/>
      <c r="M288" s="6"/>
      <c r="N288" s="4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17"/>
      <c r="C289" s="17"/>
      <c r="D289" s="17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3"/>
      <c r="C292" s="3"/>
      <c r="D292" s="3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6"/>
      <c r="B293" s="6"/>
      <c r="C293" s="6"/>
      <c r="D293" s="6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17"/>
      <c r="B294" s="17"/>
      <c r="C294" s="17"/>
      <c r="D294" s="17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44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17"/>
      <c r="B306" s="17"/>
      <c r="C306" s="17"/>
      <c r="D306" s="17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17"/>
      <c r="B309" s="17"/>
      <c r="C309" s="17"/>
      <c r="D309" s="17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17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6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46"/>
      <c r="C312" s="46"/>
      <c r="D312" s="46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17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44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17"/>
      <c r="B315" s="17"/>
      <c r="C315" s="17"/>
      <c r="D315" s="17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6"/>
      <c r="B316" s="6"/>
      <c r="C316" s="6"/>
      <c r="D316" s="6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17"/>
      <c r="B317" s="17"/>
      <c r="C317" s="17"/>
      <c r="D317" s="17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6"/>
      <c r="C323" s="6"/>
      <c r="D323" s="6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17"/>
      <c r="B324" s="17"/>
      <c r="C324" s="17"/>
      <c r="D324" s="17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17"/>
      <c r="B325" s="17"/>
      <c r="C325" s="17"/>
      <c r="D325" s="17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6"/>
      <c r="B326" s="6"/>
      <c r="C326" s="6"/>
      <c r="D326" s="6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47"/>
      <c r="C327" s="47"/>
      <c r="D327" s="6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43"/>
      <c r="C328" s="43"/>
      <c r="D328" s="43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48"/>
      <c r="C330" s="48"/>
      <c r="D330" s="6"/>
      <c r="E330" s="6"/>
      <c r="F330" s="6"/>
      <c r="G330" s="20"/>
      <c r="H330" s="20"/>
      <c r="I330" s="20"/>
      <c r="J330" s="20"/>
      <c r="K330" s="20"/>
      <c r="L330" s="2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6"/>
      <c r="C331" s="6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s="187" customFormat="1" outlineLevel="1">
      <c r="A339" s="186"/>
    </row>
    <row r="340" spans="1:25" outlineLevel="1">
      <c r="A340" s="1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outlineLevel="1">
      <c r="A341" s="17"/>
      <c r="B341" s="6"/>
      <c r="C341" s="6"/>
      <c r="D341" s="6"/>
      <c r="E341" s="6"/>
      <c r="F341" s="6"/>
      <c r="G341" s="51"/>
      <c r="H341" s="51"/>
      <c r="I341" s="51"/>
      <c r="J341" s="51"/>
      <c r="K341" s="51"/>
      <c r="L341" s="5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7"/>
      <c r="B342" s="6"/>
      <c r="C342" s="6"/>
      <c r="D342" s="6"/>
      <c r="E342" s="6"/>
      <c r="F342" s="6"/>
      <c r="G342" s="51"/>
      <c r="H342" s="51"/>
      <c r="I342" s="51"/>
      <c r="J342" s="51"/>
      <c r="K342" s="51"/>
      <c r="L342" s="5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6"/>
      <c r="B343" s="52"/>
      <c r="C343" s="52"/>
      <c r="D343" s="52"/>
      <c r="E343" s="6"/>
      <c r="F343" s="6"/>
      <c r="G343" s="53"/>
      <c r="H343" s="53"/>
      <c r="I343" s="53"/>
      <c r="J343" s="53"/>
      <c r="K343" s="53"/>
      <c r="L343" s="5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7"/>
      <c r="B344" s="56"/>
      <c r="C344" s="56"/>
      <c r="D344" s="5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18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88"/>
      <c r="B346" s="6"/>
      <c r="C346" s="6"/>
      <c r="D346" s="6"/>
      <c r="E346" s="6"/>
      <c r="F346" s="6"/>
      <c r="G346" s="20"/>
      <c r="H346" s="20"/>
      <c r="I346" s="20"/>
      <c r="J346" s="20"/>
      <c r="K346" s="20"/>
      <c r="L346" s="2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88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88"/>
      <c r="B350" s="6"/>
      <c r="C350" s="6"/>
      <c r="D350" s="6"/>
      <c r="E350" s="6"/>
      <c r="F350" s="6"/>
      <c r="G350" s="51"/>
      <c r="H350" s="51"/>
      <c r="I350" s="51"/>
      <c r="J350" s="51"/>
      <c r="K350" s="51"/>
      <c r="L350" s="5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7"/>
      <c r="B351" s="6"/>
      <c r="C351" s="6"/>
      <c r="D351" s="6"/>
      <c r="E351" s="6"/>
      <c r="F351" s="6"/>
      <c r="G351" s="56"/>
      <c r="H351" s="56"/>
      <c r="I351" s="56"/>
      <c r="J351" s="56"/>
      <c r="K351" s="56"/>
      <c r="L351" s="5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88"/>
      <c r="B352" s="14"/>
      <c r="C352" s="14"/>
      <c r="D352" s="14"/>
      <c r="E352" s="6"/>
      <c r="F352" s="6"/>
      <c r="G352" s="189"/>
      <c r="H352" s="189"/>
      <c r="I352" s="189"/>
      <c r="J352" s="189"/>
      <c r="K352" s="189"/>
      <c r="L352" s="18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88"/>
      <c r="B353" s="6"/>
      <c r="C353" s="6"/>
      <c r="D353" s="6"/>
      <c r="E353" s="6"/>
      <c r="F353" s="6"/>
      <c r="G353" s="189"/>
      <c r="H353" s="189"/>
      <c r="I353" s="189"/>
      <c r="J353" s="189"/>
      <c r="K353" s="189"/>
      <c r="L353" s="18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188"/>
      <c r="B354" s="6"/>
      <c r="C354" s="6"/>
      <c r="D354" s="6"/>
      <c r="E354" s="6"/>
      <c r="F354" s="6"/>
      <c r="G354" s="189"/>
      <c r="H354" s="189"/>
      <c r="I354" s="189"/>
      <c r="J354" s="189"/>
      <c r="K354" s="189"/>
      <c r="L354" s="18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188"/>
      <c r="B355" s="6"/>
      <c r="C355" s="6"/>
      <c r="D355" s="6"/>
      <c r="E355" s="6"/>
      <c r="F355" s="6"/>
      <c r="G355" s="189"/>
      <c r="H355" s="189"/>
      <c r="I355" s="189"/>
      <c r="J355" s="189"/>
      <c r="K355" s="189"/>
      <c r="L355" s="18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188"/>
      <c r="B356" s="6"/>
      <c r="C356" s="6"/>
      <c r="D356" s="6"/>
      <c r="E356" s="6"/>
      <c r="F356" s="6"/>
      <c r="G356" s="56"/>
      <c r="H356" s="56"/>
      <c r="I356" s="56"/>
      <c r="J356" s="56"/>
      <c r="K356" s="56"/>
      <c r="L356" s="5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6"/>
      <c r="B358" s="6"/>
      <c r="C358" s="6"/>
      <c r="D358" s="6"/>
      <c r="E358" s="6"/>
      <c r="F358" s="6"/>
      <c r="G358" s="20"/>
      <c r="H358" s="20"/>
      <c r="I358" s="20"/>
      <c r="J358" s="20"/>
      <c r="K358" s="20"/>
      <c r="L358" s="2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20"/>
      <c r="F361" s="20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51"/>
      <c r="H364" s="51"/>
      <c r="I364" s="51"/>
      <c r="J364" s="51"/>
      <c r="K364" s="51"/>
      <c r="L364" s="5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188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188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188"/>
      <c r="B367" s="6"/>
      <c r="C367" s="6"/>
      <c r="D367" s="6"/>
      <c r="E367" s="20"/>
      <c r="F367" s="20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6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17"/>
      <c r="B375" s="6"/>
      <c r="C375" s="6"/>
      <c r="D375" s="6"/>
      <c r="E375" s="59"/>
      <c r="F375" s="59"/>
      <c r="G375" s="59"/>
      <c r="H375" s="59"/>
      <c r="I375" s="59"/>
      <c r="J375" s="59"/>
      <c r="K375" s="59"/>
      <c r="L375" s="5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14"/>
      <c r="E376" s="20"/>
      <c r="F376" s="20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59"/>
      <c r="F377" s="59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6"/>
      <c r="E378" s="6"/>
      <c r="F378" s="6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45"/>
      <c r="H383" s="45"/>
      <c r="I383" s="45"/>
      <c r="J383" s="45"/>
      <c r="K383" s="45"/>
      <c r="L383" s="4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59"/>
      <c r="H384" s="59"/>
      <c r="I384" s="59"/>
      <c r="J384" s="59"/>
      <c r="K384" s="59"/>
      <c r="L384" s="5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30" outlineLevel="1">
      <c r="A385" s="6"/>
      <c r="B385" s="6"/>
      <c r="C385" s="6"/>
      <c r="D385" s="6"/>
      <c r="E385" s="6"/>
      <c r="F385" s="6"/>
      <c r="G385" s="45"/>
      <c r="H385" s="45"/>
      <c r="I385" s="45"/>
      <c r="J385" s="45"/>
      <c r="K385" s="45"/>
      <c r="L385" s="4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30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30" outlineLevel="1">
      <c r="A387" s="6"/>
      <c r="B387" s="6"/>
      <c r="C387" s="6"/>
      <c r="D387" s="6"/>
      <c r="E387" s="6"/>
      <c r="F387" s="6"/>
      <c r="G387" s="45"/>
      <c r="H387" s="45"/>
      <c r="I387" s="45"/>
      <c r="J387" s="45"/>
      <c r="K387" s="45"/>
      <c r="L387" s="4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30" outlineLevel="1">
      <c r="A388" s="6"/>
      <c r="B388" s="6"/>
      <c r="C388" s="6"/>
      <c r="D388" s="6"/>
      <c r="E388" s="6"/>
      <c r="F388" s="6"/>
      <c r="G388" s="61"/>
      <c r="H388" s="61"/>
      <c r="I388" s="61"/>
      <c r="J388" s="61"/>
      <c r="K388" s="61"/>
      <c r="L388" s="6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30" outlineLevel="1">
      <c r="A389" s="6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30" hidden="1" outlineLevel="2">
      <c r="A390" s="17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30" hidden="1" outlineLevel="2">
      <c r="A391" s="17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30" hidden="1" outlineLevel="2">
      <c r="A392" s="6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30" hidden="1" outlineLevel="2">
      <c r="A393" s="17"/>
      <c r="B393" s="9"/>
      <c r="C393" s="9"/>
      <c r="D393" s="9"/>
      <c r="E393" s="10"/>
      <c r="F393" s="10"/>
      <c r="G393" s="10"/>
      <c r="H393" s="9"/>
      <c r="I393" s="9"/>
      <c r="J393" s="10"/>
      <c r="K393" s="10"/>
      <c r="L393" s="9"/>
      <c r="M393" s="10"/>
      <c r="N393" s="10"/>
      <c r="O393" s="10"/>
      <c r="P393" s="9"/>
      <c r="Q393" s="10"/>
      <c r="R393" s="10"/>
      <c r="S393" s="6"/>
      <c r="T393" s="6"/>
      <c r="U393" s="6"/>
      <c r="V393" s="6"/>
      <c r="W393" s="6"/>
      <c r="X393" s="10"/>
      <c r="Y393" s="6"/>
    </row>
    <row r="394" spans="1:30" hidden="1" outlineLevel="2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30" hidden="1" outlineLevel="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30" hidden="1" outlineLevel="2">
      <c r="A396" s="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6"/>
      <c r="T396" s="6"/>
      <c r="U396" s="6"/>
      <c r="V396" s="6"/>
      <c r="W396" s="6"/>
      <c r="X396" s="45"/>
      <c r="Y396" s="6"/>
    </row>
    <row r="397" spans="1:30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30" hidden="1" outlineLevel="2">
      <c r="A398" s="6"/>
      <c r="B398" s="59"/>
      <c r="C398" s="59"/>
      <c r="D398" s="59"/>
      <c r="E398" s="59"/>
      <c r="F398" s="59"/>
      <c r="G398" s="59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30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30" hidden="1" outlineLevel="2">
      <c r="A400" s="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45"/>
      <c r="Z400" s="45"/>
      <c r="AA400" s="45"/>
      <c r="AB400" s="45"/>
      <c r="AC400" s="45"/>
      <c r="AD400" s="45"/>
    </row>
    <row r="401" spans="1:25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6"/>
    </row>
    <row r="403" spans="1:25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idden="1" outlineLevel="2">
      <c r="A404" s="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6"/>
      <c r="T404" s="6"/>
      <c r="U404" s="6"/>
      <c r="V404" s="6"/>
      <c r="W404" s="6"/>
      <c r="X404" s="45"/>
      <c r="Y404" s="45"/>
    </row>
    <row r="405" spans="1:25" hidden="1" outlineLevel="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idden="1" outlineLevel="2">
      <c r="A406" s="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6"/>
      <c r="T406" s="6"/>
      <c r="U406" s="6"/>
      <c r="V406" s="6"/>
      <c r="W406" s="6"/>
      <c r="X406" s="45"/>
      <c r="Y406" s="45"/>
    </row>
    <row r="407" spans="1:25" hidden="1" outlineLevel="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1" collapsed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1">
      <c r="A411" s="3"/>
      <c r="B411" s="3"/>
      <c r="C411" s="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outlineLevel="1">
      <c r="A412" s="17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outlineLevel="1">
      <c r="A413" s="17"/>
      <c r="B413" s="43"/>
      <c r="C413" s="4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outlineLevel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outlineLevel="1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outlineLevel="1">
      <c r="A416" s="17"/>
      <c r="B416" s="17"/>
      <c r="C416" s="1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>
      <c r="A417" s="44"/>
      <c r="B417" s="17"/>
      <c r="C417" s="17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outlineLevel="1">
      <c r="A418" s="44"/>
      <c r="B418" s="17"/>
      <c r="C418" s="17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3"/>
      <c r="C421" s="3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6"/>
      <c r="B422" s="6"/>
      <c r="C422" s="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17"/>
      <c r="B423" s="17"/>
      <c r="C423" s="17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44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17"/>
      <c r="B435" s="17"/>
      <c r="C435" s="17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6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17"/>
      <c r="B439" s="17"/>
      <c r="C439" s="17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6"/>
      <c r="B440" s="6"/>
      <c r="C440" s="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17"/>
      <c r="B441" s="17"/>
      <c r="C441" s="17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6"/>
      <c r="C445" s="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17"/>
      <c r="B446" s="17"/>
      <c r="C446" s="17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17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44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3"/>
      <c r="B453" s="46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17"/>
      <c r="B454" s="17"/>
      <c r="C454" s="17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6"/>
      <c r="B455" s="6"/>
      <c r="C455" s="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43"/>
      <c r="C456" s="43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3"/>
      <c r="B461" s="3"/>
      <c r="C461" s="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17"/>
      <c r="B462" s="17"/>
      <c r="C462" s="1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17"/>
      <c r="B463" s="43"/>
      <c r="C463" s="4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6"/>
      <c r="T465" s="6"/>
      <c r="U465" s="6"/>
      <c r="V465" s="6"/>
      <c r="W465" s="6"/>
      <c r="X465" s="6"/>
      <c r="Y465" s="6"/>
    </row>
    <row r="466" spans="1:25" outlineLevel="1">
      <c r="A466" s="17"/>
      <c r="B466" s="17"/>
      <c r="C466" s="17"/>
      <c r="D466" s="1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outlineLevel="1">
      <c r="A467" s="44"/>
      <c r="B467" s="17"/>
      <c r="C467" s="17"/>
      <c r="D467" s="17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17"/>
      <c r="C468" s="17"/>
      <c r="D468" s="17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44"/>
      <c r="C469" s="44"/>
      <c r="D469" s="44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44"/>
      <c r="C470" s="44"/>
      <c r="D470" s="44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3"/>
      <c r="C471" s="3"/>
      <c r="D471" s="3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3"/>
      <c r="C472" s="3"/>
      <c r="D472" s="3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17"/>
      <c r="B473" s="17"/>
      <c r="C473" s="17"/>
      <c r="D473" s="17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17"/>
      <c r="C474" s="17"/>
      <c r="D474" s="17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44"/>
      <c r="C484" s="44"/>
      <c r="D484" s="44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44"/>
      <c r="C485" s="44"/>
      <c r="D485" s="44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17"/>
      <c r="B486" s="17"/>
      <c r="C486" s="17"/>
      <c r="D486" s="17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6"/>
      <c r="B487" s="17"/>
      <c r="C487" s="17"/>
      <c r="D487" s="17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44"/>
      <c r="B488" s="44"/>
      <c r="C488" s="44"/>
      <c r="D488" s="44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17"/>
      <c r="B489" s="17"/>
      <c r="C489" s="17"/>
      <c r="D489" s="17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44"/>
      <c r="B490" s="46"/>
      <c r="C490" s="46"/>
      <c r="D490" s="46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43"/>
      <c r="C494" s="43"/>
      <c r="D494" s="43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6"/>
      <c r="T498" s="6"/>
      <c r="U498" s="6"/>
      <c r="V498" s="6"/>
      <c r="W498" s="6"/>
      <c r="X498" s="6"/>
      <c r="Y498" s="6"/>
    </row>
    <row r="499" spans="1:25" outlineLevel="1">
      <c r="A499" s="6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</row>
    <row r="500" spans="1:25" outlineLevel="1">
      <c r="A500" s="6"/>
      <c r="B500" s="45"/>
      <c r="C500" s="45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spans="1:25" outlineLevel="1">
      <c r="A501" s="6"/>
      <c r="B501" s="43"/>
      <c r="C501" s="43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3"/>
      <c r="C502" s="43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6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17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6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6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17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17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6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6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outlineLevel="1">
      <c r="A514" s="6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outlineLevel="1">
      <c r="A515" s="6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outlineLevel="1">
      <c r="A516" s="6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spans="1:25" outlineLevel="1">
      <c r="A517" s="6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6"/>
      <c r="T517" s="6"/>
      <c r="U517" s="6"/>
      <c r="V517" s="6"/>
      <c r="W517" s="6"/>
      <c r="X517" s="6"/>
      <c r="Y517" s="6"/>
    </row>
    <row r="518" spans="1:25" outlineLevel="1">
      <c r="A518" s="17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6"/>
      <c r="F522" s="6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6"/>
      <c r="T522" s="6"/>
      <c r="U522" s="6"/>
      <c r="V522" s="6"/>
      <c r="W522" s="6"/>
      <c r="X522" s="6"/>
      <c r="Y522" s="6"/>
    </row>
    <row r="523" spans="1:25" outlineLevel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outlineLevel="1">
      <c r="A529" s="6"/>
      <c r="B529" s="6"/>
      <c r="C529" s="6"/>
      <c r="D529" s="6"/>
      <c r="E529" s="6"/>
      <c r="F529" s="6"/>
      <c r="G529" s="3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outlineLevel="1">
      <c r="A530" s="17"/>
      <c r="B530" s="6"/>
      <c r="C530" s="6"/>
      <c r="D530" s="6"/>
      <c r="E530" s="6"/>
      <c r="F530" s="6"/>
      <c r="G530" s="31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6"/>
      <c r="T530" s="6"/>
      <c r="U530" s="6"/>
      <c r="V530" s="6"/>
      <c r="W530" s="6"/>
      <c r="X530" s="6"/>
      <c r="Y530" s="6"/>
    </row>
    <row r="531" spans="1:25" outlineLevel="1">
      <c r="A531" s="6"/>
      <c r="B531" s="6"/>
      <c r="C531" s="6"/>
      <c r="D531" s="6"/>
      <c r="E531" s="6"/>
      <c r="F531" s="6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188"/>
      <c r="B535" s="6"/>
      <c r="C535" s="6"/>
      <c r="D535" s="6"/>
      <c r="E535" s="6"/>
      <c r="F535" s="6"/>
      <c r="G535" s="3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6"/>
      <c r="T535" s="6"/>
      <c r="U535" s="6"/>
      <c r="V535" s="6"/>
      <c r="W535" s="6"/>
      <c r="X535" s="6"/>
      <c r="Y535" s="6"/>
    </row>
    <row r="536" spans="1:25" outlineLevel="1">
      <c r="A536" s="188"/>
      <c r="B536" s="6"/>
      <c r="C536" s="6"/>
      <c r="D536" s="6"/>
      <c r="E536" s="6"/>
      <c r="F536" s="6"/>
      <c r="G536" s="3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6"/>
      <c r="T536" s="6"/>
      <c r="U536" s="6"/>
      <c r="V536" s="6"/>
      <c r="W536" s="6"/>
      <c r="X536" s="6"/>
      <c r="Y536" s="6"/>
    </row>
    <row r="537" spans="1:25" outlineLevel="1">
      <c r="A537" s="17"/>
      <c r="B537" s="6"/>
      <c r="C537" s="6"/>
      <c r="D537" s="6"/>
      <c r="E537" s="6"/>
      <c r="F537" s="6"/>
      <c r="G537" s="3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outlineLevel="1">
      <c r="A538" s="6"/>
      <c r="B538" s="6"/>
      <c r="C538" s="6"/>
      <c r="D538" s="6"/>
      <c r="E538" s="6"/>
      <c r="F538" s="6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3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17"/>
      <c r="B540" s="6"/>
      <c r="C540" s="6"/>
      <c r="D540" s="6"/>
      <c r="E540" s="6"/>
      <c r="F540" s="6"/>
      <c r="G540" s="31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6"/>
      <c r="T540" s="6"/>
      <c r="U540" s="6"/>
      <c r="V540" s="6"/>
      <c r="W540" s="6"/>
      <c r="X540" s="6"/>
      <c r="Y540" s="6"/>
    </row>
    <row r="541" spans="1:25" outlineLevel="1">
      <c r="A541" s="6"/>
      <c r="B541" s="14"/>
      <c r="C541" s="14"/>
      <c r="D541" s="6"/>
      <c r="E541" s="6"/>
      <c r="F541" s="6"/>
      <c r="G541" s="3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6"/>
      <c r="T541" s="6"/>
      <c r="U541" s="6"/>
      <c r="V541" s="6"/>
      <c r="W541" s="6"/>
      <c r="X541" s="6"/>
      <c r="Y541" s="6"/>
    </row>
    <row r="542" spans="1:25" outlineLevel="1">
      <c r="A542" s="17"/>
      <c r="B542" s="6"/>
      <c r="C542" s="6"/>
      <c r="D542" s="6"/>
      <c r="E542" s="6"/>
      <c r="F542" s="6"/>
      <c r="G542" s="3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outlineLevel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s="67" customFormat="1" outlineLevel="1">
      <c r="A545" s="66"/>
      <c r="B545" s="66"/>
      <c r="C545" s="66"/>
      <c r="D545" s="66"/>
      <c r="E545" s="66"/>
      <c r="F545" s="66"/>
      <c r="G545" s="66"/>
    </row>
    <row r="546" spans="1:25" s="67" customFormat="1" outlineLevel="1">
      <c r="A546" s="66"/>
      <c r="B546" s="66"/>
      <c r="C546" s="66"/>
      <c r="D546" s="66"/>
      <c r="E546" s="66"/>
      <c r="F546" s="68"/>
      <c r="G546" s="69"/>
      <c r="H546" s="66"/>
      <c r="I546" s="70"/>
    </row>
    <row r="547" spans="1:25" s="67" customFormat="1" outlineLevel="1">
      <c r="A547" s="66"/>
      <c r="B547" s="69"/>
      <c r="C547" s="69"/>
      <c r="D547" s="69"/>
      <c r="E547" s="69"/>
      <c r="F547" s="71"/>
      <c r="G547" s="47"/>
      <c r="H547" s="47"/>
      <c r="I547" s="70"/>
    </row>
    <row r="548" spans="1:25" s="67" customFormat="1" outlineLevel="1">
      <c r="A548" s="66"/>
      <c r="B548" s="47"/>
      <c r="C548" s="47"/>
      <c r="D548" s="47"/>
      <c r="E548" s="47"/>
      <c r="F548" s="47"/>
      <c r="G548" s="70"/>
      <c r="H548" s="47"/>
      <c r="I548" s="71"/>
    </row>
    <row r="549" spans="1:25" s="67" customFormat="1" outlineLevel="1">
      <c r="A549" s="72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 spans="1:25" s="67" customFormat="1" outlineLevel="1">
      <c r="A550" s="40"/>
      <c r="B550" s="66"/>
      <c r="C550" s="66"/>
      <c r="D550" s="66"/>
      <c r="E550" s="66"/>
      <c r="F550" s="66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s="67" customFormat="1" outlineLevel="1">
      <c r="A551" s="39"/>
      <c r="B551" s="66"/>
      <c r="C551" s="66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74"/>
      <c r="C552" s="74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155"/>
      <c r="C553" s="155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8"/>
      <c r="B554" s="72"/>
      <c r="C554" s="72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27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40"/>
      <c r="B556" s="66"/>
      <c r="C556" s="66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76"/>
      <c r="B557" s="77"/>
      <c r="C557" s="7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42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40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39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39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40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39"/>
      <c r="B575" s="77"/>
      <c r="C575" s="7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 spans="1:25" s="67" customFormat="1" outlineLevel="1">
      <c r="A576" s="39"/>
      <c r="B576" s="80"/>
      <c r="C576" s="80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ht="13.9" customHeight="1" outlineLevel="1">
      <c r="A577" s="38"/>
      <c r="B577" s="80"/>
      <c r="C577" s="80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outlineLevel="1">
      <c r="A578" s="39"/>
      <c r="B578" s="74"/>
      <c r="C578" s="74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8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74"/>
      <c r="C581" s="74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74"/>
      <c r="C582" s="74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74"/>
      <c r="C583" s="74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40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40"/>
      <c r="B585" s="66"/>
      <c r="C585" s="66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39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39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82"/>
      <c r="C592" s="8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39"/>
      <c r="B593" s="82"/>
      <c r="C593" s="8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8"/>
      <c r="B594" s="80"/>
      <c r="C594" s="80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40"/>
      <c r="B595" s="66"/>
      <c r="C595" s="66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80"/>
      <c r="C598" s="80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outlineLevel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83"/>
      <c r="B606" s="6"/>
      <c r="C606" s="6"/>
      <c r="D606" s="6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3"/>
      <c r="B608" s="3"/>
      <c r="C608" s="3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idden="1" outlineLevel="2">
      <c r="A609" s="1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44"/>
      <c r="B610" s="6"/>
      <c r="C610" s="6"/>
      <c r="D610" s="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6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17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44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6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44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6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17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44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outlineLevel="1" collapsed="1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6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6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17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>
      <c r="A643" s="6"/>
      <c r="B643" s="6"/>
      <c r="C643" s="6"/>
      <c r="D643" s="6"/>
      <c r="E643" s="6"/>
      <c r="F643" s="6"/>
      <c r="G643" s="6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D856"/>
  <sheetViews>
    <sheetView topLeftCell="A27" zoomScale="75" zoomScaleNormal="75" workbookViewId="0">
      <selection activeCell="D179" sqref="D179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96</v>
      </c>
      <c r="C1" s="418">
        <v>11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>
        <f>[15]FINANCIALS!O$10</f>
        <v>1279.9470614521595</v>
      </c>
      <c r="F10" s="163">
        <f>[15]FINANCIALS!P$10</f>
        <v>1279.9470614521595</v>
      </c>
      <c r="G10" s="163">
        <f>[15]FINANCIALS!Q$10</f>
        <v>1279.9470614521595</v>
      </c>
      <c r="H10" s="163">
        <f>[15]FINANCIALS!R$10</f>
        <v>1279.9470614521595</v>
      </c>
      <c r="I10" s="163">
        <f>[15]FINANCIALS!S$10</f>
        <v>1279.9470614521595</v>
      </c>
      <c r="J10" s="163">
        <f>[15]FINANCIALS!T$10</f>
        <v>1279.9470614521595</v>
      </c>
      <c r="K10" s="163">
        <f>[15]FINANCIALS!U$10</f>
        <v>1279.9470614521595</v>
      </c>
      <c r="L10" s="163">
        <f>[15]FINANCIALS!V$10</f>
        <v>1279.9470614521595</v>
      </c>
      <c r="M10" s="163">
        <f>[15]FINANCIALS!W$10</f>
        <v>1279.9470614521595</v>
      </c>
      <c r="N10" s="163">
        <f>[15]FINANCIALS!X$10</f>
        <v>1279.9470614521595</v>
      </c>
      <c r="O10" s="163">
        <f>[15]FINANCIALS!Y$10</f>
        <v>1279.9470614521595</v>
      </c>
      <c r="P10" s="163">
        <f>[15]FINANCIALS!Z$10</f>
        <v>1279.9470614521595</v>
      </c>
      <c r="Q10" s="163">
        <f>[15]FINANCIALS!AA$10</f>
        <v>1279.9470614521595</v>
      </c>
      <c r="R10" s="163">
        <f>[15]FINANCIALS!AB$10</f>
        <v>1279.9470614521595</v>
      </c>
      <c r="S10" s="163">
        <f>[15]FINANCIALS!AC$10</f>
        <v>1279.9470614521595</v>
      </c>
      <c r="T10" s="163">
        <f>[15]FINANCIALS!AD$10</f>
        <v>0</v>
      </c>
      <c r="U10" s="163">
        <f>[15]FINANCIALS!AE$10</f>
        <v>0</v>
      </c>
      <c r="V10" s="163">
        <f>[15]FINANCIALS!AF$10</f>
        <v>0</v>
      </c>
      <c r="W10" s="163">
        <f>[15]FINANCIALS!AG$10</f>
        <v>0</v>
      </c>
      <c r="X10" s="163">
        <f>[15]FINANCIALS!AH$10</f>
        <v>0</v>
      </c>
      <c r="Y10" s="163">
        <f>[15]FINANCIALS!AI$10</f>
        <v>0</v>
      </c>
      <c r="AA10" s="355">
        <f t="shared" ref="AA10:AA38" si="1">SUM(F10:Y10)</f>
        <v>17919.258860330232</v>
      </c>
      <c r="AB10" s="356">
        <f>AA10*$C$60</f>
        <v>8959.629430165116</v>
      </c>
    </row>
    <row r="11" spans="1:28">
      <c r="A11" s="4" t="s">
        <v>8</v>
      </c>
      <c r="B11" s="9"/>
      <c r="C11" s="9"/>
      <c r="D11" s="86">
        <v>1</v>
      </c>
      <c r="E11" s="163">
        <f>[15]FINANCIALS!O$9</f>
        <v>2387.657403807867</v>
      </c>
      <c r="F11" s="163">
        <f>[15]FINANCIALS!P$9</f>
        <v>1707.7233345322834</v>
      </c>
      <c r="G11" s="163">
        <f>[15]FINANCIALS!Q$9</f>
        <v>1737.018565581556</v>
      </c>
      <c r="H11" s="163">
        <f>[15]FINANCIALS!R$9</f>
        <v>1766.8025165389868</v>
      </c>
      <c r="I11" s="163">
        <f>[15]FINANCIALS!S$9</f>
        <v>1797.0830181084818</v>
      </c>
      <c r="J11" s="163">
        <f>[15]FINANCIALS!T$9</f>
        <v>1827.8680187341408</v>
      </c>
      <c r="K11" s="163">
        <f>[15]FINANCIALS!U$9</f>
        <v>1834.3143942170811</v>
      </c>
      <c r="L11" s="163">
        <f>[15]FINANCIALS!V$9</f>
        <v>1840.2874775118464</v>
      </c>
      <c r="M11" s="163">
        <f>[15]FINANCIALS!W$9</f>
        <v>1845.7657583807147</v>
      </c>
      <c r="N11" s="163">
        <f>[15]FINANCIALS!X$9</f>
        <v>1850.7270554933336</v>
      </c>
      <c r="O11" s="163">
        <f>[15]FINANCIALS!Y$9</f>
        <v>1887.7415966032002</v>
      </c>
      <c r="P11" s="163">
        <f>[15]FINANCIALS!Z$9</f>
        <v>1925.4964285352639</v>
      </c>
      <c r="Q11" s="163">
        <f>[15]FINANCIALS!AA$9</f>
        <v>1964.00635710597</v>
      </c>
      <c r="R11" s="163">
        <f>[15]FINANCIALS!AB$9</f>
        <v>2003.2864842480892</v>
      </c>
      <c r="S11" s="163">
        <f>[15]FINANCIALS!AC$9</f>
        <v>2003.2864842480892</v>
      </c>
      <c r="T11" s="163">
        <f>[15]FINANCIALS!AD$9</f>
        <v>0</v>
      </c>
      <c r="U11" s="163">
        <f>[15]FINANCIALS!AE$9</f>
        <v>0</v>
      </c>
      <c r="V11" s="163">
        <f>[15]FINANCIALS!AF$9</f>
        <v>0</v>
      </c>
      <c r="W11" s="163">
        <f>[15]FINANCIALS!AG$9</f>
        <v>0</v>
      </c>
      <c r="X11" s="163">
        <f>[15]FINANCIALS!AH$9</f>
        <v>0</v>
      </c>
      <c r="Y11" s="163">
        <f>[15]FINANCIALS!AI$9</f>
        <v>0</v>
      </c>
      <c r="AA11" s="355">
        <f t="shared" si="1"/>
        <v>25991.407489839035</v>
      </c>
      <c r="AB11" s="356">
        <f t="shared" ref="AB11:AB74" si="2">AA11*$C$60</f>
        <v>12995.703744919518</v>
      </c>
    </row>
    <row r="12" spans="1:28">
      <c r="A12" s="4" t="s">
        <v>9</v>
      </c>
      <c r="B12" s="9"/>
      <c r="C12" s="9"/>
      <c r="D12" s="86">
        <v>1</v>
      </c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AA12" s="355">
        <f t="shared" si="1"/>
        <v>0</v>
      </c>
      <c r="AB12" s="356">
        <f t="shared" si="2"/>
        <v>0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3667.6044652600267</v>
      </c>
      <c r="F20" s="86">
        <f t="shared" si="3"/>
        <v>2987.6703959844426</v>
      </c>
      <c r="G20" s="86">
        <f t="shared" si="3"/>
        <v>3016.9656270337155</v>
      </c>
      <c r="H20" s="86">
        <f t="shared" si="3"/>
        <v>3046.749577991146</v>
      </c>
      <c r="I20" s="86">
        <f t="shared" si="3"/>
        <v>3077.0300795606413</v>
      </c>
      <c r="J20" s="86">
        <f t="shared" si="3"/>
        <v>3107.8150801863003</v>
      </c>
      <c r="K20" s="86">
        <f t="shared" si="3"/>
        <v>3114.2614556692406</v>
      </c>
      <c r="L20" s="86">
        <f t="shared" si="3"/>
        <v>3120.2345389640059</v>
      </c>
      <c r="M20" s="86">
        <f t="shared" si="3"/>
        <v>3125.7128198328742</v>
      </c>
      <c r="N20" s="86">
        <f t="shared" si="3"/>
        <v>3130.6741169454931</v>
      </c>
      <c r="O20" s="86">
        <f t="shared" si="3"/>
        <v>3167.6886580553596</v>
      </c>
      <c r="P20" s="86">
        <f t="shared" si="3"/>
        <v>3205.4434899874232</v>
      </c>
      <c r="Q20" s="86">
        <f t="shared" si="3"/>
        <v>3243.9534185581297</v>
      </c>
      <c r="R20" s="86">
        <f t="shared" si="3"/>
        <v>3283.2335457002487</v>
      </c>
      <c r="S20" s="86">
        <f t="shared" si="3"/>
        <v>3283.2335457002487</v>
      </c>
      <c r="T20" s="86">
        <f t="shared" si="3"/>
        <v>0</v>
      </c>
      <c r="U20" s="86">
        <f t="shared" si="3"/>
        <v>0</v>
      </c>
      <c r="V20" s="86">
        <f t="shared" si="3"/>
        <v>0</v>
      </c>
      <c r="W20" s="86">
        <f t="shared" si="3"/>
        <v>0</v>
      </c>
      <c r="X20" s="86">
        <f t="shared" si="3"/>
        <v>0</v>
      </c>
      <c r="Y20" s="86">
        <f t="shared" si="3"/>
        <v>0</v>
      </c>
      <c r="AA20" s="355">
        <f t="shared" si="1"/>
        <v>43910.666350169275</v>
      </c>
      <c r="AB20" s="356">
        <f t="shared" si="2"/>
        <v>21955.333175084637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51.467292685227271</v>
      </c>
      <c r="F23" s="417">
        <f>F25/$C$1</f>
        <v>52.346347230681822</v>
      </c>
      <c r="G23" s="417">
        <f>G25/$C$1</f>
        <v>53.242982867045455</v>
      </c>
      <c r="H23" s="417">
        <f>H25/$C$1</f>
        <v>54.157551216136362</v>
      </c>
      <c r="I23" s="417">
        <f t="shared" ref="I23:Y23" si="4">I25/$C$1</f>
        <v>55.090410932209096</v>
      </c>
      <c r="J23" s="417">
        <f t="shared" si="4"/>
        <v>56.041927842603279</v>
      </c>
      <c r="K23" s="417">
        <f t="shared" si="4"/>
        <v>57.012475091205346</v>
      </c>
      <c r="L23" s="417">
        <f t="shared" si="4"/>
        <v>58.00243328477945</v>
      </c>
      <c r="M23" s="417">
        <f t="shared" si="4"/>
        <v>59.012190642225043</v>
      </c>
      <c r="N23" s="417">
        <f t="shared" si="4"/>
        <v>60.042143146819541</v>
      </c>
      <c r="O23" s="417">
        <f t="shared" si="4"/>
        <v>61.092694701505934</v>
      </c>
      <c r="P23" s="417">
        <f t="shared" si="4"/>
        <v>62.164257287286048</v>
      </c>
      <c r="Q23" s="417">
        <f t="shared" si="4"/>
        <v>63.257251124781767</v>
      </c>
      <c r="R23" s="417">
        <f t="shared" si="4"/>
        <v>64.372104839027415</v>
      </c>
      <c r="S23" s="417">
        <f t="shared" si="4"/>
        <v>65.509255627557962</v>
      </c>
      <c r="T23" s="417">
        <f t="shared" si="4"/>
        <v>0</v>
      </c>
      <c r="U23" s="417">
        <f t="shared" si="4"/>
        <v>0</v>
      </c>
      <c r="V23" s="417">
        <f t="shared" si="4"/>
        <v>0</v>
      </c>
      <c r="W23" s="417">
        <f t="shared" si="4"/>
        <v>0</v>
      </c>
      <c r="X23" s="417">
        <f t="shared" si="4"/>
        <v>0</v>
      </c>
      <c r="Y23" s="417">
        <f t="shared" si="4"/>
        <v>0</v>
      </c>
      <c r="AA23" s="355">
        <f t="shared" si="1"/>
        <v>821.34402583386463</v>
      </c>
      <c r="AB23" s="356">
        <f t="shared" si="2"/>
        <v>410.67201291693232</v>
      </c>
    </row>
    <row r="24" spans="1:28">
      <c r="A24" s="4" t="s">
        <v>36</v>
      </c>
      <c r="D24" s="86">
        <v>0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[15]FINANCIALS!O$14+[15]FINANCIALS!O$18</f>
        <v>566.1402195375</v>
      </c>
      <c r="F25" s="163">
        <f>[15]FINANCIALS!P$14+[15]FINANCIALS!P$18</f>
        <v>575.80981953750006</v>
      </c>
      <c r="G25" s="163">
        <f>[15]FINANCIALS!Q$14+[15]FINANCIALS!Q$18</f>
        <v>585.67281153750002</v>
      </c>
      <c r="H25" s="163">
        <f>[15]FINANCIALS!R$14+[15]FINANCIALS!R$18</f>
        <v>595.7330633775</v>
      </c>
      <c r="I25" s="163">
        <f>[15]FINANCIALS!S$14+[15]FINANCIALS!S$18</f>
        <v>605.99452025430003</v>
      </c>
      <c r="J25" s="163">
        <f>[15]FINANCIALS!T$14+[15]FINANCIALS!T$18</f>
        <v>616.46120626863603</v>
      </c>
      <c r="K25" s="163">
        <f>[15]FINANCIALS!U$14+[15]FINANCIALS!U$18</f>
        <v>627.13722600325877</v>
      </c>
      <c r="L25" s="163">
        <f>[15]FINANCIALS!V$14+[15]FINANCIALS!V$18</f>
        <v>638.02676613257393</v>
      </c>
      <c r="M25" s="163">
        <f>[15]FINANCIALS!W$14+[15]FINANCIALS!W$18</f>
        <v>649.13409706447544</v>
      </c>
      <c r="N25" s="163">
        <f>[15]FINANCIALS!X$14+[15]FINANCIALS!X$18</f>
        <v>660.46357461501498</v>
      </c>
      <c r="O25" s="163">
        <f>[15]FINANCIALS!Y$14+[15]FINANCIALS!Y$18</f>
        <v>672.01964171656527</v>
      </c>
      <c r="P25" s="163">
        <f>[15]FINANCIALS!Z$14+[15]FINANCIALS!Z$18</f>
        <v>683.80683016014655</v>
      </c>
      <c r="Q25" s="163">
        <f>[15]FINANCIALS!AA$14+[15]FINANCIALS!AA$18</f>
        <v>695.82976237259948</v>
      </c>
      <c r="R25" s="163">
        <f>[15]FINANCIALS!AB$14+[15]FINANCIALS!AB$18</f>
        <v>708.09315322930149</v>
      </c>
      <c r="S25" s="163">
        <f>[15]FINANCIALS!AC$14+[15]FINANCIALS!AC$18</f>
        <v>720.60181190313756</v>
      </c>
      <c r="T25" s="163">
        <f>[15]FINANCIALS!AD$14+[15]FINANCIALS!AD$18</f>
        <v>0</v>
      </c>
      <c r="U25" s="163">
        <f>[15]FINANCIALS!AE$14+[15]FINANCIALS!AE$18</f>
        <v>0</v>
      </c>
      <c r="V25" s="163">
        <f>[15]FINANCIALS!AF$14+[15]FINANCIALS!AF$18</f>
        <v>0</v>
      </c>
      <c r="W25" s="163">
        <f>[15]FINANCIALS!AG$14+[15]FINANCIALS!AG$18</f>
        <v>0</v>
      </c>
      <c r="X25" s="163">
        <f>[15]FINANCIALS!AH$14+[15]FINANCIALS!AH$18</f>
        <v>0</v>
      </c>
      <c r="Y25" s="163">
        <f>[15]FINANCIALS!AI$14+[15]FINANCIALS!AI$18</f>
        <v>0</v>
      </c>
      <c r="AA25" s="355">
        <f t="shared" si="1"/>
        <v>9034.7842841725105</v>
      </c>
      <c r="AB25" s="356">
        <f t="shared" si="2"/>
        <v>4517.3921420862553</v>
      </c>
    </row>
    <row r="26" spans="1:28">
      <c r="A26" s="4" t="s">
        <v>16</v>
      </c>
      <c r="D26" s="86">
        <v>0</v>
      </c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>
        <f>[15]FINANCIALS!O$21</f>
        <v>0</v>
      </c>
      <c r="F28" s="163">
        <f>[15]FINANCIALS!P$21</f>
        <v>0</v>
      </c>
      <c r="G28" s="163">
        <f>[15]FINANCIALS!Q$21</f>
        <v>0</v>
      </c>
      <c r="H28" s="163">
        <f>[15]FINANCIALS!R$21</f>
        <v>0</v>
      </c>
      <c r="I28" s="163">
        <f>[15]FINANCIALS!S$21</f>
        <v>0</v>
      </c>
      <c r="J28" s="163">
        <f>[15]FINANCIALS!T$21</f>
        <v>0</v>
      </c>
      <c r="K28" s="163">
        <f>[15]FINANCIALS!U$21</f>
        <v>0</v>
      </c>
      <c r="L28" s="163">
        <f>[15]FINANCIALS!V$21</f>
        <v>0</v>
      </c>
      <c r="M28" s="163">
        <f>[15]FINANCIALS!W$21</f>
        <v>0</v>
      </c>
      <c r="N28" s="163">
        <f>[15]FINANCIALS!X$21</f>
        <v>0</v>
      </c>
      <c r="O28" s="163">
        <f>[15]FINANCIALS!Y$21</f>
        <v>0</v>
      </c>
      <c r="P28" s="163">
        <f>[15]FINANCIALS!Z$21</f>
        <v>0</v>
      </c>
      <c r="Q28" s="163">
        <f>[15]FINANCIALS!AA$21</f>
        <v>0</v>
      </c>
      <c r="R28" s="163">
        <f>[15]FINANCIALS!AB$21</f>
        <v>0</v>
      </c>
      <c r="S28" s="163">
        <f>[15]FINANCIALS!AC$21</f>
        <v>0</v>
      </c>
      <c r="T28" s="163">
        <f>[15]FINANCIALS!AD$21</f>
        <v>0</v>
      </c>
      <c r="U28" s="163">
        <f>[15]FINANCIALS!AE$21</f>
        <v>0</v>
      </c>
      <c r="V28" s="163">
        <f>[15]FINANCIALS!AF$21</f>
        <v>0</v>
      </c>
      <c r="W28" s="163">
        <f>[15]FINANCIALS!AG$21</f>
        <v>0</v>
      </c>
      <c r="X28" s="163">
        <f>[15]FINANCIALS!AH$21</f>
        <v>0</v>
      </c>
      <c r="Y28" s="163">
        <f>[15]FINANCIALS!AI$21</f>
        <v>0</v>
      </c>
      <c r="AA28" s="355">
        <f t="shared" si="1"/>
        <v>0</v>
      </c>
      <c r="AB28" s="356">
        <f t="shared" si="2"/>
        <v>0</v>
      </c>
    </row>
    <row r="29" spans="1:28">
      <c r="A29" s="4" t="s">
        <v>3</v>
      </c>
      <c r="D29" s="86">
        <v>0</v>
      </c>
      <c r="E29" s="163">
        <f>[15]FINANCIALS!O$20</f>
        <v>19.38</v>
      </c>
      <c r="F29" s="163">
        <f>[15]FINANCIALS!P$20</f>
        <v>19.767599999999998</v>
      </c>
      <c r="G29" s="163">
        <f>[15]FINANCIALS!Q$20</f>
        <v>20.162951999999997</v>
      </c>
      <c r="H29" s="163">
        <f>[15]FINANCIALS!R$20</f>
        <v>20.566211039999999</v>
      </c>
      <c r="I29" s="163">
        <f>[15]FINANCIALS!S$20</f>
        <v>20.9775352608</v>
      </c>
      <c r="J29" s="163">
        <f>[15]FINANCIALS!T$20</f>
        <v>21.397085966016</v>
      </c>
      <c r="K29" s="163">
        <f>[15]FINANCIALS!U$20</f>
        <v>21.82502768533632</v>
      </c>
      <c r="L29" s="163">
        <f>[15]FINANCIALS!V$20</f>
        <v>22.261528239043045</v>
      </c>
      <c r="M29" s="163">
        <f>[15]FINANCIALS!W$20</f>
        <v>22.706758803823906</v>
      </c>
      <c r="N29" s="163">
        <f>[15]FINANCIALS!X$20</f>
        <v>23.160893979900383</v>
      </c>
      <c r="O29" s="163">
        <f>[15]FINANCIALS!Y$20</f>
        <v>23.624111859498392</v>
      </c>
      <c r="P29" s="163">
        <f>[15]FINANCIALS!Z$20</f>
        <v>24.09659409668836</v>
      </c>
      <c r="Q29" s="163">
        <f>[15]FINANCIALS!AA$20</f>
        <v>24.578525978622128</v>
      </c>
      <c r="R29" s="163">
        <f>[15]FINANCIALS!AB$20</f>
        <v>25.07009649819457</v>
      </c>
      <c r="S29" s="163">
        <f>[15]FINANCIALS!AC$20</f>
        <v>25.57149842815846</v>
      </c>
      <c r="T29" s="163">
        <f>[15]FINANCIALS!AD$20</f>
        <v>0</v>
      </c>
      <c r="U29" s="163">
        <f>[15]FINANCIALS!AE$20</f>
        <v>0</v>
      </c>
      <c r="V29" s="163">
        <f>[15]FINANCIALS!AF$20</f>
        <v>0</v>
      </c>
      <c r="W29" s="163">
        <f>[15]FINANCIALS!AG$20</f>
        <v>0</v>
      </c>
      <c r="X29" s="163">
        <f>[15]FINANCIALS!AH$20</f>
        <v>0</v>
      </c>
      <c r="Y29" s="163">
        <f>[15]FINANCIALS!AI$20</f>
        <v>0</v>
      </c>
      <c r="AA29" s="355">
        <f t="shared" si="1"/>
        <v>315.76641983608152</v>
      </c>
      <c r="AB29" s="356">
        <f t="shared" si="2"/>
        <v>157.88320991804076</v>
      </c>
    </row>
    <row r="30" spans="1:28">
      <c r="A30" s="4" t="s">
        <v>38</v>
      </c>
      <c r="D30" s="86">
        <v>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86">
        <v>0</v>
      </c>
      <c r="E31" s="163">
        <f>[15]FINANCIALS!O$17</f>
        <v>91.869657079348826</v>
      </c>
      <c r="F31" s="163">
        <f>[15]FINANCIALS!P$17</f>
        <v>92.049241111414872</v>
      </c>
      <c r="G31" s="163">
        <f>[15]FINANCIALS!Q$17</f>
        <v>92.232327032106213</v>
      </c>
      <c r="H31" s="163">
        <f>[15]FINANCIALS!R$17</f>
        <v>92.418983128251028</v>
      </c>
      <c r="I31" s="163">
        <f>[15]FINANCIALS!S$17</f>
        <v>92.609279018270684</v>
      </c>
      <c r="J31" s="163">
        <f>[15]FINANCIALS!T$17</f>
        <v>92.803285678145713</v>
      </c>
      <c r="K31" s="163">
        <f>[15]FINANCIALS!U$17</f>
        <v>93.001075467888299</v>
      </c>
      <c r="L31" s="163">
        <f>[15]FINANCIALS!V$17</f>
        <v>93.202722158530875</v>
      </c>
      <c r="M31" s="163">
        <f>[15]FINANCIALS!W$17</f>
        <v>93.408300959640982</v>
      </c>
      <c r="N31" s="163">
        <f>[15]FINANCIALS!X$17</f>
        <v>93.617888547372729</v>
      </c>
      <c r="O31" s="163">
        <f>[15]FINANCIALS!Y$17</f>
        <v>93.831563093065256</v>
      </c>
      <c r="P31" s="163">
        <f>[15]FINANCIALS!Z$17</f>
        <v>94.049404292398776</v>
      </c>
      <c r="Q31" s="163">
        <f>[15]FINANCIALS!AA$17</f>
        <v>94.271493395119293</v>
      </c>
      <c r="R31" s="163">
        <f>[15]FINANCIALS!AB$17</f>
        <v>94.497913235342878</v>
      </c>
      <c r="S31" s="163">
        <f>[15]FINANCIALS!AC$17</f>
        <v>94.728748262450807</v>
      </c>
      <c r="T31" s="163">
        <f>[15]FINANCIALS!AD$17</f>
        <v>0</v>
      </c>
      <c r="U31" s="163">
        <f>[15]FINANCIALS!AE$17</f>
        <v>0</v>
      </c>
      <c r="V31" s="163">
        <f>[15]FINANCIALS!AF$17</f>
        <v>0</v>
      </c>
      <c r="W31" s="163">
        <f>[15]FINANCIALS!AG$17</f>
        <v>0</v>
      </c>
      <c r="X31" s="163">
        <f>[15]FINANCIALS!AH$17</f>
        <v>0</v>
      </c>
      <c r="Y31" s="163">
        <f>[15]FINANCIALS!AI$17</f>
        <v>0</v>
      </c>
      <c r="AA31" s="355">
        <f t="shared" si="1"/>
        <v>1306.7222253799985</v>
      </c>
      <c r="AB31" s="356">
        <f t="shared" si="2"/>
        <v>653.36111268999923</v>
      </c>
    </row>
    <row r="32" spans="1:28">
      <c r="A32" s="4" t="s">
        <v>34</v>
      </c>
      <c r="D32" s="86">
        <v>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>
        <f>[15]FINANCIALS!O$19</f>
        <v>80.110800000000012</v>
      </c>
      <c r="F34" s="163">
        <f>[15]FINANCIALS!P$19</f>
        <v>81.71301600000001</v>
      </c>
      <c r="G34" s="163">
        <f>[15]FINANCIALS!Q$19</f>
        <v>83.347276320000006</v>
      </c>
      <c r="H34" s="163">
        <f>[15]FINANCIALS!R$19</f>
        <v>85.014221846400005</v>
      </c>
      <c r="I34" s="163">
        <f>[15]FINANCIALS!S$19</f>
        <v>86.714506283328006</v>
      </c>
      <c r="J34" s="163">
        <f>[15]FINANCIALS!T$19</f>
        <v>88.448796408994568</v>
      </c>
      <c r="K34" s="163">
        <f>[15]FINANCIALS!U$19</f>
        <v>90.217772337174466</v>
      </c>
      <c r="L34" s="163">
        <f>[15]FINANCIALS!V$19</f>
        <v>92.022127783917952</v>
      </c>
      <c r="M34" s="163">
        <f>[15]FINANCIALS!W$19</f>
        <v>93.862570339596317</v>
      </c>
      <c r="N34" s="163">
        <f>[15]FINANCIALS!X$19</f>
        <v>95.739821746388245</v>
      </c>
      <c r="O34" s="163">
        <f>[15]FINANCIALS!Y$19</f>
        <v>97.65461818131601</v>
      </c>
      <c r="P34" s="163">
        <f>[15]FINANCIALS!Z$19</f>
        <v>99.607710544942336</v>
      </c>
      <c r="Q34" s="163">
        <f>[15]FINANCIALS!AA$19</f>
        <v>101.59986475584118</v>
      </c>
      <c r="R34" s="163">
        <f>[15]FINANCIALS!AB$19</f>
        <v>103.63186205095801</v>
      </c>
      <c r="S34" s="163">
        <f>[15]FINANCIALS!AC$19</f>
        <v>105.70449929197717</v>
      </c>
      <c r="T34" s="163">
        <f>[15]FINANCIALS!AD$19</f>
        <v>0</v>
      </c>
      <c r="U34" s="163">
        <f>[15]FINANCIALS!AE$19</f>
        <v>0</v>
      </c>
      <c r="V34" s="163">
        <f>[15]FINANCIALS!AF$19</f>
        <v>0</v>
      </c>
      <c r="W34" s="163">
        <f>[15]FINANCIALS!AG$19</f>
        <v>0</v>
      </c>
      <c r="X34" s="163">
        <f>[15]FINANCIALS!AH$19</f>
        <v>0</v>
      </c>
      <c r="Y34" s="163">
        <f>[15]FINANCIALS!AI$19</f>
        <v>0</v>
      </c>
      <c r="AA34" s="355">
        <f t="shared" si="1"/>
        <v>1305.2786638908342</v>
      </c>
      <c r="AB34" s="356">
        <f t="shared" si="2"/>
        <v>652.6393319454171</v>
      </c>
    </row>
    <row r="35" spans="1:28">
      <c r="A35" s="4" t="s">
        <v>19</v>
      </c>
      <c r="B35" s="6"/>
      <c r="C35" s="6"/>
      <c r="D35" s="87">
        <v>0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757.50067661684886</v>
      </c>
      <c r="F36" s="86">
        <f t="shared" si="5"/>
        <v>769.33967664891497</v>
      </c>
      <c r="G36" s="86">
        <f t="shared" si="5"/>
        <v>781.41536688960628</v>
      </c>
      <c r="H36" s="86">
        <f t="shared" si="5"/>
        <v>793.73247939215105</v>
      </c>
      <c r="I36" s="86">
        <f t="shared" si="5"/>
        <v>806.29584081669861</v>
      </c>
      <c r="J36" s="86">
        <f t="shared" si="5"/>
        <v>819.11037432179228</v>
      </c>
      <c r="K36" s="86">
        <f t="shared" si="5"/>
        <v>832.18110149365782</v>
      </c>
      <c r="L36" s="86">
        <f t="shared" si="5"/>
        <v>845.51314431406581</v>
      </c>
      <c r="M36" s="86">
        <f t="shared" si="5"/>
        <v>859.11172716753674</v>
      </c>
      <c r="N36" s="86">
        <f t="shared" si="5"/>
        <v>872.98217888867623</v>
      </c>
      <c r="O36" s="86">
        <f t="shared" si="5"/>
        <v>887.1299348504449</v>
      </c>
      <c r="P36" s="86">
        <f t="shared" si="5"/>
        <v>901.56053909417597</v>
      </c>
      <c r="Q36" s="86">
        <f t="shared" si="5"/>
        <v>916.279646502182</v>
      </c>
      <c r="R36" s="86">
        <f t="shared" si="5"/>
        <v>931.29302501379698</v>
      </c>
      <c r="S36" s="86">
        <f t="shared" si="5"/>
        <v>946.60655788572399</v>
      </c>
      <c r="T36" s="86">
        <f t="shared" si="5"/>
        <v>0</v>
      </c>
      <c r="U36" s="86">
        <f t="shared" si="5"/>
        <v>0</v>
      </c>
      <c r="V36" s="86">
        <f t="shared" si="5"/>
        <v>0</v>
      </c>
      <c r="W36" s="86">
        <f t="shared" si="5"/>
        <v>0</v>
      </c>
      <c r="X36" s="86">
        <f t="shared" si="5"/>
        <v>0</v>
      </c>
      <c r="Y36" s="86">
        <f t="shared" si="5"/>
        <v>0</v>
      </c>
      <c r="AA36" s="355">
        <f t="shared" si="1"/>
        <v>11962.551593279422</v>
      </c>
      <c r="AB36" s="356">
        <f t="shared" si="2"/>
        <v>5981.2757966397112</v>
      </c>
    </row>
    <row r="37" spans="1:28" outlineLevel="1">
      <c r="A37" s="4"/>
      <c r="B37" s="92"/>
      <c r="C37" s="92"/>
      <c r="D37" s="86"/>
      <c r="E37" s="416">
        <f>E36/E20</f>
        <v>0.20653826872335412</v>
      </c>
      <c r="F37" s="416">
        <f t="shared" ref="F37:Y37" si="6">F36/F20</f>
        <v>0.25750486990899013</v>
      </c>
      <c r="G37" s="416">
        <f t="shared" si="6"/>
        <v>0.25900704996029233</v>
      </c>
      <c r="H37" s="416">
        <f t="shared" si="6"/>
        <v>0.2605177941521184</v>
      </c>
      <c r="I37" s="416">
        <f t="shared" si="6"/>
        <v>0.26203703570289011</v>
      </c>
      <c r="J37" s="416">
        <f t="shared" si="6"/>
        <v>0.26356470806258203</v>
      </c>
      <c r="K37" s="416">
        <f t="shared" si="6"/>
        <v>0.26721619662945928</v>
      </c>
      <c r="L37" s="416">
        <f t="shared" si="6"/>
        <v>0.27097743254736129</v>
      </c>
      <c r="M37" s="416">
        <f t="shared" si="6"/>
        <v>0.27485305806611876</v>
      </c>
      <c r="N37" s="416">
        <f t="shared" si="6"/>
        <v>0.27884798809414868</v>
      </c>
      <c r="O37" s="416">
        <f t="shared" si="6"/>
        <v>0.28005591161697468</v>
      </c>
      <c r="P37" s="416">
        <f t="shared" si="6"/>
        <v>0.28125922104392281</v>
      </c>
      <c r="Q37" s="416">
        <f t="shared" si="6"/>
        <v>0.28245770770329043</v>
      </c>
      <c r="R37" s="416">
        <f t="shared" si="6"/>
        <v>0.28365116646466604</v>
      </c>
      <c r="S37" s="416">
        <f t="shared" si="6"/>
        <v>0.28831532838271839</v>
      </c>
      <c r="T37" s="416" t="e">
        <f t="shared" si="6"/>
        <v>#DIV/0!</v>
      </c>
      <c r="U37" s="416" t="e">
        <f t="shared" si="6"/>
        <v>#DIV/0!</v>
      </c>
      <c r="V37" s="416" t="e">
        <f t="shared" si="6"/>
        <v>#DIV/0!</v>
      </c>
      <c r="W37" s="416" t="e">
        <f t="shared" si="6"/>
        <v>#DIV/0!</v>
      </c>
      <c r="X37" s="416" t="e">
        <f t="shared" si="6"/>
        <v>#DIV/0!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2910.1037886431777</v>
      </c>
      <c r="F39" s="89">
        <f t="shared" si="7"/>
        <v>2218.3307193355276</v>
      </c>
      <c r="G39" s="89">
        <f t="shared" si="7"/>
        <v>2235.5502601441094</v>
      </c>
      <c r="H39" s="89">
        <f t="shared" si="7"/>
        <v>2253.0170985989948</v>
      </c>
      <c r="I39" s="89">
        <f t="shared" si="7"/>
        <v>2270.7342387439426</v>
      </c>
      <c r="J39" s="89">
        <f t="shared" si="7"/>
        <v>2288.704705864508</v>
      </c>
      <c r="K39" s="89">
        <f t="shared" si="7"/>
        <v>2282.0803541755827</v>
      </c>
      <c r="L39" s="89">
        <f t="shared" si="7"/>
        <v>2274.7213946499401</v>
      </c>
      <c r="M39" s="89">
        <f t="shared" si="7"/>
        <v>2266.6010926653375</v>
      </c>
      <c r="N39" s="89">
        <f t="shared" si="7"/>
        <v>2257.691938056817</v>
      </c>
      <c r="O39" s="89">
        <f t="shared" si="7"/>
        <v>2280.5587232049147</v>
      </c>
      <c r="P39" s="89">
        <f t="shared" si="7"/>
        <v>2303.8829508932472</v>
      </c>
      <c r="Q39" s="89">
        <f t="shared" si="7"/>
        <v>2327.6737720559477</v>
      </c>
      <c r="R39" s="89">
        <f t="shared" si="7"/>
        <v>2351.9405206864517</v>
      </c>
      <c r="S39" s="89">
        <f t="shared" si="7"/>
        <v>2336.6269878145249</v>
      </c>
      <c r="T39" s="89">
        <f t="shared" si="7"/>
        <v>0</v>
      </c>
      <c r="U39" s="89">
        <f t="shared" si="7"/>
        <v>0</v>
      </c>
      <c r="V39" s="89">
        <f t="shared" si="7"/>
        <v>0</v>
      </c>
      <c r="W39" s="89">
        <f t="shared" si="7"/>
        <v>0</v>
      </c>
      <c r="X39" s="89">
        <f t="shared" si="7"/>
        <v>0</v>
      </c>
      <c r="Y39" s="89">
        <f t="shared" si="7"/>
        <v>0</v>
      </c>
      <c r="AA39" s="355">
        <f>SUM(F39:Y39)</f>
        <v>31948.114756889841</v>
      </c>
      <c r="AB39" s="356">
        <f t="shared" si="2"/>
        <v>15974.057378444921</v>
      </c>
    </row>
    <row r="40" spans="1:28" s="17" customFormat="1">
      <c r="A40" s="1"/>
      <c r="B40" s="1"/>
      <c r="C40" s="1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681</v>
      </c>
      <c r="G41" s="86">
        <f t="shared" ref="G41:Y41" si="9">+G109</f>
        <v>681</v>
      </c>
      <c r="H41" s="86">
        <f t="shared" si="9"/>
        <v>681</v>
      </c>
      <c r="I41" s="86">
        <f t="shared" si="9"/>
        <v>681</v>
      </c>
      <c r="J41" s="86">
        <f t="shared" si="9"/>
        <v>681</v>
      </c>
      <c r="K41" s="86">
        <f t="shared" si="9"/>
        <v>681</v>
      </c>
      <c r="L41" s="86">
        <f t="shared" si="9"/>
        <v>681</v>
      </c>
      <c r="M41" s="86">
        <f t="shared" si="9"/>
        <v>681</v>
      </c>
      <c r="N41" s="86">
        <f t="shared" si="9"/>
        <v>681</v>
      </c>
      <c r="O41" s="86">
        <f t="shared" si="9"/>
        <v>681</v>
      </c>
      <c r="P41" s="86">
        <f t="shared" si="9"/>
        <v>681</v>
      </c>
      <c r="Q41" s="86">
        <f t="shared" si="9"/>
        <v>681</v>
      </c>
      <c r="R41" s="86">
        <f t="shared" si="9"/>
        <v>681</v>
      </c>
      <c r="S41" s="86">
        <f t="shared" si="9"/>
        <v>681</v>
      </c>
      <c r="T41" s="86">
        <f t="shared" si="9"/>
        <v>0</v>
      </c>
      <c r="U41" s="86">
        <f t="shared" si="9"/>
        <v>0</v>
      </c>
      <c r="V41" s="86">
        <f t="shared" si="9"/>
        <v>0</v>
      </c>
      <c r="W41" s="86">
        <f t="shared" si="9"/>
        <v>0</v>
      </c>
      <c r="X41" s="86">
        <f t="shared" si="9"/>
        <v>0</v>
      </c>
      <c r="Y41" s="86">
        <f t="shared" si="9"/>
        <v>0</v>
      </c>
      <c r="AA41" s="355">
        <f t="shared" si="8"/>
        <v>9534</v>
      </c>
      <c r="AB41" s="356">
        <f t="shared" si="2"/>
        <v>4767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2910.1037886431777</v>
      </c>
      <c r="F44" s="89">
        <f t="shared" si="10"/>
        <v>1537.3307193355276</v>
      </c>
      <c r="G44" s="89">
        <f t="shared" si="10"/>
        <v>1554.5502601441094</v>
      </c>
      <c r="H44" s="89">
        <f t="shared" si="10"/>
        <v>1572.0170985989948</v>
      </c>
      <c r="I44" s="89">
        <f t="shared" si="10"/>
        <v>1589.7342387439426</v>
      </c>
      <c r="J44" s="89">
        <f t="shared" si="10"/>
        <v>1607.704705864508</v>
      </c>
      <c r="K44" s="89">
        <f t="shared" si="10"/>
        <v>1601.0803541755827</v>
      </c>
      <c r="L44" s="89">
        <f t="shared" si="10"/>
        <v>1593.7213946499401</v>
      </c>
      <c r="M44" s="89">
        <f t="shared" si="10"/>
        <v>1585.6010926653375</v>
      </c>
      <c r="N44" s="89">
        <f t="shared" si="10"/>
        <v>1576.691938056817</v>
      </c>
      <c r="O44" s="89">
        <f t="shared" si="10"/>
        <v>1599.5587232049147</v>
      </c>
      <c r="P44" s="89">
        <f t="shared" si="10"/>
        <v>1622.8829508932472</v>
      </c>
      <c r="Q44" s="89">
        <f t="shared" si="10"/>
        <v>1646.6737720559477</v>
      </c>
      <c r="R44" s="89">
        <f t="shared" si="10"/>
        <v>1670.9405206864517</v>
      </c>
      <c r="S44" s="89">
        <f t="shared" si="10"/>
        <v>1655.6269878145249</v>
      </c>
      <c r="T44" s="89">
        <f t="shared" si="10"/>
        <v>0</v>
      </c>
      <c r="U44" s="89">
        <f t="shared" si="10"/>
        <v>0</v>
      </c>
      <c r="V44" s="89">
        <f t="shared" si="10"/>
        <v>0</v>
      </c>
      <c r="W44" s="89">
        <f t="shared" si="10"/>
        <v>0</v>
      </c>
      <c r="X44" s="89">
        <f t="shared" si="10"/>
        <v>0</v>
      </c>
      <c r="Y44" s="89">
        <f t="shared" si="10"/>
        <v>0</v>
      </c>
      <c r="AA44" s="355">
        <f t="shared" si="8"/>
        <v>22414.114756889841</v>
      </c>
      <c r="AB44" s="356">
        <f t="shared" si="2"/>
        <v>11207.057378444921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163">
        <f>-[15]FINANCIALS!$O$29</f>
        <v>304.85887499999984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2605.2449136431778</v>
      </c>
      <c r="F49" s="89">
        <f t="shared" si="11"/>
        <v>1537.3307193355276</v>
      </c>
      <c r="G49" s="89">
        <f t="shared" si="11"/>
        <v>1554.5502601441094</v>
      </c>
      <c r="H49" s="89">
        <f t="shared" si="11"/>
        <v>1572.0170985989948</v>
      </c>
      <c r="I49" s="89">
        <f t="shared" si="11"/>
        <v>1589.7342387439426</v>
      </c>
      <c r="J49" s="89">
        <f t="shared" si="11"/>
        <v>1607.704705864508</v>
      </c>
      <c r="K49" s="89">
        <f t="shared" si="11"/>
        <v>1601.0803541755827</v>
      </c>
      <c r="L49" s="89">
        <f t="shared" si="11"/>
        <v>1593.7213946499401</v>
      </c>
      <c r="M49" s="89">
        <f t="shared" si="11"/>
        <v>1585.6010926653375</v>
      </c>
      <c r="N49" s="89">
        <f t="shared" si="11"/>
        <v>1576.691938056817</v>
      </c>
      <c r="O49" s="89">
        <f t="shared" si="11"/>
        <v>1599.5587232049147</v>
      </c>
      <c r="P49" s="89">
        <f t="shared" si="11"/>
        <v>1622.8829508932472</v>
      </c>
      <c r="Q49" s="89">
        <f t="shared" si="11"/>
        <v>1646.6737720559477</v>
      </c>
      <c r="R49" s="89">
        <f t="shared" si="11"/>
        <v>1670.9405206864517</v>
      </c>
      <c r="S49" s="89">
        <f t="shared" si="11"/>
        <v>1655.6269878145249</v>
      </c>
      <c r="T49" s="89">
        <f t="shared" si="11"/>
        <v>0</v>
      </c>
      <c r="U49" s="89">
        <f t="shared" si="11"/>
        <v>0</v>
      </c>
      <c r="V49" s="89">
        <f t="shared" si="11"/>
        <v>0</v>
      </c>
      <c r="W49" s="89">
        <f t="shared" si="11"/>
        <v>0</v>
      </c>
      <c r="X49" s="89">
        <f t="shared" si="11"/>
        <v>0</v>
      </c>
      <c r="Y49" s="89">
        <f t="shared" si="11"/>
        <v>0</v>
      </c>
      <c r="AA49" s="355">
        <f t="shared" si="8"/>
        <v>22414.114756889841</v>
      </c>
      <c r="AB49" s="356">
        <f t="shared" si="2"/>
        <v>11207.057378444921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7">
        <v>0.05</v>
      </c>
      <c r="D51" s="86"/>
      <c r="E51" s="86">
        <f t="shared" ref="E51:Y51" si="12">E49*-$C$51</f>
        <v>-130.26224568215889</v>
      </c>
      <c r="F51" s="86">
        <f t="shared" si="12"/>
        <v>-76.866535966776382</v>
      </c>
      <c r="G51" s="51">
        <f t="shared" si="12"/>
        <v>-77.727513007205474</v>
      </c>
      <c r="H51" s="86">
        <f t="shared" si="12"/>
        <v>-78.600854929949747</v>
      </c>
      <c r="I51" s="86">
        <f t="shared" si="12"/>
        <v>-79.486711937197128</v>
      </c>
      <c r="J51" s="86">
        <f t="shared" si="12"/>
        <v>-80.385235293225406</v>
      </c>
      <c r="K51" s="86">
        <f t="shared" si="12"/>
        <v>-80.054017708779142</v>
      </c>
      <c r="L51" s="86">
        <f t="shared" si="12"/>
        <v>-79.686069732497003</v>
      </c>
      <c r="M51" s="86">
        <f t="shared" si="12"/>
        <v>-79.280054633266886</v>
      </c>
      <c r="N51" s="86">
        <f t="shared" si="12"/>
        <v>-78.834596902840858</v>
      </c>
      <c r="O51" s="86">
        <f t="shared" si="12"/>
        <v>-79.977936160245747</v>
      </c>
      <c r="P51" s="86">
        <f t="shared" si="12"/>
        <v>-81.14414754466236</v>
      </c>
      <c r="Q51" s="86">
        <f t="shared" si="12"/>
        <v>-82.333688602797395</v>
      </c>
      <c r="R51" s="86">
        <f t="shared" si="12"/>
        <v>-83.547026034322585</v>
      </c>
      <c r="S51" s="86">
        <f t="shared" si="12"/>
        <v>-82.781349390726248</v>
      </c>
      <c r="T51" s="86">
        <f t="shared" si="12"/>
        <v>0</v>
      </c>
      <c r="U51" s="86">
        <f t="shared" si="12"/>
        <v>0</v>
      </c>
      <c r="V51" s="86">
        <f t="shared" si="12"/>
        <v>0</v>
      </c>
      <c r="W51" s="86">
        <f t="shared" si="12"/>
        <v>0</v>
      </c>
      <c r="X51" s="86">
        <f t="shared" si="12"/>
        <v>0</v>
      </c>
      <c r="Y51" s="86">
        <f t="shared" si="12"/>
        <v>0</v>
      </c>
      <c r="AA51" s="355">
        <f t="shared" si="8"/>
        <v>-1120.7057378444927</v>
      </c>
      <c r="AB51" s="356">
        <f t="shared" si="2"/>
        <v>-560.35286892224633</v>
      </c>
    </row>
    <row r="52" spans="1:28">
      <c r="A52" s="4" t="s">
        <v>27</v>
      </c>
      <c r="C52" s="168">
        <v>0.35</v>
      </c>
      <c r="D52" s="85"/>
      <c r="E52" s="85">
        <f>((E49+E51)*-$C$52)+E56</f>
        <v>-866.24393378635648</v>
      </c>
      <c r="F52" s="85">
        <f t="shared" ref="F52:Y52" si="13">((F49+F51)*-$C$52)+F56</f>
        <v>-511.16246417906291</v>
      </c>
      <c r="G52" s="85">
        <f t="shared" si="13"/>
        <v>-516.88796149791631</v>
      </c>
      <c r="H52" s="85">
        <f t="shared" si="13"/>
        <v>-522.69568528416573</v>
      </c>
      <c r="I52" s="85">
        <f t="shared" si="13"/>
        <v>-528.5866343823609</v>
      </c>
      <c r="J52" s="85">
        <f t="shared" si="13"/>
        <v>-534.56181469994885</v>
      </c>
      <c r="K52" s="85">
        <f t="shared" si="13"/>
        <v>-532.35921776338125</v>
      </c>
      <c r="L52" s="85">
        <f t="shared" si="13"/>
        <v>-529.91236372110507</v>
      </c>
      <c r="M52" s="85">
        <f t="shared" si="13"/>
        <v>-527.21236331122475</v>
      </c>
      <c r="N52" s="85">
        <f t="shared" si="13"/>
        <v>-524.25006940389164</v>
      </c>
      <c r="O52" s="85">
        <f t="shared" si="13"/>
        <v>-531.85327546563417</v>
      </c>
      <c r="P52" s="85">
        <f t="shared" si="13"/>
        <v>-539.60858117200473</v>
      </c>
      <c r="Q52" s="85">
        <f t="shared" si="13"/>
        <v>-547.51902920860255</v>
      </c>
      <c r="R52" s="85">
        <f t="shared" si="13"/>
        <v>-555.5877231282451</v>
      </c>
      <c r="S52" s="85">
        <f t="shared" si="13"/>
        <v>-550.49597344832944</v>
      </c>
      <c r="T52" s="85">
        <f t="shared" si="13"/>
        <v>0</v>
      </c>
      <c r="U52" s="85">
        <f t="shared" si="13"/>
        <v>0</v>
      </c>
      <c r="V52" s="85">
        <f t="shared" si="13"/>
        <v>0</v>
      </c>
      <c r="W52" s="85">
        <f t="shared" si="13"/>
        <v>0</v>
      </c>
      <c r="X52" s="85">
        <f t="shared" si="13"/>
        <v>0</v>
      </c>
      <c r="Y52" s="85">
        <f t="shared" si="13"/>
        <v>0</v>
      </c>
      <c r="AA52" s="355">
        <f t="shared" si="8"/>
        <v>-7452.6931566658732</v>
      </c>
      <c r="AB52" s="356">
        <f t="shared" si="2"/>
        <v>-3726.3465783329366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1608.7387341746621</v>
      </c>
      <c r="F54" s="89">
        <f t="shared" si="14"/>
        <v>949.30171918968836</v>
      </c>
      <c r="G54" s="89">
        <f t="shared" si="14"/>
        <v>959.93478563898759</v>
      </c>
      <c r="H54" s="89">
        <f t="shared" si="14"/>
        <v>970.72055838487938</v>
      </c>
      <c r="I54" s="89">
        <f t="shared" si="14"/>
        <v>981.66089242438466</v>
      </c>
      <c r="J54" s="89">
        <f t="shared" si="14"/>
        <v>992.75765587133378</v>
      </c>
      <c r="K54" s="89">
        <f t="shared" si="14"/>
        <v>988.66711870342226</v>
      </c>
      <c r="L54" s="89">
        <f t="shared" si="14"/>
        <v>984.12296119633811</v>
      </c>
      <c r="M54" s="89">
        <f t="shared" si="14"/>
        <v>979.1086747208459</v>
      </c>
      <c r="N54" s="89">
        <f t="shared" si="14"/>
        <v>973.60727175008458</v>
      </c>
      <c r="O54" s="89">
        <f t="shared" si="14"/>
        <v>987.72751157903485</v>
      </c>
      <c r="P54" s="89">
        <f t="shared" si="14"/>
        <v>1002.1302221765802</v>
      </c>
      <c r="Q54" s="89">
        <f t="shared" si="14"/>
        <v>1016.8210542445478</v>
      </c>
      <c r="R54" s="89">
        <f t="shared" si="14"/>
        <v>1031.8057715238838</v>
      </c>
      <c r="S54" s="89">
        <f t="shared" si="14"/>
        <v>1022.3496649754692</v>
      </c>
      <c r="T54" s="89">
        <f t="shared" si="14"/>
        <v>0</v>
      </c>
      <c r="U54" s="89">
        <f t="shared" si="14"/>
        <v>0</v>
      </c>
      <c r="V54" s="89">
        <f t="shared" si="14"/>
        <v>0</v>
      </c>
      <c r="W54" s="89">
        <f t="shared" si="14"/>
        <v>0</v>
      </c>
      <c r="X54" s="89">
        <f t="shared" si="14"/>
        <v>0</v>
      </c>
      <c r="Y54" s="89">
        <f t="shared" si="14"/>
        <v>0</v>
      </c>
      <c r="AA54" s="355">
        <f t="shared" si="8"/>
        <v>13840.71586237948</v>
      </c>
      <c r="AB54" s="356">
        <f t="shared" si="2"/>
        <v>6920.3579311897402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v>0</v>
      </c>
      <c r="F56" s="169">
        <v>0</v>
      </c>
      <c r="G56" s="169">
        <v>0</v>
      </c>
      <c r="H56" s="169">
        <v>0</v>
      </c>
      <c r="I56" s="169">
        <v>0</v>
      </c>
      <c r="J56" s="169">
        <v>0</v>
      </c>
      <c r="K56" s="169">
        <v>0</v>
      </c>
      <c r="L56" s="169">
        <v>0</v>
      </c>
      <c r="M56" s="169">
        <v>0</v>
      </c>
      <c r="N56" s="169">
        <v>0</v>
      </c>
      <c r="O56" s="169">
        <v>0</v>
      </c>
      <c r="P56" s="169">
        <v>0</v>
      </c>
      <c r="Q56" s="169">
        <v>0</v>
      </c>
      <c r="R56" s="169">
        <v>0</v>
      </c>
      <c r="S56" s="169">
        <v>0</v>
      </c>
      <c r="T56" s="169">
        <v>0</v>
      </c>
      <c r="U56" s="169">
        <v>0</v>
      </c>
      <c r="V56" s="169">
        <v>0</v>
      </c>
      <c r="W56" s="169">
        <v>0</v>
      </c>
      <c r="X56" s="169">
        <v>0</v>
      </c>
      <c r="Y56" s="169">
        <v>0</v>
      </c>
      <c r="AA56" s="355">
        <f t="shared" si="8"/>
        <v>0</v>
      </c>
      <c r="AB56" s="356">
        <f t="shared" si="2"/>
        <v>0</v>
      </c>
    </row>
    <row r="57" spans="1:28" outlineLevel="1">
      <c r="A57" s="12"/>
      <c r="D57" s="419" t="s">
        <v>181</v>
      </c>
      <c r="E57" s="420">
        <f>E56/(0.017*C1*8760)</f>
        <v>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0.5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2910.1037886431777</v>
      </c>
      <c r="F64" s="16">
        <f t="shared" si="16"/>
        <v>2218.3307193355276</v>
      </c>
      <c r="G64" s="20">
        <f t="shared" si="16"/>
        <v>2235.5502601441094</v>
      </c>
      <c r="H64" s="16">
        <f t="shared" si="16"/>
        <v>2253.0170985989948</v>
      </c>
      <c r="I64" s="16">
        <f t="shared" si="16"/>
        <v>2270.7342387439426</v>
      </c>
      <c r="J64" s="16">
        <f t="shared" si="16"/>
        <v>2288.704705864508</v>
      </c>
      <c r="K64" s="16">
        <f t="shared" si="16"/>
        <v>2282.0803541755827</v>
      </c>
      <c r="L64" s="16">
        <f t="shared" si="16"/>
        <v>2274.7213946499401</v>
      </c>
      <c r="M64" s="16">
        <f t="shared" si="16"/>
        <v>2266.6010926653375</v>
      </c>
      <c r="N64" s="16">
        <f t="shared" si="16"/>
        <v>2257.691938056817</v>
      </c>
      <c r="O64" s="16">
        <f t="shared" si="16"/>
        <v>2280.5587232049147</v>
      </c>
      <c r="P64" s="16">
        <f t="shared" si="16"/>
        <v>2303.8829508932472</v>
      </c>
      <c r="Q64" s="16">
        <f t="shared" si="16"/>
        <v>2327.6737720559477</v>
      </c>
      <c r="R64" s="16">
        <f t="shared" si="16"/>
        <v>2351.9405206864517</v>
      </c>
      <c r="S64" s="16">
        <f t="shared" si="16"/>
        <v>2336.6269878145249</v>
      </c>
      <c r="T64" s="16">
        <f t="shared" si="16"/>
        <v>0</v>
      </c>
      <c r="U64" s="16">
        <f t="shared" si="16"/>
        <v>0</v>
      </c>
      <c r="V64" s="16">
        <f t="shared" si="16"/>
        <v>0</v>
      </c>
      <c r="W64" s="16">
        <f t="shared" si="16"/>
        <v>0</v>
      </c>
      <c r="X64" s="16">
        <f t="shared" si="16"/>
        <v>0</v>
      </c>
      <c r="Y64" s="16">
        <f t="shared" si="16"/>
        <v>0</v>
      </c>
      <c r="AA64" s="355">
        <f t="shared" si="8"/>
        <v>31948.114756889841</v>
      </c>
      <c r="AB64" s="356">
        <f t="shared" si="2"/>
        <v>15974.057378444921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171">
        <f>[15]FINANCIALS!$O$29+[15]FINANCIALS!$O$104+[15]FINANCIALS!$O$92</f>
        <v>-2904.919625</v>
      </c>
      <c r="F66" s="171">
        <v>0</v>
      </c>
      <c r="G66" s="171">
        <v>0</v>
      </c>
      <c r="H66" s="171">
        <v>0</v>
      </c>
      <c r="I66" s="171">
        <v>0</v>
      </c>
      <c r="J66" s="171">
        <v>0</v>
      </c>
      <c r="K66" s="171">
        <v>0</v>
      </c>
      <c r="L66" s="171">
        <v>0</v>
      </c>
      <c r="M66" s="171">
        <v>0</v>
      </c>
      <c r="N66" s="171">
        <v>0</v>
      </c>
      <c r="O66" s="171">
        <v>0</v>
      </c>
      <c r="P66" s="171">
        <v>0</v>
      </c>
      <c r="Q66" s="171">
        <v>0</v>
      </c>
      <c r="R66" s="171">
        <v>0</v>
      </c>
      <c r="S66" s="171">
        <v>0</v>
      </c>
      <c r="T66" s="171">
        <v>0</v>
      </c>
      <c r="U66" s="171">
        <v>0</v>
      </c>
      <c r="V66" s="171">
        <v>0</v>
      </c>
      <c r="W66" s="171">
        <v>0</v>
      </c>
      <c r="X66" s="171">
        <v>0</v>
      </c>
      <c r="Y66" s="171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7">SUM(E64:E66)</f>
        <v>5.184163643177726</v>
      </c>
      <c r="F69" s="91">
        <f t="shared" si="17"/>
        <v>2218.3307193355276</v>
      </c>
      <c r="G69" s="91">
        <f t="shared" si="17"/>
        <v>2235.5502601441094</v>
      </c>
      <c r="H69" s="91">
        <f t="shared" si="17"/>
        <v>2253.0170985989948</v>
      </c>
      <c r="I69" s="91">
        <f t="shared" si="17"/>
        <v>2270.7342387439426</v>
      </c>
      <c r="J69" s="91">
        <f t="shared" si="17"/>
        <v>2288.704705864508</v>
      </c>
      <c r="K69" s="91">
        <f t="shared" si="17"/>
        <v>2282.0803541755827</v>
      </c>
      <c r="L69" s="91">
        <f t="shared" si="17"/>
        <v>2274.7213946499401</v>
      </c>
      <c r="M69" s="91">
        <f t="shared" si="17"/>
        <v>2266.6010926653375</v>
      </c>
      <c r="N69" s="91">
        <f t="shared" si="17"/>
        <v>2257.691938056817</v>
      </c>
      <c r="O69" s="91">
        <f t="shared" si="17"/>
        <v>2280.5587232049147</v>
      </c>
      <c r="P69" s="91">
        <f t="shared" si="17"/>
        <v>2303.8829508932472</v>
      </c>
      <c r="Q69" s="91">
        <f t="shared" si="17"/>
        <v>2327.6737720559477</v>
      </c>
      <c r="R69" s="91">
        <f t="shared" si="17"/>
        <v>2351.9405206864517</v>
      </c>
      <c r="S69" s="91">
        <f t="shared" si="17"/>
        <v>2336.6269878145249</v>
      </c>
      <c r="T69" s="91">
        <f t="shared" si="17"/>
        <v>0</v>
      </c>
      <c r="U69" s="91">
        <f t="shared" si="17"/>
        <v>0</v>
      </c>
      <c r="V69" s="91">
        <f t="shared" si="17"/>
        <v>0</v>
      </c>
      <c r="W69" s="91">
        <f t="shared" si="17"/>
        <v>0</v>
      </c>
      <c r="X69" s="91">
        <f t="shared" si="17"/>
        <v>0</v>
      </c>
      <c r="Y69" s="91">
        <f t="shared" si="17"/>
        <v>0</v>
      </c>
      <c r="AA69" s="355">
        <f t="shared" si="8"/>
        <v>31948.114756889841</v>
      </c>
      <c r="AB69" s="356">
        <f t="shared" si="2"/>
        <v>15974.057378444921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8">F89</f>
        <v>714.63067115159197</v>
      </c>
      <c r="G71" s="94">
        <f t="shared" si="18"/>
        <v>1645.9294995707683</v>
      </c>
      <c r="H71" s="94">
        <f t="shared" si="18"/>
        <v>638.83744423141854</v>
      </c>
      <c r="I71" s="94">
        <f t="shared" si="18"/>
        <v>31.814044347762298</v>
      </c>
      <c r="J71" s="94">
        <f t="shared" si="18"/>
        <v>24.940340674146015</v>
      </c>
      <c r="K71" s="94">
        <f t="shared" si="18"/>
        <v>-422.71079013850016</v>
      </c>
      <c r="L71" s="94">
        <f t="shared" si="18"/>
        <v>-870.08093345360203</v>
      </c>
      <c r="M71" s="94">
        <f t="shared" si="18"/>
        <v>-866.97491794449149</v>
      </c>
      <c r="N71" s="94">
        <f t="shared" si="18"/>
        <v>-863.56716630673247</v>
      </c>
      <c r="O71" s="94">
        <f t="shared" si="18"/>
        <v>-872.31371162587993</v>
      </c>
      <c r="P71" s="94">
        <f t="shared" si="18"/>
        <v>-881.23522871666705</v>
      </c>
      <c r="Q71" s="94">
        <f t="shared" si="18"/>
        <v>-890.33521781139996</v>
      </c>
      <c r="R71" s="94">
        <f t="shared" si="18"/>
        <v>-899.61724916256776</v>
      </c>
      <c r="S71" s="94">
        <f t="shared" si="18"/>
        <v>-893.75982283905569</v>
      </c>
      <c r="T71" s="94">
        <f t="shared" si="18"/>
        <v>0</v>
      </c>
      <c r="U71" s="94">
        <f t="shared" si="18"/>
        <v>0</v>
      </c>
      <c r="V71" s="94">
        <f t="shared" si="18"/>
        <v>0</v>
      </c>
      <c r="W71" s="94">
        <f t="shared" si="18"/>
        <v>0</v>
      </c>
      <c r="X71" s="94">
        <f t="shared" si="18"/>
        <v>0</v>
      </c>
      <c r="Y71" s="94">
        <f t="shared" si="18"/>
        <v>0</v>
      </c>
      <c r="AA71" s="355">
        <f t="shared" si="8"/>
        <v>-4404.4430380232097</v>
      </c>
      <c r="AB71" s="356">
        <f t="shared" si="2"/>
        <v>-2202.2215190116049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19">E69+E71</f>
        <v>5.184163643177726</v>
      </c>
      <c r="F73" s="24">
        <f t="shared" si="19"/>
        <v>2932.9613904871194</v>
      </c>
      <c r="G73" s="24">
        <f t="shared" si="19"/>
        <v>3881.4797597148777</v>
      </c>
      <c r="H73" s="24">
        <f t="shared" si="19"/>
        <v>2891.8545428304133</v>
      </c>
      <c r="I73" s="24">
        <f t="shared" si="19"/>
        <v>2302.5482830917049</v>
      </c>
      <c r="J73" s="24">
        <f t="shared" si="19"/>
        <v>2313.6450465386542</v>
      </c>
      <c r="K73" s="24">
        <f t="shared" si="19"/>
        <v>1859.3695640370825</v>
      </c>
      <c r="L73" s="24">
        <f t="shared" si="19"/>
        <v>1404.640461196338</v>
      </c>
      <c r="M73" s="24">
        <f t="shared" si="19"/>
        <v>1399.6261747208459</v>
      </c>
      <c r="N73" s="24">
        <f t="shared" si="19"/>
        <v>1394.1247717500846</v>
      </c>
      <c r="O73" s="24">
        <f t="shared" si="19"/>
        <v>1408.2450115790348</v>
      </c>
      <c r="P73" s="24">
        <f t="shared" si="19"/>
        <v>1422.6477221765801</v>
      </c>
      <c r="Q73" s="24">
        <f t="shared" si="19"/>
        <v>1437.3385542445476</v>
      </c>
      <c r="R73" s="24">
        <f t="shared" si="19"/>
        <v>1452.3232715238839</v>
      </c>
      <c r="S73" s="24">
        <f t="shared" si="19"/>
        <v>1442.8671649754692</v>
      </c>
      <c r="T73" s="24">
        <f t="shared" si="19"/>
        <v>0</v>
      </c>
      <c r="U73" s="24">
        <f t="shared" si="19"/>
        <v>0</v>
      </c>
      <c r="V73" s="24">
        <f t="shared" si="19"/>
        <v>0</v>
      </c>
      <c r="W73" s="24">
        <f t="shared" si="19"/>
        <v>0</v>
      </c>
      <c r="X73" s="24">
        <f t="shared" si="19"/>
        <v>0</v>
      </c>
      <c r="Y73" s="24">
        <f t="shared" si="19"/>
        <v>0</v>
      </c>
      <c r="AA73" s="355">
        <f t="shared" si="8"/>
        <v>27543.671718866633</v>
      </c>
      <c r="AB73" s="356">
        <f t="shared" si="2"/>
        <v>13771.835859433317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"/>
      <c r="C76" s="159">
        <f>+C$60</f>
        <v>0.5</v>
      </c>
      <c r="D76" s="24"/>
      <c r="E76" s="24">
        <f t="shared" ref="E76:Y76" si="21">$C$76*E54</f>
        <v>804.36936708733106</v>
      </c>
      <c r="F76" s="24">
        <f t="shared" si="21"/>
        <v>474.65085959484418</v>
      </c>
      <c r="G76" s="91">
        <f t="shared" si="21"/>
        <v>479.9673928194938</v>
      </c>
      <c r="H76" s="24">
        <f t="shared" si="21"/>
        <v>485.36027919243969</v>
      </c>
      <c r="I76" s="24">
        <f t="shared" si="21"/>
        <v>490.83044621219233</v>
      </c>
      <c r="J76" s="24">
        <f t="shared" si="21"/>
        <v>496.37882793566689</v>
      </c>
      <c r="K76" s="24">
        <f t="shared" si="21"/>
        <v>494.33355935171113</v>
      </c>
      <c r="L76" s="24">
        <f t="shared" si="21"/>
        <v>492.06148059816906</v>
      </c>
      <c r="M76" s="24">
        <f t="shared" si="21"/>
        <v>489.55433736042295</v>
      </c>
      <c r="N76" s="24">
        <f t="shared" si="21"/>
        <v>486.80363587504229</v>
      </c>
      <c r="O76" s="24">
        <f t="shared" si="21"/>
        <v>493.86375578951743</v>
      </c>
      <c r="P76" s="24">
        <f t="shared" si="21"/>
        <v>501.06511108829011</v>
      </c>
      <c r="Q76" s="24">
        <f t="shared" si="21"/>
        <v>508.41052712227389</v>
      </c>
      <c r="R76" s="24">
        <f t="shared" si="21"/>
        <v>515.90288576194189</v>
      </c>
      <c r="S76" s="24">
        <f t="shared" si="21"/>
        <v>511.17483248773459</v>
      </c>
      <c r="T76" s="24">
        <f t="shared" si="21"/>
        <v>0</v>
      </c>
      <c r="U76" s="24">
        <f t="shared" si="21"/>
        <v>0</v>
      </c>
      <c r="V76" s="24">
        <f t="shared" si="21"/>
        <v>0</v>
      </c>
      <c r="W76" s="24">
        <f t="shared" si="21"/>
        <v>0</v>
      </c>
      <c r="X76" s="24">
        <f t="shared" si="21"/>
        <v>0</v>
      </c>
      <c r="Y76" s="24">
        <f t="shared" si="21"/>
        <v>0</v>
      </c>
      <c r="AA76" s="355">
        <f t="shared" si="8"/>
        <v>6920.3579311897402</v>
      </c>
      <c r="AB76" s="356">
        <f>AA76</f>
        <v>6920.3579311897402</v>
      </c>
    </row>
    <row r="77" spans="1:28" outlineLevel="1">
      <c r="A77" s="13" t="s">
        <v>136</v>
      </c>
      <c r="B77" s="22"/>
      <c r="C77" s="159">
        <f>+C60</f>
        <v>0.5</v>
      </c>
      <c r="D77" s="24"/>
      <c r="E77" s="24">
        <f t="shared" ref="E77:Y77" si="22">$C$77*E73</f>
        <v>2.592081821588863</v>
      </c>
      <c r="F77" s="24">
        <f t="shared" si="22"/>
        <v>1466.4806952435597</v>
      </c>
      <c r="G77" s="91">
        <f t="shared" si="22"/>
        <v>1940.7398798574388</v>
      </c>
      <c r="H77" s="24">
        <f t="shared" si="22"/>
        <v>1445.9272714152066</v>
      </c>
      <c r="I77" s="24">
        <f t="shared" si="22"/>
        <v>1151.2741415458524</v>
      </c>
      <c r="J77" s="24">
        <f t="shared" si="22"/>
        <v>1156.8225232693271</v>
      </c>
      <c r="K77" s="24">
        <f t="shared" si="22"/>
        <v>929.68478201854123</v>
      </c>
      <c r="L77" s="24">
        <f t="shared" si="22"/>
        <v>702.32023059816902</v>
      </c>
      <c r="M77" s="24">
        <f t="shared" si="22"/>
        <v>699.81308736042297</v>
      </c>
      <c r="N77" s="24">
        <f t="shared" si="22"/>
        <v>697.06238587504231</v>
      </c>
      <c r="O77" s="24">
        <f t="shared" si="22"/>
        <v>704.12250578951739</v>
      </c>
      <c r="P77" s="24">
        <f t="shared" si="22"/>
        <v>711.32386108829007</v>
      </c>
      <c r="Q77" s="24">
        <f t="shared" si="22"/>
        <v>718.6692771222738</v>
      </c>
      <c r="R77" s="24">
        <f t="shared" si="22"/>
        <v>726.16163576194197</v>
      </c>
      <c r="S77" s="24">
        <f t="shared" si="22"/>
        <v>721.43358248773461</v>
      </c>
      <c r="T77" s="24">
        <f t="shared" si="22"/>
        <v>0</v>
      </c>
      <c r="U77" s="24">
        <f t="shared" si="22"/>
        <v>0</v>
      </c>
      <c r="V77" s="24">
        <f t="shared" si="22"/>
        <v>0</v>
      </c>
      <c r="W77" s="24">
        <f t="shared" si="22"/>
        <v>0</v>
      </c>
      <c r="X77" s="24">
        <f t="shared" si="22"/>
        <v>0</v>
      </c>
      <c r="Y77" s="24">
        <f t="shared" si="22"/>
        <v>0</v>
      </c>
      <c r="AA77" s="355">
        <f t="shared" si="8"/>
        <v>13771.835859433317</v>
      </c>
      <c r="AB77" s="356">
        <f>AA77</f>
        <v>13771.835859433317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0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0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0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0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0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0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0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0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3">G62</f>
        <v>2002</v>
      </c>
      <c r="H86" s="99">
        <f t="shared" si="23"/>
        <v>2003</v>
      </c>
      <c r="I86" s="99">
        <f t="shared" si="23"/>
        <v>2004</v>
      </c>
      <c r="J86" s="99">
        <f t="shared" si="23"/>
        <v>2005</v>
      </c>
      <c r="K86" s="99">
        <f t="shared" si="23"/>
        <v>2006</v>
      </c>
      <c r="L86" s="99">
        <f t="shared" si="23"/>
        <v>2007</v>
      </c>
      <c r="M86" s="99">
        <f t="shared" si="23"/>
        <v>2008</v>
      </c>
      <c r="N86" s="99">
        <f t="shared" si="23"/>
        <v>2009</v>
      </c>
      <c r="O86" s="99">
        <f t="shared" si="23"/>
        <v>2010</v>
      </c>
      <c r="P86" s="99">
        <f t="shared" si="23"/>
        <v>2011</v>
      </c>
      <c r="Q86" s="99">
        <f t="shared" si="23"/>
        <v>2012</v>
      </c>
      <c r="R86" s="99">
        <f t="shared" si="23"/>
        <v>2013</v>
      </c>
      <c r="S86" s="99">
        <f t="shared" si="23"/>
        <v>2014</v>
      </c>
      <c r="T86" s="99">
        <f t="shared" si="23"/>
        <v>2015</v>
      </c>
      <c r="U86" s="99">
        <f t="shared" si="23"/>
        <v>2016</v>
      </c>
      <c r="V86" s="99">
        <f t="shared" si="23"/>
        <v>2017</v>
      </c>
      <c r="W86" s="99">
        <f t="shared" si="23"/>
        <v>2018</v>
      </c>
      <c r="X86" s="99">
        <f t="shared" si="23"/>
        <v>2019</v>
      </c>
      <c r="Y86" s="99">
        <f t="shared" si="23"/>
        <v>2020</v>
      </c>
      <c r="AA86" s="355">
        <f t="shared" si="8"/>
        <v>40210</v>
      </c>
      <c r="AB86" s="356">
        <f t="shared" si="20"/>
        <v>20105</v>
      </c>
    </row>
    <row r="87" spans="1:30" s="128" customFormat="1">
      <c r="AA87" s="355">
        <f t="shared" si="8"/>
        <v>0</v>
      </c>
      <c r="AB87" s="356">
        <f t="shared" si="20"/>
        <v>0</v>
      </c>
    </row>
    <row r="88" spans="1:30" s="128" customFormat="1">
      <c r="A88" s="11" t="s">
        <v>31</v>
      </c>
      <c r="F88" s="129">
        <f>F69</f>
        <v>2218.3307193355276</v>
      </c>
      <c r="G88" s="129">
        <f t="shared" ref="G88:Y88" si="24">G69</f>
        <v>2235.5502601441094</v>
      </c>
      <c r="H88" s="129">
        <f t="shared" si="24"/>
        <v>2253.0170985989948</v>
      </c>
      <c r="I88" s="129">
        <f t="shared" si="24"/>
        <v>2270.7342387439426</v>
      </c>
      <c r="J88" s="129">
        <f t="shared" si="24"/>
        <v>2288.704705864508</v>
      </c>
      <c r="K88" s="129">
        <f t="shared" si="24"/>
        <v>2282.0803541755827</v>
      </c>
      <c r="L88" s="129">
        <f t="shared" si="24"/>
        <v>2274.7213946499401</v>
      </c>
      <c r="M88" s="129">
        <f t="shared" si="24"/>
        <v>2266.6010926653375</v>
      </c>
      <c r="N88" s="129">
        <f t="shared" si="24"/>
        <v>2257.691938056817</v>
      </c>
      <c r="O88" s="129">
        <f t="shared" si="24"/>
        <v>2280.5587232049147</v>
      </c>
      <c r="P88" s="129">
        <f t="shared" si="24"/>
        <v>2303.8829508932472</v>
      </c>
      <c r="Q88" s="129">
        <f t="shared" si="24"/>
        <v>2327.6737720559477</v>
      </c>
      <c r="R88" s="129">
        <f t="shared" si="24"/>
        <v>2351.9405206864517</v>
      </c>
      <c r="S88" s="129">
        <f t="shared" si="24"/>
        <v>2336.6269878145249</v>
      </c>
      <c r="T88" s="129">
        <f t="shared" si="24"/>
        <v>0</v>
      </c>
      <c r="U88" s="129">
        <f t="shared" si="24"/>
        <v>0</v>
      </c>
      <c r="V88" s="129">
        <f t="shared" si="24"/>
        <v>0</v>
      </c>
      <c r="W88" s="129">
        <f t="shared" si="24"/>
        <v>0</v>
      </c>
      <c r="X88" s="129">
        <f t="shared" si="24"/>
        <v>0</v>
      </c>
      <c r="Y88" s="129">
        <f t="shared" si="24"/>
        <v>0</v>
      </c>
      <c r="AA88" s="355">
        <f t="shared" si="8"/>
        <v>31948.114756889841</v>
      </c>
      <c r="AB88" s="356">
        <f t="shared" si="20"/>
        <v>15974.057378444921</v>
      </c>
    </row>
    <row r="89" spans="1:30" s="128" customFormat="1">
      <c r="A89" s="128" t="s">
        <v>42</v>
      </c>
      <c r="F89" s="100">
        <f>F126+F127</f>
        <v>714.63067115159197</v>
      </c>
      <c r="G89" s="100">
        <f t="shared" ref="G89:Y89" si="25">G126+G127</f>
        <v>1645.9294995707683</v>
      </c>
      <c r="H89" s="100">
        <f t="shared" si="25"/>
        <v>638.83744423141854</v>
      </c>
      <c r="I89" s="100">
        <f t="shared" si="25"/>
        <v>31.814044347762298</v>
      </c>
      <c r="J89" s="100">
        <f t="shared" si="25"/>
        <v>24.940340674146015</v>
      </c>
      <c r="K89" s="100">
        <f t="shared" si="25"/>
        <v>-422.71079013850016</v>
      </c>
      <c r="L89" s="100">
        <f t="shared" si="25"/>
        <v>-870.08093345360203</v>
      </c>
      <c r="M89" s="100">
        <f t="shared" si="25"/>
        <v>-866.97491794449149</v>
      </c>
      <c r="N89" s="100">
        <f t="shared" si="25"/>
        <v>-863.56716630673247</v>
      </c>
      <c r="O89" s="100">
        <f t="shared" si="25"/>
        <v>-872.31371162587993</v>
      </c>
      <c r="P89" s="100">
        <f t="shared" si="25"/>
        <v>-881.23522871666705</v>
      </c>
      <c r="Q89" s="100">
        <f t="shared" si="25"/>
        <v>-890.33521781139996</v>
      </c>
      <c r="R89" s="100">
        <f t="shared" si="25"/>
        <v>-899.61724916256776</v>
      </c>
      <c r="S89" s="100">
        <f t="shared" si="25"/>
        <v>-893.75982283905569</v>
      </c>
      <c r="T89" s="100">
        <f t="shared" si="25"/>
        <v>0</v>
      </c>
      <c r="U89" s="100">
        <f t="shared" si="25"/>
        <v>0</v>
      </c>
      <c r="V89" s="100">
        <f t="shared" si="25"/>
        <v>0</v>
      </c>
      <c r="W89" s="100">
        <f t="shared" si="25"/>
        <v>0</v>
      </c>
      <c r="X89" s="100">
        <f t="shared" si="25"/>
        <v>0</v>
      </c>
      <c r="Y89" s="100">
        <f t="shared" si="25"/>
        <v>0</v>
      </c>
      <c r="AA89" s="355">
        <f t="shared" si="8"/>
        <v>-4404.4430380232097</v>
      </c>
      <c r="AB89" s="356">
        <f t="shared" si="20"/>
        <v>-2202.2215190116049</v>
      </c>
    </row>
    <row r="90" spans="1:30" s="128" customFormat="1">
      <c r="A90" s="128" t="s">
        <v>109</v>
      </c>
      <c r="F90" s="100">
        <f>F56</f>
        <v>0</v>
      </c>
      <c r="G90" s="100">
        <f t="shared" ref="G90:Y90" si="26">G56</f>
        <v>0</v>
      </c>
      <c r="H90" s="100">
        <f t="shared" si="26"/>
        <v>0</v>
      </c>
      <c r="I90" s="100">
        <f t="shared" si="26"/>
        <v>0</v>
      </c>
      <c r="J90" s="100">
        <f t="shared" si="26"/>
        <v>0</v>
      </c>
      <c r="K90" s="100">
        <f t="shared" si="26"/>
        <v>0</v>
      </c>
      <c r="L90" s="100">
        <f t="shared" si="26"/>
        <v>0</v>
      </c>
      <c r="M90" s="100">
        <f t="shared" si="26"/>
        <v>0</v>
      </c>
      <c r="N90" s="100">
        <f t="shared" si="26"/>
        <v>0</v>
      </c>
      <c r="O90" s="100">
        <f t="shared" si="26"/>
        <v>0</v>
      </c>
      <c r="P90" s="100">
        <f t="shared" si="26"/>
        <v>0</v>
      </c>
      <c r="Q90" s="100">
        <f t="shared" si="26"/>
        <v>0</v>
      </c>
      <c r="R90" s="100">
        <f t="shared" si="26"/>
        <v>0</v>
      </c>
      <c r="S90" s="100">
        <f t="shared" si="26"/>
        <v>0</v>
      </c>
      <c r="T90" s="100">
        <f t="shared" si="26"/>
        <v>0</v>
      </c>
      <c r="U90" s="100">
        <f t="shared" si="26"/>
        <v>0</v>
      </c>
      <c r="V90" s="100">
        <f t="shared" si="26"/>
        <v>0</v>
      </c>
      <c r="W90" s="100">
        <f t="shared" si="26"/>
        <v>0</v>
      </c>
      <c r="X90" s="100">
        <f t="shared" si="26"/>
        <v>0</v>
      </c>
      <c r="Y90" s="100">
        <f t="shared" si="26"/>
        <v>0</v>
      </c>
      <c r="AA90" s="355">
        <f t="shared" si="8"/>
        <v>0</v>
      </c>
      <c r="AB90" s="356">
        <f t="shared" si="20"/>
        <v>0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f>Y99</f>
        <v>18693.015902516199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/>
      <c r="AA91" s="355">
        <f t="shared" si="8"/>
        <v>18693.015902516199</v>
      </c>
      <c r="AB91" s="356">
        <f t="shared" si="20"/>
        <v>9346.5079512580996</v>
      </c>
    </row>
    <row r="92" spans="1:30" s="128" customFormat="1">
      <c r="A92" s="128" t="s">
        <v>44</v>
      </c>
      <c r="E92" s="173">
        <v>-22703.589997057825</v>
      </c>
      <c r="F92" s="129">
        <f>SUM(F88:F91)</f>
        <v>2932.9613904871194</v>
      </c>
      <c r="G92" s="129">
        <f t="shared" ref="G92:Y92" si="27">SUM(G88:G91)</f>
        <v>3881.4797597148777</v>
      </c>
      <c r="H92" s="129">
        <f t="shared" si="27"/>
        <v>2891.8545428304133</v>
      </c>
      <c r="I92" s="129">
        <f t="shared" si="27"/>
        <v>2302.5482830917049</v>
      </c>
      <c r="J92" s="129">
        <f t="shared" si="27"/>
        <v>2313.6450465386542</v>
      </c>
      <c r="K92" s="129">
        <f t="shared" si="27"/>
        <v>1859.3695640370825</v>
      </c>
      <c r="L92" s="129">
        <f t="shared" si="27"/>
        <v>1404.640461196338</v>
      </c>
      <c r="M92" s="129">
        <f t="shared" si="27"/>
        <v>1399.6261747208459</v>
      </c>
      <c r="N92" s="129">
        <f t="shared" si="27"/>
        <v>1394.1247717500846</v>
      </c>
      <c r="O92" s="129">
        <f t="shared" si="27"/>
        <v>1408.2450115790348</v>
      </c>
      <c r="P92" s="129">
        <f t="shared" si="27"/>
        <v>1422.6477221765801</v>
      </c>
      <c r="Q92" s="129">
        <f t="shared" si="27"/>
        <v>1437.3385542445476</v>
      </c>
      <c r="R92" s="129">
        <f t="shared" si="27"/>
        <v>1452.3232715238839</v>
      </c>
      <c r="S92" s="129">
        <f t="shared" si="27"/>
        <v>20135.883067491668</v>
      </c>
      <c r="T92" s="129">
        <f t="shared" si="27"/>
        <v>0</v>
      </c>
      <c r="U92" s="129">
        <f t="shared" si="27"/>
        <v>0</v>
      </c>
      <c r="V92" s="129">
        <f t="shared" si="27"/>
        <v>0</v>
      </c>
      <c r="W92" s="129">
        <f t="shared" si="27"/>
        <v>0</v>
      </c>
      <c r="X92" s="129">
        <f t="shared" si="27"/>
        <v>0</v>
      </c>
      <c r="Y92" s="129">
        <f t="shared" si="27"/>
        <v>0</v>
      </c>
      <c r="AA92" s="355">
        <f t="shared" si="8"/>
        <v>46236.687621382836</v>
      </c>
      <c r="AB92" s="356">
        <f t="shared" si="20"/>
        <v>23118.343810691418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0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0"/>
        <v>0</v>
      </c>
    </row>
    <row r="95" spans="1:30" s="128" customFormat="1" ht="13.5" thickBot="1">
      <c r="A95" s="128" t="s">
        <v>46</v>
      </c>
      <c r="E95" s="174">
        <f>NPV(C96,E92:Y92)</f>
        <v>1.6687976179319783E-12</v>
      </c>
      <c r="R95" s="133"/>
      <c r="U95" s="134" t="s">
        <v>121</v>
      </c>
      <c r="V95" s="135"/>
      <c r="W95" s="135"/>
      <c r="X95" s="135"/>
      <c r="Y95" s="136">
        <f>S88</f>
        <v>2336.6269878145249</v>
      </c>
      <c r="AA95" s="355">
        <f t="shared" si="8"/>
        <v>2336.6269878145249</v>
      </c>
      <c r="AB95" s="356">
        <f t="shared" si="20"/>
        <v>1168.3134939072625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0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2336.6269878145249</v>
      </c>
      <c r="AA97" s="355">
        <f t="shared" si="8"/>
        <v>2336.6269878145249</v>
      </c>
      <c r="AB97" s="356">
        <f t="shared" si="20"/>
        <v>1168.3134939072625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0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18693.015902516199</v>
      </c>
      <c r="AA99" s="355">
        <f t="shared" si="8"/>
        <v>18693.015902516199</v>
      </c>
      <c r="AB99" s="356">
        <f t="shared" si="20"/>
        <v>9346.5079512580996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0"/>
        <v>0</v>
      </c>
    </row>
    <row r="101" spans="1:28" s="128" customFormat="1">
      <c r="A101" s="128" t="s">
        <v>53</v>
      </c>
      <c r="D101" s="177">
        <v>0</v>
      </c>
      <c r="AA101" s="355">
        <f t="shared" si="8"/>
        <v>0</v>
      </c>
      <c r="AB101" s="356">
        <f t="shared" si="20"/>
        <v>0</v>
      </c>
    </row>
    <row r="102" spans="1:28" s="128" customFormat="1" ht="15">
      <c r="A102" s="128" t="s">
        <v>54</v>
      </c>
      <c r="D102" s="101">
        <f>-E92</f>
        <v>22703.589997057825</v>
      </c>
      <c r="AA102" s="355">
        <f t="shared" si="8"/>
        <v>0</v>
      </c>
      <c r="AB102" s="356">
        <f t="shared" si="20"/>
        <v>0</v>
      </c>
    </row>
    <row r="103" spans="1:28" s="128" customFormat="1">
      <c r="D103" s="142">
        <f>D101+D102</f>
        <v>22703.589997057825</v>
      </c>
      <c r="AA103" s="355">
        <f t="shared" si="8"/>
        <v>0</v>
      </c>
      <c r="AB103" s="356">
        <f t="shared" si="20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28" customFormat="1">
      <c r="A105" s="128" t="s">
        <v>56</v>
      </c>
      <c r="D105" s="142">
        <f>D103*D104</f>
        <v>20433.230997352042</v>
      </c>
      <c r="AA105" s="355">
        <f t="shared" si="28"/>
        <v>0</v>
      </c>
      <c r="AB105" s="356">
        <f t="shared" si="20"/>
        <v>0</v>
      </c>
    </row>
    <row r="106" spans="1:28" s="128" customFormat="1">
      <c r="AA106" s="355">
        <f t="shared" si="28"/>
        <v>0</v>
      </c>
      <c r="AB106" s="356">
        <f t="shared" si="20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29">G107+1</f>
        <v>2003</v>
      </c>
      <c r="I107" s="99">
        <f t="shared" si="29"/>
        <v>2004</v>
      </c>
      <c r="J107" s="99">
        <f t="shared" si="29"/>
        <v>2005</v>
      </c>
      <c r="K107" s="99">
        <f t="shared" si="29"/>
        <v>2006</v>
      </c>
      <c r="L107" s="99">
        <f t="shared" si="29"/>
        <v>2007</v>
      </c>
      <c r="M107" s="99">
        <f t="shared" si="29"/>
        <v>2008</v>
      </c>
      <c r="N107" s="99">
        <f t="shared" si="29"/>
        <v>2009</v>
      </c>
      <c r="O107" s="99">
        <f t="shared" si="29"/>
        <v>2010</v>
      </c>
      <c r="P107" s="99">
        <f t="shared" si="29"/>
        <v>2011</v>
      </c>
      <c r="Q107" s="99">
        <f t="shared" si="29"/>
        <v>2012</v>
      </c>
      <c r="R107" s="99">
        <f t="shared" si="29"/>
        <v>2013</v>
      </c>
      <c r="S107" s="99">
        <f t="shared" si="29"/>
        <v>2014</v>
      </c>
      <c r="T107" s="99">
        <f t="shared" si="29"/>
        <v>2015</v>
      </c>
      <c r="U107" s="99">
        <f t="shared" si="29"/>
        <v>2016</v>
      </c>
      <c r="V107" s="99">
        <f t="shared" si="29"/>
        <v>2017</v>
      </c>
      <c r="W107" s="99">
        <f t="shared" si="29"/>
        <v>2018</v>
      </c>
      <c r="X107" s="99">
        <f t="shared" si="29"/>
        <v>2019</v>
      </c>
      <c r="Y107" s="99">
        <f t="shared" si="29"/>
        <v>2020</v>
      </c>
      <c r="AA107" s="355">
        <f t="shared" si="28"/>
        <v>40210</v>
      </c>
      <c r="AB107" s="356">
        <f t="shared" si="20"/>
        <v>20105</v>
      </c>
    </row>
    <row r="108" spans="1:28" s="128" customFormat="1">
      <c r="A108" s="103" t="s">
        <v>57</v>
      </c>
      <c r="AA108" s="355">
        <f t="shared" si="28"/>
        <v>0</v>
      </c>
      <c r="AB108" s="356">
        <f t="shared" si="20"/>
        <v>0</v>
      </c>
    </row>
    <row r="109" spans="1:28" s="128" customFormat="1">
      <c r="A109" s="128" t="s">
        <v>58</v>
      </c>
      <c r="B109" s="179">
        <v>30</v>
      </c>
      <c r="C109" s="128" t="s">
        <v>0</v>
      </c>
      <c r="D109" s="143">
        <f>D105</f>
        <v>20433.230997352042</v>
      </c>
      <c r="F109" s="132">
        <f>ROUND(D109/$B$109,0)</f>
        <v>681</v>
      </c>
      <c r="G109" s="132">
        <f>F109</f>
        <v>681</v>
      </c>
      <c r="H109" s="132">
        <f t="shared" ref="H109:S110" si="30">G109</f>
        <v>681</v>
      </c>
      <c r="I109" s="132">
        <f t="shared" si="30"/>
        <v>681</v>
      </c>
      <c r="J109" s="132">
        <f t="shared" si="30"/>
        <v>681</v>
      </c>
      <c r="K109" s="132">
        <f t="shared" si="30"/>
        <v>681</v>
      </c>
      <c r="L109" s="132">
        <f t="shared" si="30"/>
        <v>681</v>
      </c>
      <c r="M109" s="132">
        <f t="shared" si="30"/>
        <v>681</v>
      </c>
      <c r="N109" s="132">
        <f t="shared" si="30"/>
        <v>681</v>
      </c>
      <c r="O109" s="132">
        <f t="shared" si="30"/>
        <v>681</v>
      </c>
      <c r="P109" s="132">
        <f t="shared" si="30"/>
        <v>681</v>
      </c>
      <c r="Q109" s="132">
        <f t="shared" si="30"/>
        <v>681</v>
      </c>
      <c r="R109" s="132">
        <f t="shared" si="30"/>
        <v>681</v>
      </c>
      <c r="S109" s="132">
        <f t="shared" si="30"/>
        <v>681</v>
      </c>
      <c r="T109" s="360"/>
      <c r="U109" s="360"/>
      <c r="V109" s="360"/>
      <c r="W109" s="360"/>
      <c r="X109" s="360"/>
      <c r="Y109" s="360"/>
      <c r="AA109" s="355">
        <f t="shared" si="28"/>
        <v>9534</v>
      </c>
      <c r="AB109" s="356">
        <f t="shared" si="20"/>
        <v>4767</v>
      </c>
    </row>
    <row r="110" spans="1:28" s="128" customFormat="1">
      <c r="A110" s="128" t="s">
        <v>138</v>
      </c>
      <c r="D110" s="143">
        <f>D104*'FPLE_Wind Summary'!J23</f>
        <v>1462.4016275661695</v>
      </c>
      <c r="F110" s="132">
        <f>ROUND(D110/$B$109,0)</f>
        <v>49</v>
      </c>
      <c r="G110" s="132">
        <f>F110</f>
        <v>49</v>
      </c>
      <c r="H110" s="132">
        <f t="shared" si="30"/>
        <v>49</v>
      </c>
      <c r="I110" s="132">
        <f t="shared" si="30"/>
        <v>49</v>
      </c>
      <c r="J110" s="132">
        <f t="shared" si="30"/>
        <v>49</v>
      </c>
      <c r="K110" s="132">
        <f t="shared" si="30"/>
        <v>49</v>
      </c>
      <c r="L110" s="132">
        <f t="shared" si="30"/>
        <v>49</v>
      </c>
      <c r="M110" s="132">
        <f t="shared" si="30"/>
        <v>49</v>
      </c>
      <c r="N110" s="132">
        <f t="shared" si="30"/>
        <v>49</v>
      </c>
      <c r="O110" s="132">
        <f t="shared" si="30"/>
        <v>49</v>
      </c>
      <c r="P110" s="132">
        <f t="shared" si="30"/>
        <v>49</v>
      </c>
      <c r="Q110" s="132">
        <f t="shared" si="30"/>
        <v>49</v>
      </c>
      <c r="R110" s="132">
        <f t="shared" si="30"/>
        <v>49</v>
      </c>
      <c r="S110" s="132">
        <f t="shared" si="30"/>
        <v>49</v>
      </c>
      <c r="T110" s="360"/>
      <c r="U110" s="360"/>
      <c r="V110" s="360"/>
      <c r="W110" s="360"/>
      <c r="X110" s="360"/>
      <c r="Y110" s="360"/>
      <c r="AA110" s="355">
        <f t="shared" si="28"/>
        <v>686</v>
      </c>
      <c r="AB110" s="356">
        <f t="shared" si="20"/>
        <v>343</v>
      </c>
    </row>
    <row r="111" spans="1:28" s="128" customFormat="1">
      <c r="AA111" s="355">
        <f t="shared" si="28"/>
        <v>0</v>
      </c>
      <c r="AB111" s="356">
        <f t="shared" si="20"/>
        <v>0</v>
      </c>
    </row>
    <row r="112" spans="1:28" s="128" customFormat="1">
      <c r="A112" s="103" t="s">
        <v>59</v>
      </c>
      <c r="AA112" s="355">
        <f t="shared" si="28"/>
        <v>0</v>
      </c>
      <c r="AB112" s="356">
        <f t="shared" si="20"/>
        <v>0</v>
      </c>
    </row>
    <row r="113" spans="1:28" s="128" customFormat="1">
      <c r="A113" s="104" t="s">
        <v>60</v>
      </c>
      <c r="D113" s="143">
        <f>D109</f>
        <v>20433.230997352042</v>
      </c>
      <c r="AA113" s="355">
        <f t="shared" si="28"/>
        <v>0</v>
      </c>
      <c r="AB113" s="356">
        <f t="shared" si="20"/>
        <v>0</v>
      </c>
    </row>
    <row r="114" spans="1:28" s="128" customFormat="1">
      <c r="A114" s="128" t="s">
        <v>61</v>
      </c>
      <c r="E114" s="144"/>
      <c r="F114" s="180">
        <v>0.2</v>
      </c>
      <c r="G114" s="180">
        <v>0.32</v>
      </c>
      <c r="H114" s="180">
        <v>0.192</v>
      </c>
      <c r="I114" s="180">
        <v>0.1152</v>
      </c>
      <c r="J114" s="180">
        <v>0.1152</v>
      </c>
      <c r="K114" s="180">
        <v>5.7599999999999998E-2</v>
      </c>
      <c r="L114" s="180">
        <v>0</v>
      </c>
      <c r="M114" s="180">
        <v>0</v>
      </c>
      <c r="N114" s="180">
        <v>0</v>
      </c>
      <c r="O114" s="180">
        <v>0</v>
      </c>
      <c r="P114" s="180">
        <v>0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45"/>
      <c r="AA114" s="355">
        <f t="shared" si="28"/>
        <v>0.99999999999999989</v>
      </c>
      <c r="AB114" s="356">
        <f t="shared" si="20"/>
        <v>0.49999999999999994</v>
      </c>
    </row>
    <row r="115" spans="1:28" s="128" customFormat="1">
      <c r="A115" s="128" t="s">
        <v>59</v>
      </c>
      <c r="F115" s="132">
        <f t="shared" ref="F115:S115" si="31">$D$113*F114</f>
        <v>4086.6461994704086</v>
      </c>
      <c r="G115" s="132">
        <f t="shared" si="31"/>
        <v>6538.633919152654</v>
      </c>
      <c r="H115" s="132">
        <f t="shared" si="31"/>
        <v>3923.1803514915923</v>
      </c>
      <c r="I115" s="132">
        <f t="shared" si="31"/>
        <v>2353.9082108949551</v>
      </c>
      <c r="J115" s="132">
        <f t="shared" si="31"/>
        <v>2353.9082108949551</v>
      </c>
      <c r="K115" s="132">
        <f t="shared" si="31"/>
        <v>1176.9541054474776</v>
      </c>
      <c r="L115" s="132">
        <f t="shared" si="31"/>
        <v>0</v>
      </c>
      <c r="M115" s="132">
        <f t="shared" si="31"/>
        <v>0</v>
      </c>
      <c r="N115" s="132">
        <f t="shared" si="31"/>
        <v>0</v>
      </c>
      <c r="O115" s="132">
        <f t="shared" si="31"/>
        <v>0</v>
      </c>
      <c r="P115" s="132">
        <f t="shared" si="31"/>
        <v>0</v>
      </c>
      <c r="Q115" s="132">
        <f t="shared" si="31"/>
        <v>0</v>
      </c>
      <c r="R115" s="132">
        <f t="shared" si="31"/>
        <v>0</v>
      </c>
      <c r="S115" s="132">
        <f t="shared" si="31"/>
        <v>0</v>
      </c>
      <c r="T115" s="360"/>
      <c r="U115" s="360"/>
      <c r="V115" s="360"/>
      <c r="W115" s="360"/>
      <c r="X115" s="360"/>
      <c r="Y115" s="360"/>
      <c r="AA115" s="355">
        <f t="shared" si="28"/>
        <v>20433.230997352046</v>
      </c>
      <c r="AB115" s="356">
        <f t="shared" si="20"/>
        <v>10216.615498676023</v>
      </c>
    </row>
    <row r="116" spans="1:28" s="128" customFormat="1">
      <c r="A116" s="128" t="s">
        <v>138</v>
      </c>
      <c r="D116" s="143">
        <f>D110</f>
        <v>1462.4016275661695</v>
      </c>
      <c r="F116" s="132">
        <f>$D$116*F114</f>
        <v>292.48032551323394</v>
      </c>
      <c r="G116" s="132">
        <f t="shared" ref="G116:S116" si="32">$D$116*G114</f>
        <v>467.96852082117425</v>
      </c>
      <c r="H116" s="132">
        <f t="shared" si="32"/>
        <v>280.78111249270455</v>
      </c>
      <c r="I116" s="132">
        <f t="shared" si="32"/>
        <v>168.46866749562273</v>
      </c>
      <c r="J116" s="132">
        <f t="shared" si="32"/>
        <v>168.46866749562273</v>
      </c>
      <c r="K116" s="132">
        <f t="shared" si="32"/>
        <v>84.234333747811363</v>
      </c>
      <c r="L116" s="132">
        <f t="shared" si="32"/>
        <v>0</v>
      </c>
      <c r="M116" s="132">
        <f t="shared" si="32"/>
        <v>0</v>
      </c>
      <c r="N116" s="132">
        <f t="shared" si="32"/>
        <v>0</v>
      </c>
      <c r="O116" s="132">
        <f t="shared" si="32"/>
        <v>0</v>
      </c>
      <c r="P116" s="132">
        <f t="shared" si="32"/>
        <v>0</v>
      </c>
      <c r="Q116" s="132">
        <f t="shared" si="32"/>
        <v>0</v>
      </c>
      <c r="R116" s="132">
        <f t="shared" si="32"/>
        <v>0</v>
      </c>
      <c r="S116" s="132">
        <f t="shared" si="32"/>
        <v>0</v>
      </c>
      <c r="T116" s="360"/>
      <c r="U116" s="360"/>
      <c r="V116" s="360"/>
      <c r="W116" s="360"/>
      <c r="X116" s="360"/>
      <c r="Y116" s="360"/>
      <c r="AA116" s="355">
        <f t="shared" si="28"/>
        <v>1462.4016275661695</v>
      </c>
      <c r="AB116" s="356">
        <f t="shared" si="20"/>
        <v>731.20081378308475</v>
      </c>
    </row>
    <row r="117" spans="1:28" s="128" customFormat="1">
      <c r="AA117" s="355">
        <f t="shared" si="28"/>
        <v>0</v>
      </c>
      <c r="AB117" s="356">
        <f t="shared" si="20"/>
        <v>0</v>
      </c>
    </row>
    <row r="118" spans="1:28" s="128" customFormat="1">
      <c r="AA118" s="355">
        <f t="shared" si="28"/>
        <v>0</v>
      </c>
      <c r="AB118" s="356">
        <f t="shared" si="20"/>
        <v>0</v>
      </c>
    </row>
    <row r="119" spans="1:28" s="128" customFormat="1" ht="13.5" thickBot="1">
      <c r="F119" s="99">
        <f>F107</f>
        <v>2001</v>
      </c>
      <c r="G119" s="99">
        <f t="shared" ref="G119:Y119" si="33">G107</f>
        <v>2002</v>
      </c>
      <c r="H119" s="99">
        <f t="shared" si="33"/>
        <v>2003</v>
      </c>
      <c r="I119" s="99">
        <f t="shared" si="33"/>
        <v>2004</v>
      </c>
      <c r="J119" s="99">
        <f t="shared" si="33"/>
        <v>2005</v>
      </c>
      <c r="K119" s="99">
        <f t="shared" si="33"/>
        <v>2006</v>
      </c>
      <c r="L119" s="99">
        <f t="shared" si="33"/>
        <v>2007</v>
      </c>
      <c r="M119" s="99">
        <f t="shared" si="33"/>
        <v>2008</v>
      </c>
      <c r="N119" s="99">
        <f t="shared" si="33"/>
        <v>2009</v>
      </c>
      <c r="O119" s="99">
        <f t="shared" si="33"/>
        <v>2010</v>
      </c>
      <c r="P119" s="99">
        <f t="shared" si="33"/>
        <v>2011</v>
      </c>
      <c r="Q119" s="99">
        <f t="shared" si="33"/>
        <v>2012</v>
      </c>
      <c r="R119" s="99">
        <f t="shared" si="33"/>
        <v>2013</v>
      </c>
      <c r="S119" s="99">
        <f t="shared" si="33"/>
        <v>2014</v>
      </c>
      <c r="T119" s="99">
        <f t="shared" si="33"/>
        <v>2015</v>
      </c>
      <c r="U119" s="99">
        <f t="shared" si="33"/>
        <v>2016</v>
      </c>
      <c r="V119" s="99">
        <f t="shared" si="33"/>
        <v>2017</v>
      </c>
      <c r="W119" s="99">
        <f t="shared" si="33"/>
        <v>2018</v>
      </c>
      <c r="X119" s="99">
        <f t="shared" si="33"/>
        <v>2019</v>
      </c>
      <c r="Y119" s="99">
        <f t="shared" si="33"/>
        <v>2020</v>
      </c>
      <c r="AA119" s="355">
        <f t="shared" si="28"/>
        <v>40210</v>
      </c>
      <c r="AB119" s="356">
        <f t="shared" si="20"/>
        <v>20105</v>
      </c>
    </row>
    <row r="120" spans="1:28" s="128" customFormat="1">
      <c r="A120" s="98" t="s">
        <v>62</v>
      </c>
      <c r="AA120" s="355">
        <f t="shared" si="28"/>
        <v>0</v>
      </c>
      <c r="AB120" s="356">
        <f t="shared" si="20"/>
        <v>0</v>
      </c>
    </row>
    <row r="121" spans="1:28" s="128" customFormat="1">
      <c r="A121" s="146" t="str">
        <f>A64</f>
        <v>EBITDA</v>
      </c>
      <c r="F121" s="132">
        <f>F39</f>
        <v>2218.3307193355276</v>
      </c>
      <c r="G121" s="132">
        <f t="shared" ref="G121:Y121" si="34">G39</f>
        <v>2235.5502601441094</v>
      </c>
      <c r="H121" s="132">
        <f t="shared" si="34"/>
        <v>2253.0170985989948</v>
      </c>
      <c r="I121" s="132">
        <f t="shared" si="34"/>
        <v>2270.7342387439426</v>
      </c>
      <c r="J121" s="132">
        <f>J39</f>
        <v>2288.704705864508</v>
      </c>
      <c r="K121" s="132">
        <f t="shared" si="34"/>
        <v>2282.0803541755827</v>
      </c>
      <c r="L121" s="132">
        <f t="shared" si="34"/>
        <v>2274.7213946499401</v>
      </c>
      <c r="M121" s="132">
        <f t="shared" si="34"/>
        <v>2266.6010926653375</v>
      </c>
      <c r="N121" s="132">
        <f t="shared" si="34"/>
        <v>2257.691938056817</v>
      </c>
      <c r="O121" s="132">
        <f t="shared" si="34"/>
        <v>2280.5587232049147</v>
      </c>
      <c r="P121" s="132">
        <f t="shared" si="34"/>
        <v>2303.8829508932472</v>
      </c>
      <c r="Q121" s="132">
        <f t="shared" si="34"/>
        <v>2327.6737720559477</v>
      </c>
      <c r="R121" s="132">
        <f t="shared" si="34"/>
        <v>2351.9405206864517</v>
      </c>
      <c r="S121" s="132">
        <f t="shared" si="34"/>
        <v>2336.6269878145249</v>
      </c>
      <c r="T121" s="132">
        <f t="shared" si="34"/>
        <v>0</v>
      </c>
      <c r="U121" s="132">
        <f t="shared" si="34"/>
        <v>0</v>
      </c>
      <c r="V121" s="132">
        <f t="shared" si="34"/>
        <v>0</v>
      </c>
      <c r="W121" s="132">
        <f t="shared" si="34"/>
        <v>0</v>
      </c>
      <c r="X121" s="132">
        <f t="shared" si="34"/>
        <v>0</v>
      </c>
      <c r="Y121" s="132">
        <f t="shared" si="34"/>
        <v>0</v>
      </c>
      <c r="AA121" s="355">
        <f t="shared" si="28"/>
        <v>31948.114756889841</v>
      </c>
      <c r="AB121" s="356">
        <f t="shared" si="20"/>
        <v>15974.057378444921</v>
      </c>
    </row>
    <row r="122" spans="1:28" s="128" customFormat="1">
      <c r="A122" s="128" t="s">
        <v>63</v>
      </c>
      <c r="F122" s="132">
        <f>-F115</f>
        <v>-4086.6461994704086</v>
      </c>
      <c r="G122" s="132">
        <f t="shared" ref="G122:Y122" si="35">-G115</f>
        <v>-6538.633919152654</v>
      </c>
      <c r="H122" s="132">
        <f t="shared" si="35"/>
        <v>-3923.1803514915923</v>
      </c>
      <c r="I122" s="132">
        <f t="shared" si="35"/>
        <v>-2353.9082108949551</v>
      </c>
      <c r="J122" s="132">
        <f t="shared" si="35"/>
        <v>-2353.9082108949551</v>
      </c>
      <c r="K122" s="132">
        <f t="shared" si="35"/>
        <v>-1176.9541054474776</v>
      </c>
      <c r="L122" s="132">
        <f t="shared" si="35"/>
        <v>0</v>
      </c>
      <c r="M122" s="132">
        <f t="shared" si="35"/>
        <v>0</v>
      </c>
      <c r="N122" s="132">
        <f t="shared" si="35"/>
        <v>0</v>
      </c>
      <c r="O122" s="132">
        <f t="shared" si="35"/>
        <v>0</v>
      </c>
      <c r="P122" s="132">
        <f t="shared" si="35"/>
        <v>0</v>
      </c>
      <c r="Q122" s="132">
        <f t="shared" si="35"/>
        <v>0</v>
      </c>
      <c r="R122" s="132">
        <f t="shared" si="35"/>
        <v>0</v>
      </c>
      <c r="S122" s="132">
        <f t="shared" si="35"/>
        <v>0</v>
      </c>
      <c r="T122" s="132">
        <f t="shared" si="35"/>
        <v>0</v>
      </c>
      <c r="U122" s="132">
        <f t="shared" si="35"/>
        <v>0</v>
      </c>
      <c r="V122" s="132">
        <f t="shared" si="35"/>
        <v>0</v>
      </c>
      <c r="W122" s="132">
        <f t="shared" si="35"/>
        <v>0</v>
      </c>
      <c r="X122" s="132">
        <f t="shared" si="35"/>
        <v>0</v>
      </c>
      <c r="Y122" s="132">
        <f t="shared" si="35"/>
        <v>0</v>
      </c>
      <c r="AA122" s="355">
        <f t="shared" si="28"/>
        <v>-20433.230997352046</v>
      </c>
      <c r="AB122" s="356">
        <f t="shared" si="20"/>
        <v>-10216.615498676023</v>
      </c>
    </row>
    <row r="123" spans="1:28" s="128" customFormat="1">
      <c r="A123" s="128" t="s">
        <v>64</v>
      </c>
      <c r="F123" s="147">
        <f>-F46</f>
        <v>0</v>
      </c>
      <c r="G123" s="147">
        <f t="shared" ref="G123:Y123" si="36">-G46</f>
        <v>0</v>
      </c>
      <c r="H123" s="147">
        <f t="shared" si="36"/>
        <v>0</v>
      </c>
      <c r="I123" s="147">
        <f t="shared" si="36"/>
        <v>0</v>
      </c>
      <c r="J123" s="147">
        <f t="shared" si="36"/>
        <v>0</v>
      </c>
      <c r="K123" s="147">
        <f t="shared" si="36"/>
        <v>0</v>
      </c>
      <c r="L123" s="147">
        <f t="shared" si="36"/>
        <v>0</v>
      </c>
      <c r="M123" s="147">
        <f t="shared" si="36"/>
        <v>0</v>
      </c>
      <c r="N123" s="147">
        <f t="shared" si="36"/>
        <v>0</v>
      </c>
      <c r="O123" s="147">
        <f t="shared" si="36"/>
        <v>0</v>
      </c>
      <c r="P123" s="147">
        <f t="shared" si="36"/>
        <v>0</v>
      </c>
      <c r="Q123" s="147">
        <f t="shared" si="36"/>
        <v>0</v>
      </c>
      <c r="R123" s="147">
        <f t="shared" si="36"/>
        <v>0</v>
      </c>
      <c r="S123" s="147">
        <f t="shared" si="36"/>
        <v>0</v>
      </c>
      <c r="T123" s="147">
        <f t="shared" si="36"/>
        <v>0</v>
      </c>
      <c r="U123" s="147">
        <f t="shared" si="36"/>
        <v>0</v>
      </c>
      <c r="V123" s="147">
        <f t="shared" si="36"/>
        <v>0</v>
      </c>
      <c r="W123" s="147">
        <f t="shared" si="36"/>
        <v>0</v>
      </c>
      <c r="X123" s="147">
        <f t="shared" si="36"/>
        <v>0</v>
      </c>
      <c r="Y123" s="147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28" customFormat="1">
      <c r="A124" s="128" t="s">
        <v>65</v>
      </c>
      <c r="F124" s="132">
        <f>SUM(F121:F123)</f>
        <v>-1868.315480134881</v>
      </c>
      <c r="G124" s="132">
        <f t="shared" ref="G124:Y124" si="37">SUM(G121:G123)</f>
        <v>-4303.0836590085446</v>
      </c>
      <c r="H124" s="132">
        <f t="shared" si="37"/>
        <v>-1670.1632528925975</v>
      </c>
      <c r="I124" s="132">
        <f t="shared" si="37"/>
        <v>-83.173972151012549</v>
      </c>
      <c r="J124" s="132">
        <f t="shared" si="37"/>
        <v>-65.203505030447104</v>
      </c>
      <c r="K124" s="132">
        <f t="shared" si="37"/>
        <v>1105.1262487281051</v>
      </c>
      <c r="L124" s="132">
        <f t="shared" si="37"/>
        <v>2274.7213946499401</v>
      </c>
      <c r="M124" s="132">
        <f t="shared" si="37"/>
        <v>2266.6010926653375</v>
      </c>
      <c r="N124" s="132">
        <f t="shared" si="37"/>
        <v>2257.691938056817</v>
      </c>
      <c r="O124" s="132">
        <f t="shared" si="37"/>
        <v>2280.5587232049147</v>
      </c>
      <c r="P124" s="132">
        <f t="shared" si="37"/>
        <v>2303.8829508932472</v>
      </c>
      <c r="Q124" s="132">
        <f t="shared" si="37"/>
        <v>2327.6737720559477</v>
      </c>
      <c r="R124" s="132">
        <f t="shared" si="37"/>
        <v>2351.9405206864517</v>
      </c>
      <c r="S124" s="132">
        <f t="shared" si="37"/>
        <v>2336.6269878145249</v>
      </c>
      <c r="T124" s="132">
        <f t="shared" si="37"/>
        <v>0</v>
      </c>
      <c r="U124" s="132">
        <f t="shared" si="37"/>
        <v>0</v>
      </c>
      <c r="V124" s="132">
        <f t="shared" si="37"/>
        <v>0</v>
      </c>
      <c r="W124" s="132">
        <f t="shared" si="37"/>
        <v>0</v>
      </c>
      <c r="X124" s="132">
        <f t="shared" si="37"/>
        <v>0</v>
      </c>
      <c r="Y124" s="132">
        <f t="shared" si="37"/>
        <v>0</v>
      </c>
      <c r="AA124" s="355">
        <f t="shared" si="28"/>
        <v>11514.883759537803</v>
      </c>
      <c r="AB124" s="356">
        <f t="shared" si="20"/>
        <v>5757.4418797689013</v>
      </c>
    </row>
    <row r="125" spans="1:28" s="128" customFormat="1">
      <c r="AA125" s="355">
        <f t="shared" si="28"/>
        <v>0</v>
      </c>
      <c r="AB125" s="356">
        <f t="shared" si="20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93.415774006744059</v>
      </c>
      <c r="G126" s="132">
        <f t="shared" ref="G126:Y126" si="38">-G124*$C$126</f>
        <v>215.15418295042724</v>
      </c>
      <c r="H126" s="132">
        <f t="shared" si="38"/>
        <v>83.508162644629877</v>
      </c>
      <c r="I126" s="132">
        <f t="shared" si="38"/>
        <v>4.1586986075506278</v>
      </c>
      <c r="J126" s="132">
        <f t="shared" si="38"/>
        <v>3.2601752515223552</v>
      </c>
      <c r="K126" s="132">
        <f t="shared" si="38"/>
        <v>-55.25631243640526</v>
      </c>
      <c r="L126" s="132">
        <f t="shared" si="38"/>
        <v>-113.73606973249701</v>
      </c>
      <c r="M126" s="132">
        <f t="shared" si="38"/>
        <v>-113.33005463326688</v>
      </c>
      <c r="N126" s="132">
        <f t="shared" si="38"/>
        <v>-112.88459690284085</v>
      </c>
      <c r="O126" s="132">
        <f t="shared" si="38"/>
        <v>-114.02793616024574</v>
      </c>
      <c r="P126" s="132">
        <f t="shared" si="38"/>
        <v>-115.19414754466237</v>
      </c>
      <c r="Q126" s="132">
        <f t="shared" si="38"/>
        <v>-116.38368860279739</v>
      </c>
      <c r="R126" s="132">
        <f t="shared" si="38"/>
        <v>-117.5970260343226</v>
      </c>
      <c r="S126" s="132">
        <f t="shared" si="38"/>
        <v>-116.83134939072625</v>
      </c>
      <c r="T126" s="132">
        <f t="shared" si="38"/>
        <v>0</v>
      </c>
      <c r="U126" s="132">
        <f t="shared" si="38"/>
        <v>0</v>
      </c>
      <c r="V126" s="132">
        <f t="shared" si="38"/>
        <v>0</v>
      </c>
      <c r="W126" s="132">
        <f t="shared" si="38"/>
        <v>0</v>
      </c>
      <c r="X126" s="132">
        <f t="shared" si="38"/>
        <v>0</v>
      </c>
      <c r="Y126" s="132">
        <f t="shared" si="38"/>
        <v>0</v>
      </c>
      <c r="AA126" s="355">
        <f t="shared" si="28"/>
        <v>-575.74418797689032</v>
      </c>
      <c r="AB126" s="356">
        <f t="shared" si="20"/>
        <v>-287.87209398844516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621.2148971448479</v>
      </c>
      <c r="G127" s="132">
        <f t="shared" ref="G127:Y127" si="39">-(G124+G126)*$C$127</f>
        <v>1430.7753166203411</v>
      </c>
      <c r="H127" s="132">
        <f t="shared" si="39"/>
        <v>555.32928158678862</v>
      </c>
      <c r="I127" s="132">
        <f t="shared" si="39"/>
        <v>27.655345740211668</v>
      </c>
      <c r="J127" s="132">
        <f t="shared" si="39"/>
        <v>21.680165422623659</v>
      </c>
      <c r="K127" s="132">
        <f t="shared" si="39"/>
        <v>-367.45447770209489</v>
      </c>
      <c r="L127" s="132">
        <f t="shared" si="39"/>
        <v>-756.34486372110496</v>
      </c>
      <c r="M127" s="132">
        <f t="shared" si="39"/>
        <v>-753.64486331122464</v>
      </c>
      <c r="N127" s="132">
        <f t="shared" si="39"/>
        <v>-750.68256940389165</v>
      </c>
      <c r="O127" s="132">
        <f t="shared" si="39"/>
        <v>-758.28577546563417</v>
      </c>
      <c r="P127" s="132">
        <f t="shared" si="39"/>
        <v>-766.04108117200462</v>
      </c>
      <c r="Q127" s="132">
        <f t="shared" si="39"/>
        <v>-773.95152920860255</v>
      </c>
      <c r="R127" s="132">
        <f t="shared" si="39"/>
        <v>-782.02022312824522</v>
      </c>
      <c r="S127" s="132">
        <f t="shared" si="39"/>
        <v>-776.92847344832944</v>
      </c>
      <c r="T127" s="132">
        <f t="shared" si="39"/>
        <v>0</v>
      </c>
      <c r="U127" s="132">
        <f t="shared" si="39"/>
        <v>0</v>
      </c>
      <c r="V127" s="132">
        <f t="shared" si="39"/>
        <v>0</v>
      </c>
      <c r="W127" s="132">
        <f t="shared" si="39"/>
        <v>0</v>
      </c>
      <c r="X127" s="132">
        <f t="shared" si="39"/>
        <v>0</v>
      </c>
      <c r="Y127" s="132">
        <f t="shared" si="39"/>
        <v>0</v>
      </c>
      <c r="AA127" s="355">
        <f t="shared" si="28"/>
        <v>-3828.6988500463194</v>
      </c>
      <c r="AB127" s="356">
        <f t="shared" si="20"/>
        <v>-1914.3494250231597</v>
      </c>
    </row>
    <row r="128" spans="1:28" s="128" customFormat="1">
      <c r="AA128" s="355">
        <f t="shared" si="28"/>
        <v>0</v>
      </c>
      <c r="AB128" s="356">
        <f t="shared" si="20"/>
        <v>0</v>
      </c>
    </row>
    <row r="129" spans="1:28" s="128" customFormat="1">
      <c r="AA129" s="355">
        <f t="shared" si="28"/>
        <v>0</v>
      </c>
      <c r="AB129" s="356">
        <f t="shared" si="20"/>
        <v>0</v>
      </c>
    </row>
    <row r="130" spans="1:28" s="128" customFormat="1">
      <c r="AA130" s="355">
        <f t="shared" si="28"/>
        <v>0</v>
      </c>
      <c r="AB130" s="356">
        <f t="shared" si="20"/>
        <v>0</v>
      </c>
    </row>
    <row r="131" spans="1:28" s="128" customFormat="1">
      <c r="AA131" s="355">
        <f t="shared" si="28"/>
        <v>0</v>
      </c>
      <c r="AB131" s="356">
        <f t="shared" si="20"/>
        <v>0</v>
      </c>
    </row>
    <row r="132" spans="1:28" s="128" customFormat="1">
      <c r="AA132" s="355">
        <f t="shared" si="28"/>
        <v>0</v>
      </c>
      <c r="AB132" s="356">
        <f t="shared" si="20"/>
        <v>0</v>
      </c>
    </row>
    <row r="133" spans="1:28" s="128" customFormat="1">
      <c r="AA133" s="355">
        <f t="shared" si="28"/>
        <v>0</v>
      </c>
      <c r="AB133" s="356">
        <f t="shared" si="20"/>
        <v>0</v>
      </c>
    </row>
    <row r="134" spans="1:28" s="128" customFormat="1">
      <c r="AA134" s="355">
        <f t="shared" si="28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0">G119</f>
        <v>2002</v>
      </c>
      <c r="H135" s="99">
        <f t="shared" si="40"/>
        <v>2003</v>
      </c>
      <c r="I135" s="99">
        <f t="shared" si="40"/>
        <v>2004</v>
      </c>
      <c r="J135" s="99">
        <f t="shared" si="40"/>
        <v>2005</v>
      </c>
      <c r="K135" s="99">
        <f t="shared" si="40"/>
        <v>2006</v>
      </c>
      <c r="L135" s="99">
        <f t="shared" si="40"/>
        <v>2007</v>
      </c>
      <c r="M135" s="99">
        <f t="shared" si="40"/>
        <v>2008</v>
      </c>
      <c r="N135" s="99">
        <f t="shared" si="40"/>
        <v>2009</v>
      </c>
      <c r="O135" s="99">
        <f t="shared" si="40"/>
        <v>2010</v>
      </c>
      <c r="P135" s="99">
        <f t="shared" si="40"/>
        <v>2011</v>
      </c>
      <c r="Q135" s="99">
        <f t="shared" si="40"/>
        <v>2012</v>
      </c>
      <c r="R135" s="99">
        <f t="shared" si="40"/>
        <v>2013</v>
      </c>
      <c r="S135" s="99">
        <f t="shared" si="40"/>
        <v>2014</v>
      </c>
      <c r="T135" s="99">
        <f t="shared" si="40"/>
        <v>2015</v>
      </c>
      <c r="U135" s="99">
        <f t="shared" si="40"/>
        <v>2016</v>
      </c>
      <c r="V135" s="99">
        <f t="shared" si="40"/>
        <v>2017</v>
      </c>
      <c r="W135" s="99">
        <f t="shared" si="40"/>
        <v>2018</v>
      </c>
      <c r="X135" s="99">
        <f t="shared" si="40"/>
        <v>2019</v>
      </c>
      <c r="Y135" s="9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28" customFormat="1">
      <c r="AA136" s="355">
        <f t="shared" si="28"/>
        <v>0</v>
      </c>
      <c r="AB136" s="356">
        <f t="shared" si="41"/>
        <v>0</v>
      </c>
    </row>
    <row r="137" spans="1:28" s="128" customFormat="1">
      <c r="A137" s="128" t="s">
        <v>78</v>
      </c>
      <c r="F137" s="181">
        <f>F46</f>
        <v>0</v>
      </c>
      <c r="G137" s="181">
        <f t="shared" ref="G137:Y137" si="42">G46</f>
        <v>0</v>
      </c>
      <c r="H137" s="181">
        <f t="shared" si="42"/>
        <v>0</v>
      </c>
      <c r="I137" s="181">
        <f t="shared" si="42"/>
        <v>0</v>
      </c>
      <c r="J137" s="181">
        <f t="shared" si="42"/>
        <v>0</v>
      </c>
      <c r="K137" s="181">
        <f t="shared" si="42"/>
        <v>0</v>
      </c>
      <c r="L137" s="181">
        <f t="shared" si="42"/>
        <v>0</v>
      </c>
      <c r="M137" s="181">
        <f t="shared" si="42"/>
        <v>0</v>
      </c>
      <c r="N137" s="181">
        <f t="shared" si="42"/>
        <v>0</v>
      </c>
      <c r="O137" s="181">
        <f t="shared" si="42"/>
        <v>0</v>
      </c>
      <c r="P137" s="181">
        <f t="shared" si="42"/>
        <v>0</v>
      </c>
      <c r="Q137" s="181">
        <f t="shared" si="42"/>
        <v>0</v>
      </c>
      <c r="R137" s="181">
        <f t="shared" si="42"/>
        <v>0</v>
      </c>
      <c r="S137" s="181">
        <f t="shared" si="42"/>
        <v>0</v>
      </c>
      <c r="T137" s="181">
        <f t="shared" si="42"/>
        <v>0</v>
      </c>
      <c r="U137" s="181">
        <f t="shared" si="42"/>
        <v>0</v>
      </c>
      <c r="V137" s="181">
        <f t="shared" si="42"/>
        <v>0</v>
      </c>
      <c r="W137" s="181">
        <f t="shared" si="42"/>
        <v>0</v>
      </c>
      <c r="X137" s="181">
        <f t="shared" si="42"/>
        <v>0</v>
      </c>
      <c r="Y137" s="181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28" customFormat="1">
      <c r="A138" s="128" t="s">
        <v>67</v>
      </c>
      <c r="F138" s="147">
        <f t="shared" ref="F138:Y138" si="43">SUM(F33:F35)</f>
        <v>81.71301600000001</v>
      </c>
      <c r="G138" s="147">
        <f t="shared" si="43"/>
        <v>83.347276320000006</v>
      </c>
      <c r="H138" s="147">
        <f t="shared" si="43"/>
        <v>85.014221846400005</v>
      </c>
      <c r="I138" s="147">
        <f t="shared" si="43"/>
        <v>86.714506283328006</v>
      </c>
      <c r="J138" s="147">
        <f t="shared" si="43"/>
        <v>88.448796408994568</v>
      </c>
      <c r="K138" s="147">
        <f t="shared" si="43"/>
        <v>90.217772337174466</v>
      </c>
      <c r="L138" s="147">
        <f t="shared" si="43"/>
        <v>92.022127783917952</v>
      </c>
      <c r="M138" s="147">
        <f t="shared" si="43"/>
        <v>93.862570339596317</v>
      </c>
      <c r="N138" s="147">
        <f t="shared" si="43"/>
        <v>95.739821746388245</v>
      </c>
      <c r="O138" s="147">
        <f t="shared" si="43"/>
        <v>97.65461818131601</v>
      </c>
      <c r="P138" s="147">
        <f t="shared" si="43"/>
        <v>99.607710544942336</v>
      </c>
      <c r="Q138" s="147">
        <f t="shared" si="43"/>
        <v>101.59986475584118</v>
      </c>
      <c r="R138" s="147">
        <f t="shared" si="43"/>
        <v>103.63186205095801</v>
      </c>
      <c r="S138" s="147">
        <f t="shared" si="43"/>
        <v>105.70449929197717</v>
      </c>
      <c r="T138" s="147">
        <f t="shared" si="43"/>
        <v>0</v>
      </c>
      <c r="U138" s="147">
        <f t="shared" si="43"/>
        <v>0</v>
      </c>
      <c r="V138" s="147">
        <f t="shared" si="43"/>
        <v>0</v>
      </c>
      <c r="W138" s="147">
        <f t="shared" si="43"/>
        <v>0</v>
      </c>
      <c r="X138" s="147">
        <f t="shared" si="43"/>
        <v>0</v>
      </c>
      <c r="Y138" s="147">
        <f t="shared" si="43"/>
        <v>0</v>
      </c>
      <c r="AA138" s="355">
        <f t="shared" si="28"/>
        <v>1305.2786638908342</v>
      </c>
      <c r="AB138" s="356">
        <f t="shared" si="41"/>
        <v>1305.2786638908342</v>
      </c>
    </row>
    <row r="139" spans="1:28" s="128" customFormat="1">
      <c r="A139" s="128" t="s">
        <v>68</v>
      </c>
      <c r="F139" s="132">
        <f>F137+F138</f>
        <v>81.71301600000001</v>
      </c>
      <c r="G139" s="132">
        <f t="shared" ref="G139:Y139" si="44">G137+G138</f>
        <v>83.347276320000006</v>
      </c>
      <c r="H139" s="132">
        <f t="shared" si="44"/>
        <v>85.014221846400005</v>
      </c>
      <c r="I139" s="132">
        <f t="shared" si="44"/>
        <v>86.714506283328006</v>
      </c>
      <c r="J139" s="132">
        <f t="shared" si="44"/>
        <v>88.448796408994568</v>
      </c>
      <c r="K139" s="132">
        <f t="shared" si="44"/>
        <v>90.217772337174466</v>
      </c>
      <c r="L139" s="132">
        <f t="shared" si="44"/>
        <v>92.022127783917952</v>
      </c>
      <c r="M139" s="132">
        <f t="shared" si="44"/>
        <v>93.862570339596317</v>
      </c>
      <c r="N139" s="132">
        <f t="shared" si="44"/>
        <v>95.739821746388245</v>
      </c>
      <c r="O139" s="132">
        <f t="shared" si="44"/>
        <v>97.65461818131601</v>
      </c>
      <c r="P139" s="132">
        <f t="shared" si="44"/>
        <v>99.607710544942336</v>
      </c>
      <c r="Q139" s="132">
        <f t="shared" si="44"/>
        <v>101.59986475584118</v>
      </c>
      <c r="R139" s="132">
        <f t="shared" si="44"/>
        <v>103.63186205095801</v>
      </c>
      <c r="S139" s="132">
        <f t="shared" si="44"/>
        <v>105.70449929197717</v>
      </c>
      <c r="T139" s="132">
        <f t="shared" si="44"/>
        <v>0</v>
      </c>
      <c r="U139" s="132">
        <f t="shared" si="44"/>
        <v>0</v>
      </c>
      <c r="V139" s="132">
        <f t="shared" si="44"/>
        <v>0</v>
      </c>
      <c r="W139" s="132">
        <f t="shared" si="44"/>
        <v>0</v>
      </c>
      <c r="X139" s="132">
        <f t="shared" si="44"/>
        <v>0</v>
      </c>
      <c r="Y139" s="132">
        <f t="shared" si="44"/>
        <v>0</v>
      </c>
      <c r="AA139" s="355">
        <f t="shared" si="28"/>
        <v>1305.2786638908342</v>
      </c>
      <c r="AB139" s="356">
        <f t="shared" si="41"/>
        <v>1305.2786638908342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4.0856508000000007</v>
      </c>
      <c r="G140" s="132">
        <f t="shared" ref="G140:Y140" si="45">G139*$C$140</f>
        <v>4.1673638160000008</v>
      </c>
      <c r="H140" s="132">
        <f t="shared" si="45"/>
        <v>4.2507110923200004</v>
      </c>
      <c r="I140" s="132">
        <f t="shared" si="45"/>
        <v>4.3357253141664005</v>
      </c>
      <c r="J140" s="132">
        <f t="shared" si="45"/>
        <v>4.4224398204497284</v>
      </c>
      <c r="K140" s="132">
        <f t="shared" si="45"/>
        <v>4.5108886168587237</v>
      </c>
      <c r="L140" s="132">
        <f t="shared" si="45"/>
        <v>4.6011063891958974</v>
      </c>
      <c r="M140" s="132">
        <f t="shared" si="45"/>
        <v>4.693128516979816</v>
      </c>
      <c r="N140" s="132">
        <f t="shared" si="45"/>
        <v>4.7869910873194126</v>
      </c>
      <c r="O140" s="132">
        <f t="shared" si="45"/>
        <v>4.8827309090658009</v>
      </c>
      <c r="P140" s="132">
        <f t="shared" si="45"/>
        <v>4.9803855272471171</v>
      </c>
      <c r="Q140" s="132">
        <f t="shared" si="45"/>
        <v>5.0799932377920598</v>
      </c>
      <c r="R140" s="132">
        <f t="shared" si="45"/>
        <v>5.1815931025479003</v>
      </c>
      <c r="S140" s="132">
        <f t="shared" si="45"/>
        <v>5.2852249645988589</v>
      </c>
      <c r="T140" s="132">
        <f t="shared" si="45"/>
        <v>0</v>
      </c>
      <c r="U140" s="132">
        <f t="shared" si="45"/>
        <v>0</v>
      </c>
      <c r="V140" s="132">
        <f t="shared" si="45"/>
        <v>0</v>
      </c>
      <c r="W140" s="132">
        <f t="shared" si="45"/>
        <v>0</v>
      </c>
      <c r="X140" s="132">
        <f t="shared" si="45"/>
        <v>0</v>
      </c>
      <c r="Y140" s="132">
        <f t="shared" si="45"/>
        <v>0</v>
      </c>
      <c r="AA140" s="355">
        <f t="shared" si="28"/>
        <v>65.263933194541721</v>
      </c>
      <c r="AB140" s="356">
        <f t="shared" si="41"/>
        <v>65.263933194541721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27.169577820000004</v>
      </c>
      <c r="G141" s="147">
        <f t="shared" ref="G141:Y141" si="46">(G139-G140)*$C$141</f>
        <v>27.7129693764</v>
      </c>
      <c r="H141" s="147">
        <f t="shared" si="46"/>
        <v>28.267228763927999</v>
      </c>
      <c r="I141" s="147">
        <f t="shared" si="46"/>
        <v>28.832573339206562</v>
      </c>
      <c r="J141" s="147">
        <f t="shared" si="46"/>
        <v>29.409224805990693</v>
      </c>
      <c r="K141" s="147">
        <f t="shared" si="46"/>
        <v>29.997409302110508</v>
      </c>
      <c r="L141" s="147">
        <f t="shared" si="46"/>
        <v>30.597357488152721</v>
      </c>
      <c r="M141" s="147">
        <f t="shared" si="46"/>
        <v>31.209304637915775</v>
      </c>
      <c r="N141" s="147">
        <f t="shared" si="46"/>
        <v>31.83349073067409</v>
      </c>
      <c r="O141" s="147">
        <f t="shared" si="46"/>
        <v>32.47016054528757</v>
      </c>
      <c r="P141" s="147">
        <f t="shared" si="46"/>
        <v>33.119563756193322</v>
      </c>
      <c r="Q141" s="147">
        <f t="shared" si="46"/>
        <v>33.781955031317189</v>
      </c>
      <c r="R141" s="147">
        <f t="shared" si="46"/>
        <v>34.45759413194353</v>
      </c>
      <c r="S141" s="147">
        <f t="shared" si="46"/>
        <v>35.146746014582412</v>
      </c>
      <c r="T141" s="147">
        <f t="shared" si="46"/>
        <v>0</v>
      </c>
      <c r="U141" s="147">
        <f t="shared" si="46"/>
        <v>0</v>
      </c>
      <c r="V141" s="147">
        <f t="shared" si="46"/>
        <v>0</v>
      </c>
      <c r="W141" s="147">
        <f t="shared" si="46"/>
        <v>0</v>
      </c>
      <c r="X141" s="147">
        <f t="shared" si="46"/>
        <v>0</v>
      </c>
      <c r="Y141" s="147">
        <f t="shared" si="46"/>
        <v>0</v>
      </c>
      <c r="AA141" s="355">
        <f t="shared" si="28"/>
        <v>434.00515574370235</v>
      </c>
      <c r="AB141" s="356">
        <f t="shared" si="41"/>
        <v>434.00515574370235</v>
      </c>
    </row>
    <row r="142" spans="1:28" s="128" customFormat="1">
      <c r="A142" s="128" t="s">
        <v>71</v>
      </c>
      <c r="F142" s="132">
        <f>F139-F140-F141</f>
        <v>50.457787380000013</v>
      </c>
      <c r="G142" s="132">
        <f t="shared" ref="G142:Y142" si="47">G139-G140-G141</f>
        <v>51.466943127600004</v>
      </c>
      <c r="H142" s="132">
        <f t="shared" si="47"/>
        <v>52.496281990151999</v>
      </c>
      <c r="I142" s="132">
        <f t="shared" si="47"/>
        <v>53.546207629955049</v>
      </c>
      <c r="J142" s="132">
        <f t="shared" si="47"/>
        <v>54.617131782554154</v>
      </c>
      <c r="K142" s="132">
        <f t="shared" si="47"/>
        <v>55.709474418205232</v>
      </c>
      <c r="L142" s="132">
        <f t="shared" si="47"/>
        <v>56.823663906569337</v>
      </c>
      <c r="M142" s="132">
        <f t="shared" si="47"/>
        <v>57.960137184700727</v>
      </c>
      <c r="N142" s="132">
        <f t="shared" si="47"/>
        <v>59.119339928394751</v>
      </c>
      <c r="O142" s="132">
        <f t="shared" si="47"/>
        <v>60.301726726962642</v>
      </c>
      <c r="P142" s="132">
        <f t="shared" si="47"/>
        <v>61.507761261501891</v>
      </c>
      <c r="Q142" s="132">
        <f t="shared" si="47"/>
        <v>62.737916486731926</v>
      </c>
      <c r="R142" s="132">
        <f t="shared" si="47"/>
        <v>63.992674816466568</v>
      </c>
      <c r="S142" s="132">
        <f t="shared" si="47"/>
        <v>65.272528312795913</v>
      </c>
      <c r="T142" s="132">
        <f t="shared" si="47"/>
        <v>0</v>
      </c>
      <c r="U142" s="132">
        <f t="shared" si="47"/>
        <v>0</v>
      </c>
      <c r="V142" s="132">
        <f t="shared" si="47"/>
        <v>0</v>
      </c>
      <c r="W142" s="132">
        <f t="shared" si="47"/>
        <v>0</v>
      </c>
      <c r="X142" s="132">
        <f t="shared" si="47"/>
        <v>0</v>
      </c>
      <c r="Y142" s="132">
        <f t="shared" si="47"/>
        <v>0</v>
      </c>
      <c r="AA142" s="355">
        <f t="shared" si="28"/>
        <v>806.00957495259013</v>
      </c>
      <c r="AB142" s="356">
        <f t="shared" si="41"/>
        <v>806.00957495259013</v>
      </c>
    </row>
    <row r="143" spans="1:28" s="128" customFormat="1">
      <c r="AA143" s="355">
        <f t="shared" si="28"/>
        <v>0</v>
      </c>
      <c r="AB143" s="356">
        <f t="shared" si="41"/>
        <v>0</v>
      </c>
    </row>
    <row r="144" spans="1:28" s="128" customFormat="1">
      <c r="A144" s="146" t="str">
        <f>A76</f>
        <v>Net Income to FPLE</v>
      </c>
      <c r="F144" s="149">
        <f>F76</f>
        <v>474.65085959484418</v>
      </c>
      <c r="G144" s="149">
        <f t="shared" ref="G144:Y144" si="48">G76</f>
        <v>479.9673928194938</v>
      </c>
      <c r="H144" s="149">
        <f t="shared" si="48"/>
        <v>485.36027919243969</v>
      </c>
      <c r="I144" s="149">
        <f t="shared" si="48"/>
        <v>490.83044621219233</v>
      </c>
      <c r="J144" s="149">
        <f t="shared" si="48"/>
        <v>496.37882793566689</v>
      </c>
      <c r="K144" s="149">
        <f t="shared" si="48"/>
        <v>494.33355935171113</v>
      </c>
      <c r="L144" s="149">
        <f t="shared" si="48"/>
        <v>492.06148059816906</v>
      </c>
      <c r="M144" s="149">
        <f t="shared" si="48"/>
        <v>489.55433736042295</v>
      </c>
      <c r="N144" s="149">
        <f t="shared" si="48"/>
        <v>486.80363587504229</v>
      </c>
      <c r="O144" s="149">
        <f t="shared" si="48"/>
        <v>493.86375578951743</v>
      </c>
      <c r="P144" s="149">
        <f t="shared" si="48"/>
        <v>501.06511108829011</v>
      </c>
      <c r="Q144" s="149">
        <f t="shared" si="48"/>
        <v>508.41052712227389</v>
      </c>
      <c r="R144" s="149">
        <f t="shared" si="48"/>
        <v>515.90288576194189</v>
      </c>
      <c r="S144" s="149">
        <f t="shared" si="48"/>
        <v>511.17483248773459</v>
      </c>
      <c r="T144" s="149">
        <f t="shared" si="48"/>
        <v>0</v>
      </c>
      <c r="U144" s="149">
        <f t="shared" si="48"/>
        <v>0</v>
      </c>
      <c r="V144" s="149">
        <f t="shared" si="48"/>
        <v>0</v>
      </c>
      <c r="W144" s="149">
        <f t="shared" si="48"/>
        <v>0</v>
      </c>
      <c r="X144" s="149">
        <f t="shared" si="48"/>
        <v>0</v>
      </c>
      <c r="Y144" s="149">
        <f t="shared" si="48"/>
        <v>0</v>
      </c>
      <c r="AA144" s="355">
        <f t="shared" si="28"/>
        <v>6920.3579311897402</v>
      </c>
      <c r="AB144" s="356">
        <f t="shared" si="41"/>
        <v>6920.3579311897402</v>
      </c>
    </row>
    <row r="145" spans="1:28" s="128" customFormat="1">
      <c r="A145" s="103" t="s">
        <v>79</v>
      </c>
      <c r="F145" s="142">
        <f>F142+F144</f>
        <v>525.10864697484419</v>
      </c>
      <c r="G145" s="142">
        <f t="shared" ref="G145:Y145" si="49">G142+G144</f>
        <v>531.43433594709381</v>
      </c>
      <c r="H145" s="142">
        <f t="shared" si="49"/>
        <v>537.85656118259169</v>
      </c>
      <c r="I145" s="142">
        <f t="shared" si="49"/>
        <v>544.37665384214733</v>
      </c>
      <c r="J145" s="142">
        <f t="shared" si="49"/>
        <v>550.995959718221</v>
      </c>
      <c r="K145" s="142">
        <f t="shared" si="49"/>
        <v>550.04303376991641</v>
      </c>
      <c r="L145" s="142">
        <f t="shared" si="49"/>
        <v>548.88514450473838</v>
      </c>
      <c r="M145" s="142">
        <f t="shared" si="49"/>
        <v>547.51447454512368</v>
      </c>
      <c r="N145" s="142">
        <f t="shared" si="49"/>
        <v>545.922975803437</v>
      </c>
      <c r="O145" s="142">
        <f t="shared" si="49"/>
        <v>554.1654825164801</v>
      </c>
      <c r="P145" s="142">
        <f t="shared" si="49"/>
        <v>562.57287234979196</v>
      </c>
      <c r="Q145" s="142">
        <f t="shared" si="49"/>
        <v>571.14844360900577</v>
      </c>
      <c r="R145" s="142">
        <f t="shared" si="49"/>
        <v>579.89556057840844</v>
      </c>
      <c r="S145" s="142">
        <f t="shared" si="49"/>
        <v>576.44736080053053</v>
      </c>
      <c r="T145" s="142">
        <f t="shared" si="49"/>
        <v>0</v>
      </c>
      <c r="U145" s="142">
        <f t="shared" si="49"/>
        <v>0</v>
      </c>
      <c r="V145" s="142">
        <f t="shared" si="49"/>
        <v>0</v>
      </c>
      <c r="W145" s="142">
        <f t="shared" si="49"/>
        <v>0</v>
      </c>
      <c r="X145" s="142">
        <f t="shared" si="49"/>
        <v>0</v>
      </c>
      <c r="Y145" s="142">
        <f t="shared" si="49"/>
        <v>0</v>
      </c>
      <c r="AA145" s="355">
        <f t="shared" si="28"/>
        <v>7726.367506142331</v>
      </c>
      <c r="AB145" s="356">
        <f t="shared" si="41"/>
        <v>7726.367506142331</v>
      </c>
    </row>
    <row r="146" spans="1:28" s="128" customFormat="1">
      <c r="AA146" s="355">
        <f t="shared" si="28"/>
        <v>0</v>
      </c>
      <c r="AB146" s="356">
        <f t="shared" si="41"/>
        <v>0</v>
      </c>
    </row>
    <row r="147" spans="1:28" s="128" customFormat="1">
      <c r="AA147" s="355">
        <f t="shared" si="28"/>
        <v>0</v>
      </c>
      <c r="AB147" s="356">
        <f t="shared" si="41"/>
        <v>0</v>
      </c>
    </row>
    <row r="148" spans="1:28" s="128" customFormat="1">
      <c r="AA148" s="355">
        <f t="shared" si="28"/>
        <v>0</v>
      </c>
      <c r="AB148" s="356">
        <f t="shared" si="41"/>
        <v>0</v>
      </c>
    </row>
    <row r="149" spans="1:28" s="128" customFormat="1">
      <c r="A149" s="105" t="s">
        <v>110</v>
      </c>
      <c r="AA149" s="355">
        <f t="shared" si="28"/>
        <v>0</v>
      </c>
      <c r="AB149" s="356">
        <f t="shared" si="41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50.457787380000013</v>
      </c>
      <c r="G150" s="129">
        <f t="shared" ref="G150:Y150" si="50">G142</f>
        <v>51.466943127600004</v>
      </c>
      <c r="H150" s="129">
        <f t="shared" si="50"/>
        <v>52.496281990151999</v>
      </c>
      <c r="I150" s="129">
        <f t="shared" si="50"/>
        <v>53.546207629955049</v>
      </c>
      <c r="J150" s="129">
        <f t="shared" si="50"/>
        <v>54.617131782554154</v>
      </c>
      <c r="K150" s="129">
        <f t="shared" si="50"/>
        <v>55.709474418205232</v>
      </c>
      <c r="L150" s="129">
        <f t="shared" si="50"/>
        <v>56.823663906569337</v>
      </c>
      <c r="M150" s="129">
        <f t="shared" si="50"/>
        <v>57.960137184700727</v>
      </c>
      <c r="N150" s="129">
        <f t="shared" si="50"/>
        <v>59.119339928394751</v>
      </c>
      <c r="O150" s="129">
        <f t="shared" si="50"/>
        <v>60.301726726962642</v>
      </c>
      <c r="P150" s="129">
        <f t="shared" si="50"/>
        <v>61.507761261501891</v>
      </c>
      <c r="Q150" s="129">
        <f t="shared" si="50"/>
        <v>62.737916486731926</v>
      </c>
      <c r="R150" s="129">
        <f t="shared" si="50"/>
        <v>63.992674816466568</v>
      </c>
      <c r="S150" s="129">
        <f t="shared" si="50"/>
        <v>65.272528312795913</v>
      </c>
      <c r="T150" s="129">
        <f t="shared" si="50"/>
        <v>0</v>
      </c>
      <c r="U150" s="129">
        <f t="shared" si="50"/>
        <v>0</v>
      </c>
      <c r="V150" s="129">
        <f t="shared" si="50"/>
        <v>0</v>
      </c>
      <c r="W150" s="129">
        <f t="shared" si="50"/>
        <v>0</v>
      </c>
      <c r="X150" s="129">
        <f t="shared" si="50"/>
        <v>0</v>
      </c>
      <c r="Y150" s="129">
        <f t="shared" si="50"/>
        <v>0</v>
      </c>
      <c r="AA150" s="355">
        <f t="shared" si="28"/>
        <v>806.00957495259013</v>
      </c>
      <c r="AB150" s="356">
        <f t="shared" si="41"/>
        <v>806.00957495259013</v>
      </c>
    </row>
    <row r="151" spans="1:28" s="128" customFormat="1">
      <c r="A151" s="128" t="s">
        <v>111</v>
      </c>
      <c r="F151" s="182">
        <v>0</v>
      </c>
      <c r="G151" s="182">
        <v>0</v>
      </c>
      <c r="H151" s="182">
        <v>0</v>
      </c>
      <c r="I151" s="182">
        <v>0</v>
      </c>
      <c r="J151" s="182">
        <v>0</v>
      </c>
      <c r="K151" s="182">
        <v>0</v>
      </c>
      <c r="L151" s="182">
        <v>0</v>
      </c>
      <c r="M151" s="182">
        <v>0</v>
      </c>
      <c r="N151" s="182">
        <v>0</v>
      </c>
      <c r="O151" s="182">
        <v>0</v>
      </c>
      <c r="P151" s="182">
        <v>0</v>
      </c>
      <c r="Q151" s="182">
        <v>0</v>
      </c>
      <c r="R151" s="182">
        <v>0</v>
      </c>
      <c r="S151" s="182">
        <v>0</v>
      </c>
      <c r="T151" s="182">
        <v>0</v>
      </c>
      <c r="U151" s="182">
        <v>0</v>
      </c>
      <c r="V151" s="182">
        <v>0</v>
      </c>
      <c r="W151" s="182">
        <v>0</v>
      </c>
      <c r="X151" s="182">
        <v>0</v>
      </c>
      <c r="Y151" s="182">
        <v>0</v>
      </c>
      <c r="AA151" s="355">
        <f t="shared" si="28"/>
        <v>0</v>
      </c>
      <c r="AB151" s="356">
        <f t="shared" si="41"/>
        <v>0</v>
      </c>
    </row>
    <row r="152" spans="1:28" s="128" customFormat="1">
      <c r="F152" s="129">
        <f>F150+F151</f>
        <v>50.457787380000013</v>
      </c>
      <c r="G152" s="129">
        <f t="shared" ref="G152:Y152" si="51">G150+G151</f>
        <v>51.466943127600004</v>
      </c>
      <c r="H152" s="129">
        <f t="shared" si="51"/>
        <v>52.496281990151999</v>
      </c>
      <c r="I152" s="129">
        <f t="shared" si="51"/>
        <v>53.546207629955049</v>
      </c>
      <c r="J152" s="129">
        <f t="shared" si="51"/>
        <v>54.617131782554154</v>
      </c>
      <c r="K152" s="129">
        <f t="shared" si="51"/>
        <v>55.709474418205232</v>
      </c>
      <c r="L152" s="129">
        <f t="shared" si="51"/>
        <v>56.823663906569337</v>
      </c>
      <c r="M152" s="129">
        <f t="shared" si="51"/>
        <v>57.960137184700727</v>
      </c>
      <c r="N152" s="129">
        <f t="shared" si="51"/>
        <v>59.119339928394751</v>
      </c>
      <c r="O152" s="129">
        <f t="shared" si="51"/>
        <v>60.301726726962642</v>
      </c>
      <c r="P152" s="129">
        <f t="shared" si="51"/>
        <v>61.507761261501891</v>
      </c>
      <c r="Q152" s="129">
        <f t="shared" si="51"/>
        <v>62.737916486731926</v>
      </c>
      <c r="R152" s="129">
        <f t="shared" si="51"/>
        <v>63.992674816466568</v>
      </c>
      <c r="S152" s="129">
        <f t="shared" si="51"/>
        <v>65.272528312795913</v>
      </c>
      <c r="T152" s="129">
        <f t="shared" si="51"/>
        <v>0</v>
      </c>
      <c r="U152" s="129">
        <f t="shared" si="51"/>
        <v>0</v>
      </c>
      <c r="V152" s="129">
        <f t="shared" si="51"/>
        <v>0</v>
      </c>
      <c r="W152" s="129">
        <f t="shared" si="51"/>
        <v>0</v>
      </c>
      <c r="X152" s="129">
        <f t="shared" si="51"/>
        <v>0</v>
      </c>
      <c r="Y152" s="129">
        <f t="shared" si="51"/>
        <v>0</v>
      </c>
      <c r="AA152" s="355">
        <f t="shared" si="28"/>
        <v>806.00957495259013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411.57155865769471</v>
      </c>
    </row>
    <row r="156" spans="1:28" s="128" customFormat="1" ht="13.5" thickBot="1">
      <c r="A156" s="128" t="s">
        <v>48</v>
      </c>
      <c r="C156" s="152">
        <v>0.1</v>
      </c>
      <c r="D156" s="425" t="s">
        <v>203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11351.794998528912</v>
      </c>
    </row>
    <row r="161" spans="1:25" s="128" customFormat="1">
      <c r="A161" s="108" t="s">
        <v>74</v>
      </c>
      <c r="B161" s="109"/>
      <c r="C161" s="109"/>
      <c r="D161" s="183">
        <v>0</v>
      </c>
      <c r="F161" s="150"/>
    </row>
    <row r="162" spans="1:25" s="128" customFormat="1">
      <c r="A162" s="108" t="s">
        <v>75</v>
      </c>
      <c r="B162" s="109"/>
      <c r="C162" s="109"/>
      <c r="D162" s="111">
        <f>C155-D161</f>
        <v>411.57155865769471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11763.366557186608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 t="s">
        <v>156</v>
      </c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 t="s">
        <v>217</v>
      </c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 t="s">
        <v>218</v>
      </c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 t="s">
        <v>219</v>
      </c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6" t="s">
        <v>220</v>
      </c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17"/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/>
      <c r="B175" s="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17"/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/>
      <c r="B177" s="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/>
      <c r="B178" s="17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/>
      <c r="B179" s="1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17"/>
      <c r="B180" s="1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17"/>
      <c r="B181" s="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17"/>
      <c r="B182" s="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/>
      <c r="B183" s="17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3.5" outlineLevel="1">
      <c r="A184" s="97"/>
      <c r="B184" s="6"/>
      <c r="C184" s="6"/>
      <c r="D184" s="31"/>
      <c r="E184" s="6"/>
      <c r="F184" s="6"/>
      <c r="G184" s="31"/>
      <c r="H184" s="6"/>
      <c r="I184" s="6"/>
      <c r="J184" s="6"/>
      <c r="K184" s="6"/>
      <c r="L184" s="6"/>
      <c r="M184" s="6"/>
      <c r="N184" s="6"/>
      <c r="O184" s="6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17"/>
      <c r="B185" s="6"/>
      <c r="C185" s="33"/>
      <c r="D185" s="31"/>
      <c r="E185" s="31"/>
      <c r="F185" s="31"/>
      <c r="G185" s="184"/>
      <c r="H185" s="185"/>
      <c r="I185" s="185"/>
      <c r="J185" s="185"/>
      <c r="K185" s="185"/>
      <c r="L185" s="185"/>
      <c r="M185" s="185"/>
      <c r="N185" s="185"/>
      <c r="O185" s="185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17"/>
      <c r="B186" s="36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36"/>
      <c r="B187" s="36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36"/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36"/>
      <c r="B189" s="6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6"/>
      <c r="B190" s="1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17"/>
      <c r="B191" s="1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1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6"/>
      <c r="B194" s="1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17"/>
      <c r="B195" s="6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38"/>
      <c r="B196" s="6"/>
      <c r="C196" s="6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40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39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8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40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" customHeight="1" outlineLevel="1">
      <c r="A219" s="40"/>
      <c r="B219" s="6"/>
      <c r="C219" s="6"/>
      <c r="D219" s="6"/>
      <c r="E219" s="27"/>
      <c r="F219" s="27"/>
      <c r="G219" s="2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4.25" customHeight="1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outlineLevel="1">
      <c r="A223" s="40"/>
      <c r="B223" s="6"/>
      <c r="C223" s="6"/>
      <c r="D223" s="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outlineLevel="1">
      <c r="A224" s="42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27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6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17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6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6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3"/>
      <c r="B236" s="3"/>
      <c r="C236" s="3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outlineLevel="1">
      <c r="A237" s="40"/>
      <c r="B237" s="6"/>
      <c r="C237" s="6"/>
      <c r="D237" s="6"/>
      <c r="E237" s="27"/>
      <c r="F237" s="27"/>
      <c r="G237" s="2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outlineLevel="1">
      <c r="A238" s="39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8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27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40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39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20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27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40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27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40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39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40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39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8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8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40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9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39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8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40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6"/>
      <c r="B279" s="6"/>
      <c r="C279" s="6"/>
      <c r="D279" s="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outlineLevel="1">
      <c r="A280" s="6"/>
      <c r="B280" s="6"/>
      <c r="C280" s="6"/>
      <c r="D280" s="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6"/>
      <c r="B281" s="6"/>
      <c r="C281" s="6"/>
      <c r="D281" s="6"/>
      <c r="E281" s="6"/>
      <c r="F281" s="6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3"/>
      <c r="B282" s="3"/>
      <c r="C282" s="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outlineLevel="1">
      <c r="A283" s="17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17"/>
      <c r="B284" s="43"/>
      <c r="C284" s="4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17"/>
      <c r="B287" s="17"/>
      <c r="C287" s="17"/>
      <c r="D287" s="1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44"/>
      <c r="B288" s="17"/>
      <c r="C288" s="17"/>
      <c r="D288" s="17"/>
      <c r="E288" s="45"/>
      <c r="F288" s="45"/>
      <c r="G288" s="45"/>
      <c r="H288" s="45"/>
      <c r="I288" s="45"/>
      <c r="J288" s="45"/>
      <c r="K288" s="45"/>
      <c r="L288" s="45"/>
      <c r="M288" s="6"/>
      <c r="N288" s="4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17"/>
      <c r="C289" s="17"/>
      <c r="D289" s="17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3"/>
      <c r="C292" s="3"/>
      <c r="D292" s="3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6"/>
      <c r="B293" s="6"/>
      <c r="C293" s="6"/>
      <c r="D293" s="6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17"/>
      <c r="B294" s="17"/>
      <c r="C294" s="17"/>
      <c r="D294" s="17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44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17"/>
      <c r="B306" s="17"/>
      <c r="C306" s="17"/>
      <c r="D306" s="17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17"/>
      <c r="B309" s="17"/>
      <c r="C309" s="17"/>
      <c r="D309" s="17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17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6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46"/>
      <c r="C312" s="46"/>
      <c r="D312" s="46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17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44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17"/>
      <c r="B315" s="17"/>
      <c r="C315" s="17"/>
      <c r="D315" s="17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6"/>
      <c r="B316" s="6"/>
      <c r="C316" s="6"/>
      <c r="D316" s="6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17"/>
      <c r="B317" s="17"/>
      <c r="C317" s="17"/>
      <c r="D317" s="17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6"/>
      <c r="C323" s="6"/>
      <c r="D323" s="6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17"/>
      <c r="B324" s="17"/>
      <c r="C324" s="17"/>
      <c r="D324" s="17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17"/>
      <c r="B325" s="17"/>
      <c r="C325" s="17"/>
      <c r="D325" s="17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6"/>
      <c r="B326" s="6"/>
      <c r="C326" s="6"/>
      <c r="D326" s="6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47"/>
      <c r="C327" s="47"/>
      <c r="D327" s="6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43"/>
      <c r="C328" s="43"/>
      <c r="D328" s="43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48"/>
      <c r="C330" s="48"/>
      <c r="D330" s="6"/>
      <c r="E330" s="6"/>
      <c r="F330" s="6"/>
      <c r="G330" s="20"/>
      <c r="H330" s="20"/>
      <c r="I330" s="20"/>
      <c r="J330" s="20"/>
      <c r="K330" s="20"/>
      <c r="L330" s="2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6"/>
      <c r="C331" s="6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s="187" customFormat="1" outlineLevel="1">
      <c r="A339" s="186"/>
    </row>
    <row r="340" spans="1:25" outlineLevel="1">
      <c r="A340" s="1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outlineLevel="1">
      <c r="A341" s="17"/>
      <c r="B341" s="6"/>
      <c r="C341" s="6"/>
      <c r="D341" s="6"/>
      <c r="E341" s="6"/>
      <c r="F341" s="6"/>
      <c r="G341" s="51"/>
      <c r="H341" s="51"/>
      <c r="I341" s="51"/>
      <c r="J341" s="51"/>
      <c r="K341" s="51"/>
      <c r="L341" s="5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7"/>
      <c r="B342" s="6"/>
      <c r="C342" s="6"/>
      <c r="D342" s="6"/>
      <c r="E342" s="6"/>
      <c r="F342" s="6"/>
      <c r="G342" s="51"/>
      <c r="H342" s="51"/>
      <c r="I342" s="51"/>
      <c r="J342" s="51"/>
      <c r="K342" s="51"/>
      <c r="L342" s="5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6"/>
      <c r="B343" s="52"/>
      <c r="C343" s="52"/>
      <c r="D343" s="52"/>
      <c r="E343" s="6"/>
      <c r="F343" s="6"/>
      <c r="G343" s="53"/>
      <c r="H343" s="53"/>
      <c r="I343" s="53"/>
      <c r="J343" s="53"/>
      <c r="K343" s="53"/>
      <c r="L343" s="5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7"/>
      <c r="B344" s="56"/>
      <c r="C344" s="56"/>
      <c r="D344" s="5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18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88"/>
      <c r="B346" s="6"/>
      <c r="C346" s="6"/>
      <c r="D346" s="6"/>
      <c r="E346" s="6"/>
      <c r="F346" s="6"/>
      <c r="G346" s="20"/>
      <c r="H346" s="20"/>
      <c r="I346" s="20"/>
      <c r="J346" s="20"/>
      <c r="K346" s="20"/>
      <c r="L346" s="2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88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88"/>
      <c r="B350" s="6"/>
      <c r="C350" s="6"/>
      <c r="D350" s="6"/>
      <c r="E350" s="6"/>
      <c r="F350" s="6"/>
      <c r="G350" s="51"/>
      <c r="H350" s="51"/>
      <c r="I350" s="51"/>
      <c r="J350" s="51"/>
      <c r="K350" s="51"/>
      <c r="L350" s="5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7"/>
      <c r="B351" s="6"/>
      <c r="C351" s="6"/>
      <c r="D351" s="6"/>
      <c r="E351" s="6"/>
      <c r="F351" s="6"/>
      <c r="G351" s="56"/>
      <c r="H351" s="56"/>
      <c r="I351" s="56"/>
      <c r="J351" s="56"/>
      <c r="K351" s="56"/>
      <c r="L351" s="5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88"/>
      <c r="B352" s="14"/>
      <c r="C352" s="14"/>
      <c r="D352" s="14"/>
      <c r="E352" s="6"/>
      <c r="F352" s="6"/>
      <c r="G352" s="189"/>
      <c r="H352" s="189"/>
      <c r="I352" s="189"/>
      <c r="J352" s="189"/>
      <c r="K352" s="189"/>
      <c r="L352" s="18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88"/>
      <c r="B353" s="6"/>
      <c r="C353" s="6"/>
      <c r="D353" s="6"/>
      <c r="E353" s="6"/>
      <c r="F353" s="6"/>
      <c r="G353" s="189"/>
      <c r="H353" s="189"/>
      <c r="I353" s="189"/>
      <c r="J353" s="189"/>
      <c r="K353" s="189"/>
      <c r="L353" s="18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188"/>
      <c r="B354" s="6"/>
      <c r="C354" s="6"/>
      <c r="D354" s="6"/>
      <c r="E354" s="6"/>
      <c r="F354" s="6"/>
      <c r="G354" s="189"/>
      <c r="H354" s="189"/>
      <c r="I354" s="189"/>
      <c r="J354" s="189"/>
      <c r="K354" s="189"/>
      <c r="L354" s="18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188"/>
      <c r="B355" s="6"/>
      <c r="C355" s="6"/>
      <c r="D355" s="6"/>
      <c r="E355" s="6"/>
      <c r="F355" s="6"/>
      <c r="G355" s="189"/>
      <c r="H355" s="189"/>
      <c r="I355" s="189"/>
      <c r="J355" s="189"/>
      <c r="K355" s="189"/>
      <c r="L355" s="18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188"/>
      <c r="B356" s="6"/>
      <c r="C356" s="6"/>
      <c r="D356" s="6"/>
      <c r="E356" s="6"/>
      <c r="F356" s="6"/>
      <c r="G356" s="56"/>
      <c r="H356" s="56"/>
      <c r="I356" s="56"/>
      <c r="J356" s="56"/>
      <c r="K356" s="56"/>
      <c r="L356" s="5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6"/>
      <c r="B358" s="6"/>
      <c r="C358" s="6"/>
      <c r="D358" s="6"/>
      <c r="E358" s="6"/>
      <c r="F358" s="6"/>
      <c r="G358" s="20"/>
      <c r="H358" s="20"/>
      <c r="I358" s="20"/>
      <c r="J358" s="20"/>
      <c r="K358" s="20"/>
      <c r="L358" s="2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20"/>
      <c r="F361" s="20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51"/>
      <c r="H364" s="51"/>
      <c r="I364" s="51"/>
      <c r="J364" s="51"/>
      <c r="K364" s="51"/>
      <c r="L364" s="5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188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188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188"/>
      <c r="B367" s="6"/>
      <c r="C367" s="6"/>
      <c r="D367" s="6"/>
      <c r="E367" s="20"/>
      <c r="F367" s="20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6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17"/>
      <c r="B375" s="6"/>
      <c r="C375" s="6"/>
      <c r="D375" s="6"/>
      <c r="E375" s="59"/>
      <c r="F375" s="59"/>
      <c r="G375" s="59"/>
      <c r="H375" s="59"/>
      <c r="I375" s="59"/>
      <c r="J375" s="59"/>
      <c r="K375" s="59"/>
      <c r="L375" s="5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14"/>
      <c r="E376" s="20"/>
      <c r="F376" s="20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59"/>
      <c r="F377" s="59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6"/>
      <c r="E378" s="6"/>
      <c r="F378" s="6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45"/>
      <c r="H383" s="45"/>
      <c r="I383" s="45"/>
      <c r="J383" s="45"/>
      <c r="K383" s="45"/>
      <c r="L383" s="4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59"/>
      <c r="H384" s="59"/>
      <c r="I384" s="59"/>
      <c r="J384" s="59"/>
      <c r="K384" s="59"/>
      <c r="L384" s="5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30" outlineLevel="1">
      <c r="A385" s="6"/>
      <c r="B385" s="6"/>
      <c r="C385" s="6"/>
      <c r="D385" s="6"/>
      <c r="E385" s="6"/>
      <c r="F385" s="6"/>
      <c r="G385" s="45"/>
      <c r="H385" s="45"/>
      <c r="I385" s="45"/>
      <c r="J385" s="45"/>
      <c r="K385" s="45"/>
      <c r="L385" s="4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30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30" outlineLevel="1">
      <c r="A387" s="6"/>
      <c r="B387" s="6"/>
      <c r="C387" s="6"/>
      <c r="D387" s="6"/>
      <c r="E387" s="6"/>
      <c r="F387" s="6"/>
      <c r="G387" s="45"/>
      <c r="H387" s="45"/>
      <c r="I387" s="45"/>
      <c r="J387" s="45"/>
      <c r="K387" s="45"/>
      <c r="L387" s="4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30" outlineLevel="1">
      <c r="A388" s="6"/>
      <c r="B388" s="6"/>
      <c r="C388" s="6"/>
      <c r="D388" s="6"/>
      <c r="E388" s="6"/>
      <c r="F388" s="6"/>
      <c r="G388" s="61"/>
      <c r="H388" s="61"/>
      <c r="I388" s="61"/>
      <c r="J388" s="61"/>
      <c r="K388" s="61"/>
      <c r="L388" s="6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30" outlineLevel="1">
      <c r="A389" s="6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30" hidden="1" outlineLevel="2">
      <c r="A390" s="17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30" hidden="1" outlineLevel="2">
      <c r="A391" s="17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30" hidden="1" outlineLevel="2">
      <c r="A392" s="6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30" hidden="1" outlineLevel="2">
      <c r="A393" s="17"/>
      <c r="B393" s="9"/>
      <c r="C393" s="9"/>
      <c r="D393" s="9"/>
      <c r="E393" s="10"/>
      <c r="F393" s="10"/>
      <c r="G393" s="10"/>
      <c r="H393" s="9"/>
      <c r="I393" s="9"/>
      <c r="J393" s="10"/>
      <c r="K393" s="10"/>
      <c r="L393" s="9"/>
      <c r="M393" s="10"/>
      <c r="N393" s="10"/>
      <c r="O393" s="10"/>
      <c r="P393" s="9"/>
      <c r="Q393" s="10"/>
      <c r="R393" s="10"/>
      <c r="S393" s="6"/>
      <c r="T393" s="6"/>
      <c r="U393" s="6"/>
      <c r="V393" s="6"/>
      <c r="W393" s="6"/>
      <c r="X393" s="10"/>
      <c r="Y393" s="6"/>
    </row>
    <row r="394" spans="1:30" hidden="1" outlineLevel="2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30" hidden="1" outlineLevel="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30" hidden="1" outlineLevel="2">
      <c r="A396" s="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6"/>
      <c r="T396" s="6"/>
      <c r="U396" s="6"/>
      <c r="V396" s="6"/>
      <c r="W396" s="6"/>
      <c r="X396" s="45"/>
      <c r="Y396" s="6"/>
    </row>
    <row r="397" spans="1:30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30" hidden="1" outlineLevel="2">
      <c r="A398" s="6"/>
      <c r="B398" s="59"/>
      <c r="C398" s="59"/>
      <c r="D398" s="59"/>
      <c r="E398" s="59"/>
      <c r="F398" s="59"/>
      <c r="G398" s="59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30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30" hidden="1" outlineLevel="2">
      <c r="A400" s="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45"/>
      <c r="Z400" s="45"/>
      <c r="AA400" s="45"/>
      <c r="AB400" s="45"/>
      <c r="AC400" s="45"/>
      <c r="AD400" s="45"/>
    </row>
    <row r="401" spans="1:25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6"/>
    </row>
    <row r="403" spans="1:25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idden="1" outlineLevel="2">
      <c r="A404" s="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6"/>
      <c r="T404" s="6"/>
      <c r="U404" s="6"/>
      <c r="V404" s="6"/>
      <c r="W404" s="6"/>
      <c r="X404" s="45"/>
      <c r="Y404" s="45"/>
    </row>
    <row r="405" spans="1:25" hidden="1" outlineLevel="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idden="1" outlineLevel="2">
      <c r="A406" s="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6"/>
      <c r="T406" s="6"/>
      <c r="U406" s="6"/>
      <c r="V406" s="6"/>
      <c r="W406" s="6"/>
      <c r="X406" s="45"/>
      <c r="Y406" s="45"/>
    </row>
    <row r="407" spans="1:25" hidden="1" outlineLevel="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1" collapsed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1">
      <c r="A411" s="3"/>
      <c r="B411" s="3"/>
      <c r="C411" s="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outlineLevel="1">
      <c r="A412" s="17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outlineLevel="1">
      <c r="A413" s="17"/>
      <c r="B413" s="43"/>
      <c r="C413" s="4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outlineLevel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outlineLevel="1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outlineLevel="1">
      <c r="A416" s="17"/>
      <c r="B416" s="17"/>
      <c r="C416" s="1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>
      <c r="A417" s="44"/>
      <c r="B417" s="17"/>
      <c r="C417" s="17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outlineLevel="1">
      <c r="A418" s="44"/>
      <c r="B418" s="17"/>
      <c r="C418" s="17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3"/>
      <c r="C421" s="3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6"/>
      <c r="B422" s="6"/>
      <c r="C422" s="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17"/>
      <c r="B423" s="17"/>
      <c r="C423" s="17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44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17"/>
      <c r="B435" s="17"/>
      <c r="C435" s="17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6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17"/>
      <c r="B439" s="17"/>
      <c r="C439" s="17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6"/>
      <c r="B440" s="6"/>
      <c r="C440" s="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17"/>
      <c r="B441" s="17"/>
      <c r="C441" s="17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6"/>
      <c r="C445" s="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17"/>
      <c r="B446" s="17"/>
      <c r="C446" s="17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17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44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3"/>
      <c r="B453" s="46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17"/>
      <c r="B454" s="17"/>
      <c r="C454" s="17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6"/>
      <c r="B455" s="6"/>
      <c r="C455" s="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43"/>
      <c r="C456" s="43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3"/>
      <c r="B461" s="3"/>
      <c r="C461" s="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17"/>
      <c r="B462" s="17"/>
      <c r="C462" s="1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17"/>
      <c r="B463" s="43"/>
      <c r="C463" s="4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6"/>
      <c r="T465" s="6"/>
      <c r="U465" s="6"/>
      <c r="V465" s="6"/>
      <c r="W465" s="6"/>
      <c r="X465" s="6"/>
      <c r="Y465" s="6"/>
    </row>
    <row r="466" spans="1:25" outlineLevel="1">
      <c r="A466" s="17"/>
      <c r="B466" s="17"/>
      <c r="C466" s="17"/>
      <c r="D466" s="1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outlineLevel="1">
      <c r="A467" s="44"/>
      <c r="B467" s="17"/>
      <c r="C467" s="17"/>
      <c r="D467" s="17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17"/>
      <c r="C468" s="17"/>
      <c r="D468" s="17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44"/>
      <c r="C469" s="44"/>
      <c r="D469" s="44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44"/>
      <c r="C470" s="44"/>
      <c r="D470" s="44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3"/>
      <c r="C471" s="3"/>
      <c r="D471" s="3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3"/>
      <c r="C472" s="3"/>
      <c r="D472" s="3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17"/>
      <c r="B473" s="17"/>
      <c r="C473" s="17"/>
      <c r="D473" s="17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17"/>
      <c r="C474" s="17"/>
      <c r="D474" s="17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44"/>
      <c r="C484" s="44"/>
      <c r="D484" s="44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44"/>
      <c r="C485" s="44"/>
      <c r="D485" s="44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17"/>
      <c r="B486" s="17"/>
      <c r="C486" s="17"/>
      <c r="D486" s="17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6"/>
      <c r="B487" s="17"/>
      <c r="C487" s="17"/>
      <c r="D487" s="17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44"/>
      <c r="B488" s="44"/>
      <c r="C488" s="44"/>
      <c r="D488" s="44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17"/>
      <c r="B489" s="17"/>
      <c r="C489" s="17"/>
      <c r="D489" s="17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44"/>
      <c r="B490" s="46"/>
      <c r="C490" s="46"/>
      <c r="D490" s="46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43"/>
      <c r="C494" s="43"/>
      <c r="D494" s="43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6"/>
      <c r="T498" s="6"/>
      <c r="U498" s="6"/>
      <c r="V498" s="6"/>
      <c r="W498" s="6"/>
      <c r="X498" s="6"/>
      <c r="Y498" s="6"/>
    </row>
    <row r="499" spans="1:25" outlineLevel="1">
      <c r="A499" s="6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</row>
    <row r="500" spans="1:25" outlineLevel="1">
      <c r="A500" s="6"/>
      <c r="B500" s="45"/>
      <c r="C500" s="45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spans="1:25" outlineLevel="1">
      <c r="A501" s="6"/>
      <c r="B501" s="43"/>
      <c r="C501" s="43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3"/>
      <c r="C502" s="43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6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17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6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6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17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17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6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6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outlineLevel="1">
      <c r="A514" s="6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outlineLevel="1">
      <c r="A515" s="6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outlineLevel="1">
      <c r="A516" s="6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spans="1:25" outlineLevel="1">
      <c r="A517" s="6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6"/>
      <c r="T517" s="6"/>
      <c r="U517" s="6"/>
      <c r="V517" s="6"/>
      <c r="W517" s="6"/>
      <c r="X517" s="6"/>
      <c r="Y517" s="6"/>
    </row>
    <row r="518" spans="1:25" outlineLevel="1">
      <c r="A518" s="17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6"/>
      <c r="F522" s="6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6"/>
      <c r="T522" s="6"/>
      <c r="U522" s="6"/>
      <c r="V522" s="6"/>
      <c r="W522" s="6"/>
      <c r="X522" s="6"/>
      <c r="Y522" s="6"/>
    </row>
    <row r="523" spans="1:25" outlineLevel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outlineLevel="1">
      <c r="A529" s="6"/>
      <c r="B529" s="6"/>
      <c r="C529" s="6"/>
      <c r="D529" s="6"/>
      <c r="E529" s="6"/>
      <c r="F529" s="6"/>
      <c r="G529" s="3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outlineLevel="1">
      <c r="A530" s="17"/>
      <c r="B530" s="6"/>
      <c r="C530" s="6"/>
      <c r="D530" s="6"/>
      <c r="E530" s="6"/>
      <c r="F530" s="6"/>
      <c r="G530" s="31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6"/>
      <c r="T530" s="6"/>
      <c r="U530" s="6"/>
      <c r="V530" s="6"/>
      <c r="W530" s="6"/>
      <c r="X530" s="6"/>
      <c r="Y530" s="6"/>
    </row>
    <row r="531" spans="1:25" outlineLevel="1">
      <c r="A531" s="6"/>
      <c r="B531" s="6"/>
      <c r="C531" s="6"/>
      <c r="D531" s="6"/>
      <c r="E531" s="6"/>
      <c r="F531" s="6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188"/>
      <c r="B535" s="6"/>
      <c r="C535" s="6"/>
      <c r="D535" s="6"/>
      <c r="E535" s="6"/>
      <c r="F535" s="6"/>
      <c r="G535" s="3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6"/>
      <c r="T535" s="6"/>
      <c r="U535" s="6"/>
      <c r="V535" s="6"/>
      <c r="W535" s="6"/>
      <c r="X535" s="6"/>
      <c r="Y535" s="6"/>
    </row>
    <row r="536" spans="1:25" outlineLevel="1">
      <c r="A536" s="188"/>
      <c r="B536" s="6"/>
      <c r="C536" s="6"/>
      <c r="D536" s="6"/>
      <c r="E536" s="6"/>
      <c r="F536" s="6"/>
      <c r="G536" s="3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6"/>
      <c r="T536" s="6"/>
      <c r="U536" s="6"/>
      <c r="V536" s="6"/>
      <c r="W536" s="6"/>
      <c r="X536" s="6"/>
      <c r="Y536" s="6"/>
    </row>
    <row r="537" spans="1:25" outlineLevel="1">
      <c r="A537" s="17"/>
      <c r="B537" s="6"/>
      <c r="C537" s="6"/>
      <c r="D537" s="6"/>
      <c r="E537" s="6"/>
      <c r="F537" s="6"/>
      <c r="G537" s="3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outlineLevel="1">
      <c r="A538" s="6"/>
      <c r="B538" s="6"/>
      <c r="C538" s="6"/>
      <c r="D538" s="6"/>
      <c r="E538" s="6"/>
      <c r="F538" s="6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3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17"/>
      <c r="B540" s="6"/>
      <c r="C540" s="6"/>
      <c r="D540" s="6"/>
      <c r="E540" s="6"/>
      <c r="F540" s="6"/>
      <c r="G540" s="31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6"/>
      <c r="T540" s="6"/>
      <c r="U540" s="6"/>
      <c r="V540" s="6"/>
      <c r="W540" s="6"/>
      <c r="X540" s="6"/>
      <c r="Y540" s="6"/>
    </row>
    <row r="541" spans="1:25" outlineLevel="1">
      <c r="A541" s="6"/>
      <c r="B541" s="14"/>
      <c r="C541" s="14"/>
      <c r="D541" s="6"/>
      <c r="E541" s="6"/>
      <c r="F541" s="6"/>
      <c r="G541" s="3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6"/>
      <c r="T541" s="6"/>
      <c r="U541" s="6"/>
      <c r="V541" s="6"/>
      <c r="W541" s="6"/>
      <c r="X541" s="6"/>
      <c r="Y541" s="6"/>
    </row>
    <row r="542" spans="1:25" outlineLevel="1">
      <c r="A542" s="17"/>
      <c r="B542" s="6"/>
      <c r="C542" s="6"/>
      <c r="D542" s="6"/>
      <c r="E542" s="6"/>
      <c r="F542" s="6"/>
      <c r="G542" s="3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outlineLevel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s="67" customFormat="1" outlineLevel="1">
      <c r="A545" s="66"/>
      <c r="B545" s="66"/>
      <c r="C545" s="66"/>
      <c r="D545" s="66"/>
      <c r="E545" s="66"/>
      <c r="F545" s="66"/>
      <c r="G545" s="66"/>
    </row>
    <row r="546" spans="1:25" s="67" customFormat="1" outlineLevel="1">
      <c r="A546" s="66"/>
      <c r="B546" s="66"/>
      <c r="C546" s="66"/>
      <c r="D546" s="66"/>
      <c r="E546" s="66"/>
      <c r="F546" s="68"/>
      <c r="G546" s="69"/>
      <c r="H546" s="66"/>
      <c r="I546" s="70"/>
    </row>
    <row r="547" spans="1:25" s="67" customFormat="1" outlineLevel="1">
      <c r="A547" s="66"/>
      <c r="B547" s="69"/>
      <c r="C547" s="69"/>
      <c r="D547" s="69"/>
      <c r="E547" s="69"/>
      <c r="F547" s="71"/>
      <c r="G547" s="47"/>
      <c r="H547" s="47"/>
      <c r="I547" s="70"/>
    </row>
    <row r="548" spans="1:25" s="67" customFormat="1" outlineLevel="1">
      <c r="A548" s="66"/>
      <c r="B548" s="47"/>
      <c r="C548" s="47"/>
      <c r="D548" s="47"/>
      <c r="E548" s="47"/>
      <c r="F548" s="47"/>
      <c r="G548" s="70"/>
      <c r="H548" s="47"/>
      <c r="I548" s="71"/>
    </row>
    <row r="549" spans="1:25" s="67" customFormat="1" outlineLevel="1">
      <c r="A549" s="72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 spans="1:25" s="67" customFormat="1" outlineLevel="1">
      <c r="A550" s="40"/>
      <c r="B550" s="66"/>
      <c r="C550" s="66"/>
      <c r="D550" s="66"/>
      <c r="E550" s="66"/>
      <c r="F550" s="66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s="67" customFormat="1" outlineLevel="1">
      <c r="A551" s="39"/>
      <c r="B551" s="66"/>
      <c r="C551" s="66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74"/>
      <c r="C552" s="74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155"/>
      <c r="C553" s="155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8"/>
      <c r="B554" s="72"/>
      <c r="C554" s="72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27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40"/>
      <c r="B556" s="66"/>
      <c r="C556" s="66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76"/>
      <c r="B557" s="77"/>
      <c r="C557" s="7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42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40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39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39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40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39"/>
      <c r="B575" s="77"/>
      <c r="C575" s="7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 spans="1:25" s="67" customFormat="1" outlineLevel="1">
      <c r="A576" s="39"/>
      <c r="B576" s="80"/>
      <c r="C576" s="80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ht="13.9" customHeight="1" outlineLevel="1">
      <c r="A577" s="38"/>
      <c r="B577" s="80"/>
      <c r="C577" s="80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outlineLevel="1">
      <c r="A578" s="39"/>
      <c r="B578" s="74"/>
      <c r="C578" s="74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8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74"/>
      <c r="C581" s="74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74"/>
      <c r="C582" s="74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74"/>
      <c r="C583" s="74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40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40"/>
      <c r="B585" s="66"/>
      <c r="C585" s="66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39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39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82"/>
      <c r="C592" s="8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39"/>
      <c r="B593" s="82"/>
      <c r="C593" s="8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8"/>
      <c r="B594" s="80"/>
      <c r="C594" s="80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40"/>
      <c r="B595" s="66"/>
      <c r="C595" s="66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80"/>
      <c r="C598" s="80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outlineLevel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83"/>
      <c r="B606" s="6"/>
      <c r="C606" s="6"/>
      <c r="D606" s="6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3"/>
      <c r="B608" s="3"/>
      <c r="C608" s="3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idden="1" outlineLevel="2">
      <c r="A609" s="1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44"/>
      <c r="B610" s="6"/>
      <c r="C610" s="6"/>
      <c r="D610" s="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6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17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44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6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44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6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17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44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outlineLevel="1" collapsed="1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6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6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17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>
      <c r="A643" s="6"/>
      <c r="B643" s="6"/>
      <c r="C643" s="6"/>
      <c r="D643" s="6"/>
      <c r="E643" s="6"/>
      <c r="F643" s="6"/>
      <c r="G643" s="6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D856"/>
  <sheetViews>
    <sheetView zoomScale="75" zoomScaleNormal="75" workbookViewId="0">
      <selection activeCell="C1" sqref="C1:D1"/>
    </sheetView>
  </sheetViews>
  <sheetFormatPr defaultRowHeight="12.75" outlineLevelRow="2" outlineLevelCol="1"/>
  <cols>
    <col min="1" max="1" width="31.7109375" style="153" customWidth="1"/>
    <col min="2" max="2" width="5.28515625" style="153" customWidth="1"/>
    <col min="3" max="3" width="10.7109375" style="153" customWidth="1"/>
    <col min="4" max="7" width="10.7109375" style="153" customWidth="1" outlineLevel="1"/>
    <col min="8" max="25" width="10.7109375" style="153" customWidth="1"/>
    <col min="26" max="28" width="10.7109375" style="194" customWidth="1"/>
    <col min="29" max="29" width="10.28515625" style="194" customWidth="1"/>
    <col min="30" max="16384" width="9.140625" style="194"/>
  </cols>
  <sheetData>
    <row r="1" spans="1:28" ht="18.75">
      <c r="A1" s="353" t="s">
        <v>97</v>
      </c>
      <c r="C1" s="418">
        <v>15</v>
      </c>
      <c r="D1" s="418" t="s">
        <v>155</v>
      </c>
    </row>
    <row r="2" spans="1:28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8" ht="15.75">
      <c r="A3" s="193" t="s">
        <v>106</v>
      </c>
    </row>
    <row r="4" spans="1:28">
      <c r="A4" s="195"/>
    </row>
    <row r="5" spans="1:28" ht="13.5" thickBot="1">
      <c r="A5" s="196" t="s">
        <v>4</v>
      </c>
      <c r="B5" s="197"/>
      <c r="C5" s="197"/>
      <c r="D5" s="197">
        <v>1999</v>
      </c>
      <c r="E5" s="197">
        <f t="shared" ref="E5:Y5" si="0">D5+1</f>
        <v>2000</v>
      </c>
      <c r="F5" s="197">
        <f t="shared" si="0"/>
        <v>2001</v>
      </c>
      <c r="G5" s="197">
        <f t="shared" si="0"/>
        <v>2002</v>
      </c>
      <c r="H5" s="197">
        <f t="shared" si="0"/>
        <v>2003</v>
      </c>
      <c r="I5" s="197">
        <f t="shared" si="0"/>
        <v>2004</v>
      </c>
      <c r="J5" s="197">
        <f t="shared" si="0"/>
        <v>2005</v>
      </c>
      <c r="K5" s="197">
        <f t="shared" si="0"/>
        <v>2006</v>
      </c>
      <c r="L5" s="197">
        <f t="shared" si="0"/>
        <v>2007</v>
      </c>
      <c r="M5" s="197">
        <f t="shared" si="0"/>
        <v>2008</v>
      </c>
      <c r="N5" s="197">
        <f t="shared" si="0"/>
        <v>2009</v>
      </c>
      <c r="O5" s="197">
        <f t="shared" si="0"/>
        <v>2010</v>
      </c>
      <c r="P5" s="197">
        <f t="shared" si="0"/>
        <v>2011</v>
      </c>
      <c r="Q5" s="197">
        <f t="shared" si="0"/>
        <v>2012</v>
      </c>
      <c r="R5" s="197">
        <f t="shared" si="0"/>
        <v>2013</v>
      </c>
      <c r="S5" s="197">
        <f t="shared" si="0"/>
        <v>2014</v>
      </c>
      <c r="T5" s="197">
        <f t="shared" si="0"/>
        <v>2015</v>
      </c>
      <c r="U5" s="197">
        <f t="shared" si="0"/>
        <v>2016</v>
      </c>
      <c r="V5" s="197">
        <f t="shared" si="0"/>
        <v>2017</v>
      </c>
      <c r="W5" s="197">
        <f t="shared" si="0"/>
        <v>2018</v>
      </c>
      <c r="X5" s="197">
        <f t="shared" si="0"/>
        <v>2019</v>
      </c>
      <c r="Y5" s="197">
        <f t="shared" si="0"/>
        <v>2020</v>
      </c>
      <c r="AA5" s="336" t="s">
        <v>84</v>
      </c>
      <c r="AB5" s="337" t="s">
        <v>134</v>
      </c>
    </row>
    <row r="6" spans="1:28">
      <c r="A6" s="198"/>
      <c r="B6" s="199"/>
      <c r="C6" s="199"/>
      <c r="D6" s="199"/>
      <c r="E6" s="199"/>
      <c r="F6" s="200"/>
      <c r="G6" s="200"/>
      <c r="H6" s="201"/>
      <c r="I6" s="202"/>
      <c r="J6" s="202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AA6" s="334"/>
      <c r="AB6" s="337"/>
    </row>
    <row r="7" spans="1:28">
      <c r="A7" s="198"/>
      <c r="B7" s="199"/>
      <c r="C7" s="199"/>
      <c r="D7" s="199"/>
      <c r="I7" s="201"/>
      <c r="J7" s="201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AA7" s="334"/>
      <c r="AB7" s="337"/>
    </row>
    <row r="8" spans="1:28">
      <c r="A8" s="195" t="s">
        <v>5</v>
      </c>
      <c r="B8" s="201"/>
      <c r="C8" s="201"/>
      <c r="D8" s="201"/>
      <c r="AA8" s="334"/>
      <c r="AB8" s="337"/>
    </row>
    <row r="9" spans="1:28">
      <c r="A9" s="203" t="s">
        <v>6</v>
      </c>
      <c r="B9" s="201"/>
      <c r="C9" s="201"/>
      <c r="D9" s="201"/>
      <c r="AA9" s="334"/>
      <c r="AB9" s="337"/>
    </row>
    <row r="10" spans="1:28">
      <c r="A10" s="204" t="s">
        <v>7</v>
      </c>
      <c r="B10" s="201"/>
      <c r="C10" s="201"/>
      <c r="D10" s="96">
        <v>1</v>
      </c>
      <c r="E10" s="205">
        <f>[22]Financials!H$11</f>
        <v>1430.0730071548808</v>
      </c>
      <c r="F10" s="205">
        <f>[22]Financials!I$11</f>
        <v>1430.0730071548808</v>
      </c>
      <c r="G10" s="205">
        <f>[22]Financials!J$11</f>
        <v>1430.0730071548808</v>
      </c>
      <c r="H10" s="205">
        <f>[22]Financials!K$11</f>
        <v>1430.0730071548808</v>
      </c>
      <c r="I10" s="205">
        <f>[22]Financials!L$11</f>
        <v>1430.0730071548808</v>
      </c>
      <c r="J10" s="205">
        <f>[22]Financials!M$11</f>
        <v>1430.0730071548808</v>
      </c>
      <c r="K10" s="205">
        <f>[22]Financials!N$11</f>
        <v>1430.0730071548808</v>
      </c>
      <c r="L10" s="205">
        <f>[22]Financials!O$11</f>
        <v>1430.0730071548808</v>
      </c>
      <c r="M10" s="205">
        <f>[22]Financials!P$11</f>
        <v>1430.0730071548808</v>
      </c>
      <c r="N10" s="205">
        <f>[22]Financials!Q$11</f>
        <v>1430.0730071548808</v>
      </c>
      <c r="O10" s="205">
        <f>[22]Financials!R$11</f>
        <v>1430.0730071548808</v>
      </c>
      <c r="P10" s="205">
        <f>[22]Financials!S$11</f>
        <v>1430.0730071548808</v>
      </c>
      <c r="Q10" s="205">
        <f>[22]Financials!T$11</f>
        <v>1430.0730071548808</v>
      </c>
      <c r="R10" s="205">
        <f>[22]Financials!U$11</f>
        <v>1430.0730071548808</v>
      </c>
      <c r="S10" s="205">
        <f>[22]Financials!V$11</f>
        <v>1430.0730071548808</v>
      </c>
      <c r="T10" s="205">
        <f>[22]Financials!W$11</f>
        <v>1430.0730071548808</v>
      </c>
      <c r="U10" s="205">
        <f>[22]Financials!X$11</f>
        <v>1430.0730071548808</v>
      </c>
      <c r="V10" s="205">
        <f>[22]Financials!Y$11</f>
        <v>0</v>
      </c>
      <c r="W10" s="205">
        <f>[22]Financials!Z$11</f>
        <v>0</v>
      </c>
      <c r="X10" s="205">
        <f>[22]Financials!AA$11</f>
        <v>0</v>
      </c>
      <c r="Y10" s="205">
        <f>[22]Financials!AB$11</f>
        <v>0</v>
      </c>
      <c r="AA10" s="355">
        <f t="shared" ref="AA10:AA38" si="1">SUM(F10:Y10)</f>
        <v>22881.1681144781</v>
      </c>
      <c r="AB10" s="356">
        <f>AA10*$C$60</f>
        <v>11440.58405723905</v>
      </c>
    </row>
    <row r="11" spans="1:28">
      <c r="A11" s="204" t="s">
        <v>8</v>
      </c>
      <c r="B11" s="201"/>
      <c r="C11" s="201"/>
      <c r="D11" s="96">
        <v>1</v>
      </c>
      <c r="E11" s="205">
        <f>[22]Financials!H$10</f>
        <v>1427.749719808352</v>
      </c>
      <c r="F11" s="205">
        <f>[22]Financials!I$10</f>
        <v>1473.9342677544223</v>
      </c>
      <c r="G11" s="205">
        <f>[22]Financials!J$10</f>
        <v>1521.4808661614434</v>
      </c>
      <c r="H11" s="205">
        <f>[22]Financials!K$10</f>
        <v>1588.2957614894608</v>
      </c>
      <c r="I11" s="205">
        <f>[22]Financials!L$10</f>
        <v>1641.6472551929776</v>
      </c>
      <c r="J11" s="205">
        <f>[22]Financials!M$10</f>
        <v>1716.2662270253923</v>
      </c>
      <c r="K11" s="205">
        <f>[22]Financials!N$10</f>
        <v>1783.903127576943</v>
      </c>
      <c r="L11" s="205">
        <f>[22]Financials!O$10</f>
        <v>1853.9105804438902</v>
      </c>
      <c r="M11" s="205">
        <f>[22]Financials!P$10</f>
        <v>1945.0957623240306</v>
      </c>
      <c r="N11" s="205">
        <f>[22]Financials!Q$10</f>
        <v>2013.6866942290026</v>
      </c>
      <c r="O11" s="205">
        <f>[22]Financials!R$10</f>
        <v>2085.0934134332656</v>
      </c>
      <c r="P11" s="205">
        <f>[22]Financials!S$10</f>
        <v>2158.3412816457976</v>
      </c>
      <c r="Q11" s="205">
        <f>[22]Financials!T$10</f>
        <v>2265.052110865327</v>
      </c>
      <c r="R11" s="205">
        <f>[22]Financials!U$10</f>
        <v>2320.7452488778408</v>
      </c>
      <c r="S11" s="205">
        <f>[22]Financials!V$10</f>
        <v>2378.2312649852011</v>
      </c>
      <c r="T11" s="205">
        <f>[22]Financials!W$10</f>
        <v>2436.5173472622819</v>
      </c>
      <c r="U11" s="205">
        <f>[22]Financials!X$10</f>
        <v>2496.6074715585328</v>
      </c>
      <c r="V11" s="205">
        <f>[22]Financials!Y$10</f>
        <v>0</v>
      </c>
      <c r="W11" s="205">
        <f>[22]Financials!Z$10</f>
        <v>0</v>
      </c>
      <c r="X11" s="205">
        <f>[22]Financials!AA$10</f>
        <v>0</v>
      </c>
      <c r="Y11" s="205">
        <f>[22]Financials!AB$10</f>
        <v>0</v>
      </c>
      <c r="AA11" s="355">
        <f t="shared" si="1"/>
        <v>31678.808680825809</v>
      </c>
      <c r="AB11" s="356">
        <f t="shared" ref="AB11:AB74" si="2">AA11*$C$60</f>
        <v>15839.404340412904</v>
      </c>
    </row>
    <row r="12" spans="1:28">
      <c r="A12" s="204" t="s">
        <v>9</v>
      </c>
      <c r="B12" s="201"/>
      <c r="C12" s="201"/>
      <c r="D12" s="96">
        <v>1</v>
      </c>
      <c r="E12" s="205">
        <f>[22]Financials!H$12</f>
        <v>341.83800000000002</v>
      </c>
      <c r="F12" s="205">
        <f>[22]Financials!I$12</f>
        <v>254.4</v>
      </c>
      <c r="G12" s="205">
        <f>[22]Financials!J$12</f>
        <v>0</v>
      </c>
      <c r="H12" s="205">
        <f>[22]Financials!K$12</f>
        <v>0</v>
      </c>
      <c r="I12" s="205">
        <f>[22]Financials!L$12</f>
        <v>0</v>
      </c>
      <c r="J12" s="205">
        <f>[22]Financials!M$12</f>
        <v>0</v>
      </c>
      <c r="K12" s="205">
        <f>[22]Financials!N$12</f>
        <v>0</v>
      </c>
      <c r="L12" s="205">
        <f>[22]Financials!O$12</f>
        <v>0</v>
      </c>
      <c r="M12" s="205">
        <f>[22]Financials!P$12</f>
        <v>0</v>
      </c>
      <c r="N12" s="205">
        <f>[22]Financials!Q$12</f>
        <v>0</v>
      </c>
      <c r="O12" s="205">
        <f>[22]Financials!R$12</f>
        <v>0</v>
      </c>
      <c r="P12" s="205">
        <f>[22]Financials!S$12</f>
        <v>0</v>
      </c>
      <c r="Q12" s="205">
        <f>[22]Financials!T$12</f>
        <v>0</v>
      </c>
      <c r="R12" s="205">
        <f>[22]Financials!U$12</f>
        <v>0</v>
      </c>
      <c r="S12" s="205">
        <f>[22]Financials!V$12</f>
        <v>0</v>
      </c>
      <c r="T12" s="205">
        <f>[22]Financials!W$12</f>
        <v>0</v>
      </c>
      <c r="U12" s="205">
        <f>[22]Financials!X$12</f>
        <v>0</v>
      </c>
      <c r="V12" s="205">
        <f>[22]Financials!Y$12</f>
        <v>0</v>
      </c>
      <c r="W12" s="205">
        <f>[22]Financials!Z$12</f>
        <v>0</v>
      </c>
      <c r="X12" s="205">
        <f>[22]Financials!AA$12</f>
        <v>0</v>
      </c>
      <c r="Y12" s="205">
        <f>[22]Financials!AB$12</f>
        <v>0</v>
      </c>
      <c r="AA12" s="355">
        <f t="shared" si="1"/>
        <v>254.4</v>
      </c>
      <c r="AB12" s="356">
        <f t="shared" si="2"/>
        <v>127.2</v>
      </c>
    </row>
    <row r="13" spans="1:28">
      <c r="A13" s="194"/>
      <c r="B13" s="201"/>
      <c r="C13" s="201"/>
      <c r="D13" s="201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AA13" s="355">
        <f t="shared" si="1"/>
        <v>0</v>
      </c>
      <c r="AB13" s="356">
        <f t="shared" si="2"/>
        <v>0</v>
      </c>
    </row>
    <row r="14" spans="1:28">
      <c r="A14" s="203" t="s">
        <v>10</v>
      </c>
      <c r="B14" s="201"/>
      <c r="C14" s="201"/>
      <c r="D14" s="201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AA14" s="355">
        <f t="shared" si="1"/>
        <v>0</v>
      </c>
      <c r="AB14" s="356">
        <f t="shared" si="2"/>
        <v>0</v>
      </c>
    </row>
    <row r="15" spans="1:28">
      <c r="A15" s="204" t="s">
        <v>7</v>
      </c>
      <c r="B15" s="201"/>
      <c r="C15" s="201"/>
      <c r="D15" s="96">
        <v>1</v>
      </c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AA15" s="355">
        <f t="shared" si="1"/>
        <v>0</v>
      </c>
      <c r="AB15" s="356">
        <f t="shared" si="2"/>
        <v>0</v>
      </c>
    </row>
    <row r="16" spans="1:28">
      <c r="A16" s="204" t="s">
        <v>11</v>
      </c>
      <c r="B16" s="201"/>
      <c r="C16" s="201"/>
      <c r="D16" s="96">
        <v>1</v>
      </c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AA16" s="355">
        <f t="shared" si="1"/>
        <v>0</v>
      </c>
      <c r="AB16" s="356">
        <f t="shared" si="2"/>
        <v>0</v>
      </c>
    </row>
    <row r="17" spans="1:28">
      <c r="A17" s="204" t="s">
        <v>12</v>
      </c>
      <c r="B17" s="201"/>
      <c r="C17" s="201"/>
      <c r="D17" s="96">
        <v>1</v>
      </c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AA17" s="355">
        <f t="shared" si="1"/>
        <v>0</v>
      </c>
      <c r="AB17" s="356">
        <f t="shared" si="2"/>
        <v>0</v>
      </c>
    </row>
    <row r="18" spans="1:28">
      <c r="A18" s="194"/>
      <c r="B18" s="201"/>
      <c r="C18" s="201"/>
      <c r="D18" s="201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AA18" s="355">
        <f t="shared" si="1"/>
        <v>0</v>
      </c>
      <c r="AB18" s="356">
        <f t="shared" si="2"/>
        <v>0</v>
      </c>
    </row>
    <row r="19" spans="1:28">
      <c r="A19" s="204" t="s">
        <v>13</v>
      </c>
      <c r="B19" s="201"/>
      <c r="C19" s="201"/>
      <c r="D19" s="154">
        <v>1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  <c r="R19" s="208">
        <v>0</v>
      </c>
      <c r="S19" s="208">
        <v>0</v>
      </c>
      <c r="T19" s="208">
        <v>0</v>
      </c>
      <c r="U19" s="208">
        <v>0</v>
      </c>
      <c r="V19" s="208">
        <v>0</v>
      </c>
      <c r="W19" s="208">
        <v>0</v>
      </c>
      <c r="X19" s="208">
        <v>0</v>
      </c>
      <c r="Y19" s="208">
        <v>0</v>
      </c>
      <c r="AA19" s="355">
        <f t="shared" si="1"/>
        <v>0</v>
      </c>
      <c r="AB19" s="356">
        <f t="shared" si="2"/>
        <v>0</v>
      </c>
    </row>
    <row r="20" spans="1:28">
      <c r="A20" s="204" t="s">
        <v>14</v>
      </c>
      <c r="B20" s="201"/>
      <c r="C20" s="201"/>
      <c r="D20" s="96"/>
      <c r="E20" s="96">
        <f t="shared" ref="E20:Y20" si="3">SUM(E10:E19)</f>
        <v>3199.6607269632327</v>
      </c>
      <c r="F20" s="96">
        <f t="shared" si="3"/>
        <v>3158.4072749093034</v>
      </c>
      <c r="G20" s="96">
        <f t="shared" si="3"/>
        <v>2951.5538733163239</v>
      </c>
      <c r="H20" s="96">
        <f t="shared" si="3"/>
        <v>3018.3687686443418</v>
      </c>
      <c r="I20" s="96">
        <f t="shared" si="3"/>
        <v>3071.7202623478584</v>
      </c>
      <c r="J20" s="96">
        <f t="shared" si="3"/>
        <v>3146.3392341802728</v>
      </c>
      <c r="K20" s="96">
        <f t="shared" si="3"/>
        <v>3213.9761347318235</v>
      </c>
      <c r="L20" s="96">
        <f t="shared" si="3"/>
        <v>3283.983587598771</v>
      </c>
      <c r="M20" s="96">
        <f t="shared" si="3"/>
        <v>3375.1687694789116</v>
      </c>
      <c r="N20" s="96">
        <f t="shared" si="3"/>
        <v>3443.7597013838831</v>
      </c>
      <c r="O20" s="96">
        <f t="shared" si="3"/>
        <v>3515.1664205881461</v>
      </c>
      <c r="P20" s="96">
        <f t="shared" si="3"/>
        <v>3588.4142888006782</v>
      </c>
      <c r="Q20" s="96">
        <f t="shared" si="3"/>
        <v>3695.125118020208</v>
      </c>
      <c r="R20" s="96">
        <f t="shared" si="3"/>
        <v>3750.8182560327214</v>
      </c>
      <c r="S20" s="96">
        <f t="shared" si="3"/>
        <v>3808.3042721400816</v>
      </c>
      <c r="T20" s="96">
        <f t="shared" si="3"/>
        <v>3866.5903544171624</v>
      </c>
      <c r="U20" s="96">
        <f t="shared" si="3"/>
        <v>3926.6804787134133</v>
      </c>
      <c r="V20" s="96">
        <f t="shared" si="3"/>
        <v>0</v>
      </c>
      <c r="W20" s="96">
        <f t="shared" si="3"/>
        <v>0</v>
      </c>
      <c r="X20" s="96">
        <f t="shared" si="3"/>
        <v>0</v>
      </c>
      <c r="Y20" s="96">
        <f t="shared" si="3"/>
        <v>0</v>
      </c>
      <c r="AA20" s="355">
        <f t="shared" si="1"/>
        <v>54814.376795303891</v>
      </c>
      <c r="AB20" s="356">
        <f t="shared" si="2"/>
        <v>27407.188397651946</v>
      </c>
    </row>
    <row r="21" spans="1:28">
      <c r="A21" s="204"/>
      <c r="AA21" s="355">
        <f t="shared" si="1"/>
        <v>0</v>
      </c>
      <c r="AB21" s="356">
        <f t="shared" si="2"/>
        <v>0</v>
      </c>
    </row>
    <row r="22" spans="1:28" ht="12" customHeight="1">
      <c r="D22" s="96"/>
      <c r="E22" s="209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AA22" s="355">
        <f t="shared" si="1"/>
        <v>0</v>
      </c>
      <c r="AB22" s="356">
        <f t="shared" si="2"/>
        <v>0</v>
      </c>
    </row>
    <row r="23" spans="1:28">
      <c r="A23" s="195" t="s">
        <v>15</v>
      </c>
      <c r="D23" s="96"/>
      <c r="E23" s="417">
        <f>E25/$C$1</f>
        <v>121.55224051664459</v>
      </c>
      <c r="F23" s="417">
        <f>F25/$C$1</f>
        <v>119.90109330106799</v>
      </c>
      <c r="G23" s="417">
        <f>G25/$C$1</f>
        <v>121.23046363590429</v>
      </c>
      <c r="H23" s="417">
        <f>H25/$C$1</f>
        <v>124.4429106553077</v>
      </c>
      <c r="I23" s="417">
        <f t="shared" ref="I23:Y23" si="4">I25/$C$1</f>
        <v>127.60971506949262</v>
      </c>
      <c r="J23" s="417">
        <f t="shared" si="4"/>
        <v>130.98771386701486</v>
      </c>
      <c r="K23" s="417">
        <f t="shared" si="4"/>
        <v>134.39968052650599</v>
      </c>
      <c r="L23" s="417">
        <f t="shared" si="4"/>
        <v>137.91023628529686</v>
      </c>
      <c r="M23" s="417">
        <f t="shared" si="4"/>
        <v>141.68499681277726</v>
      </c>
      <c r="N23" s="417">
        <f t="shared" si="4"/>
        <v>145.3987350615709</v>
      </c>
      <c r="O23" s="417">
        <f t="shared" si="4"/>
        <v>149.22340676153325</v>
      </c>
      <c r="P23" s="417">
        <f t="shared" si="4"/>
        <v>153.15514314727034</v>
      </c>
      <c r="Q23" s="417">
        <f t="shared" si="4"/>
        <v>157.44978654482858</v>
      </c>
      <c r="R23" s="417">
        <f t="shared" si="4"/>
        <v>161.50700113600746</v>
      </c>
      <c r="S23" s="417">
        <f t="shared" si="4"/>
        <v>165.68182232086943</v>
      </c>
      <c r="T23" s="417">
        <f t="shared" si="4"/>
        <v>169.97068239113108</v>
      </c>
      <c r="U23" s="417">
        <f t="shared" si="4"/>
        <v>174.38341416824736</v>
      </c>
      <c r="V23" s="417">
        <f t="shared" si="4"/>
        <v>0</v>
      </c>
      <c r="W23" s="417">
        <f t="shared" si="4"/>
        <v>0</v>
      </c>
      <c r="X23" s="417">
        <f t="shared" si="4"/>
        <v>0</v>
      </c>
      <c r="Y23" s="417">
        <f t="shared" si="4"/>
        <v>0</v>
      </c>
      <c r="AA23" s="355">
        <f t="shared" si="1"/>
        <v>2314.9368016848262</v>
      </c>
      <c r="AB23" s="356">
        <f t="shared" si="2"/>
        <v>1157.4684008424131</v>
      </c>
    </row>
    <row r="24" spans="1:28">
      <c r="A24" s="204" t="s">
        <v>36</v>
      </c>
      <c r="D24" s="96">
        <v>0</v>
      </c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AA24" s="355">
        <f t="shared" si="1"/>
        <v>0</v>
      </c>
      <c r="AB24" s="356">
        <f t="shared" si="2"/>
        <v>0</v>
      </c>
    </row>
    <row r="25" spans="1:28">
      <c r="A25" s="204" t="s">
        <v>1</v>
      </c>
      <c r="D25" s="96">
        <v>0</v>
      </c>
      <c r="E25" s="205">
        <f>[22]Financials!H$27</f>
        <v>1823.2836077496688</v>
      </c>
      <c r="F25" s="205">
        <f>[22]Financials!I$27</f>
        <v>1798.5163995160199</v>
      </c>
      <c r="G25" s="205">
        <f>[22]Financials!J$27</f>
        <v>1818.4569545385643</v>
      </c>
      <c r="H25" s="205">
        <f>[22]Financials!K$27</f>
        <v>1866.6436598296154</v>
      </c>
      <c r="I25" s="205">
        <f>[22]Financials!L$27</f>
        <v>1914.1457260423892</v>
      </c>
      <c r="J25" s="205">
        <f>[22]Financials!M$27</f>
        <v>1964.8157080052229</v>
      </c>
      <c r="K25" s="205">
        <f>[22]Financials!N$27</f>
        <v>2015.9952078975898</v>
      </c>
      <c r="L25" s="205">
        <f>[22]Financials!O$27</f>
        <v>2068.6535442794529</v>
      </c>
      <c r="M25" s="205">
        <f>[22]Financials!P$27</f>
        <v>2125.2749521916589</v>
      </c>
      <c r="N25" s="205">
        <f>[22]Financials!Q$27</f>
        <v>2180.9810259235637</v>
      </c>
      <c r="O25" s="205">
        <f>[22]Financials!R$27</f>
        <v>2238.3511014229989</v>
      </c>
      <c r="P25" s="205">
        <f>[22]Financials!S$27</f>
        <v>2297.3271472090551</v>
      </c>
      <c r="Q25" s="205">
        <f>[22]Financials!T$27</f>
        <v>2361.746798172429</v>
      </c>
      <c r="R25" s="205">
        <f>[22]Financials!U$27</f>
        <v>2422.6050170401118</v>
      </c>
      <c r="S25" s="205">
        <f>[22]Financials!V$27</f>
        <v>2485.2273348130416</v>
      </c>
      <c r="T25" s="205">
        <f>[22]Financials!W$27</f>
        <v>2549.5602358669662</v>
      </c>
      <c r="U25" s="205">
        <f>[22]Financials!X$27</f>
        <v>2615.7512125237104</v>
      </c>
      <c r="V25" s="205">
        <f>[22]Financials!Y$27</f>
        <v>0</v>
      </c>
      <c r="W25" s="205">
        <f>[22]Financials!Z$27</f>
        <v>0</v>
      </c>
      <c r="X25" s="205">
        <f>[22]Financials!AA$27</f>
        <v>0</v>
      </c>
      <c r="Y25" s="205">
        <f>[22]Financials!AB$27</f>
        <v>0</v>
      </c>
      <c r="AA25" s="355">
        <f t="shared" si="1"/>
        <v>34724.052025272387</v>
      </c>
      <c r="AB25" s="356">
        <f t="shared" si="2"/>
        <v>17362.026012636194</v>
      </c>
    </row>
    <row r="26" spans="1:28">
      <c r="A26" s="204" t="s">
        <v>16</v>
      </c>
      <c r="D26" s="96">
        <v>0</v>
      </c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AA26" s="355">
        <f t="shared" si="1"/>
        <v>0</v>
      </c>
      <c r="AB26" s="356">
        <f t="shared" si="2"/>
        <v>0</v>
      </c>
    </row>
    <row r="27" spans="1:28">
      <c r="A27" s="204" t="s">
        <v>37</v>
      </c>
      <c r="D27" s="96">
        <v>0</v>
      </c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AA27" s="355">
        <f t="shared" si="1"/>
        <v>0</v>
      </c>
      <c r="AB27" s="356">
        <f t="shared" si="2"/>
        <v>0</v>
      </c>
    </row>
    <row r="28" spans="1:28">
      <c r="A28" s="204" t="s">
        <v>2</v>
      </c>
      <c r="D28" s="96">
        <v>0</v>
      </c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AA28" s="355">
        <f t="shared" si="1"/>
        <v>0</v>
      </c>
      <c r="AB28" s="356">
        <f t="shared" si="2"/>
        <v>0</v>
      </c>
    </row>
    <row r="29" spans="1:28">
      <c r="A29" s="204" t="s">
        <v>3</v>
      </c>
      <c r="D29" s="96">
        <v>0</v>
      </c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AA29" s="355">
        <f t="shared" si="1"/>
        <v>0</v>
      </c>
      <c r="AB29" s="356">
        <f t="shared" si="2"/>
        <v>0</v>
      </c>
    </row>
    <row r="30" spans="1:28">
      <c r="A30" s="204" t="s">
        <v>38</v>
      </c>
      <c r="D30" s="96">
        <v>0</v>
      </c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AA30" s="355">
        <f t="shared" si="1"/>
        <v>0</v>
      </c>
      <c r="AB30" s="356">
        <f t="shared" si="2"/>
        <v>0</v>
      </c>
    </row>
    <row r="31" spans="1:28">
      <c r="A31" s="204" t="s">
        <v>33</v>
      </c>
      <c r="D31" s="96">
        <v>0</v>
      </c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AA31" s="355">
        <f t="shared" si="1"/>
        <v>0</v>
      </c>
      <c r="AB31" s="356">
        <f t="shared" si="2"/>
        <v>0</v>
      </c>
    </row>
    <row r="32" spans="1:28">
      <c r="A32" s="204" t="s">
        <v>34</v>
      </c>
      <c r="D32" s="96">
        <v>0</v>
      </c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AA32" s="355">
        <f t="shared" si="1"/>
        <v>0</v>
      </c>
      <c r="AB32" s="356">
        <f t="shared" si="2"/>
        <v>0</v>
      </c>
    </row>
    <row r="33" spans="1:28">
      <c r="A33" s="204" t="s">
        <v>17</v>
      </c>
      <c r="D33" s="96">
        <v>0</v>
      </c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AA33" s="355">
        <f t="shared" si="1"/>
        <v>0</v>
      </c>
      <c r="AB33" s="356">
        <f t="shared" si="2"/>
        <v>0</v>
      </c>
    </row>
    <row r="34" spans="1:28">
      <c r="A34" s="204" t="s">
        <v>18</v>
      </c>
      <c r="D34" s="96">
        <v>0</v>
      </c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AA34" s="355">
        <f t="shared" si="1"/>
        <v>0</v>
      </c>
      <c r="AB34" s="356">
        <f t="shared" si="2"/>
        <v>0</v>
      </c>
    </row>
    <row r="35" spans="1:28">
      <c r="A35" s="204" t="s">
        <v>19</v>
      </c>
      <c r="B35" s="194"/>
      <c r="C35" s="194"/>
      <c r="D35" s="154">
        <v>0</v>
      </c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AA35" s="355">
        <f t="shared" si="1"/>
        <v>0</v>
      </c>
      <c r="AB35" s="356">
        <f t="shared" si="2"/>
        <v>0</v>
      </c>
    </row>
    <row r="36" spans="1:28">
      <c r="A36" s="204" t="s">
        <v>20</v>
      </c>
      <c r="B36" s="194"/>
      <c r="C36" s="194"/>
      <c r="D36" s="96"/>
      <c r="E36" s="96">
        <f t="shared" ref="E36:Y36" si="5">SUM(E24:E35)</f>
        <v>1823.2836077496688</v>
      </c>
      <c r="F36" s="96">
        <f t="shared" si="5"/>
        <v>1798.5163995160199</v>
      </c>
      <c r="G36" s="96">
        <f t="shared" si="5"/>
        <v>1818.4569545385643</v>
      </c>
      <c r="H36" s="96">
        <f t="shared" si="5"/>
        <v>1866.6436598296154</v>
      </c>
      <c r="I36" s="96">
        <f t="shared" si="5"/>
        <v>1914.1457260423892</v>
      </c>
      <c r="J36" s="96">
        <f t="shared" si="5"/>
        <v>1964.8157080052229</v>
      </c>
      <c r="K36" s="96">
        <f t="shared" si="5"/>
        <v>2015.9952078975898</v>
      </c>
      <c r="L36" s="96">
        <f t="shared" si="5"/>
        <v>2068.6535442794529</v>
      </c>
      <c r="M36" s="96">
        <f t="shared" si="5"/>
        <v>2125.2749521916589</v>
      </c>
      <c r="N36" s="96">
        <f t="shared" si="5"/>
        <v>2180.9810259235637</v>
      </c>
      <c r="O36" s="96">
        <f t="shared" si="5"/>
        <v>2238.3511014229989</v>
      </c>
      <c r="P36" s="96">
        <f t="shared" si="5"/>
        <v>2297.3271472090551</v>
      </c>
      <c r="Q36" s="96">
        <f t="shared" si="5"/>
        <v>2361.746798172429</v>
      </c>
      <c r="R36" s="96">
        <f t="shared" si="5"/>
        <v>2422.6050170401118</v>
      </c>
      <c r="S36" s="96">
        <f t="shared" si="5"/>
        <v>2485.2273348130416</v>
      </c>
      <c r="T36" s="96">
        <f t="shared" si="5"/>
        <v>2549.5602358669662</v>
      </c>
      <c r="U36" s="96">
        <f t="shared" si="5"/>
        <v>2615.7512125237104</v>
      </c>
      <c r="V36" s="96">
        <f t="shared" si="5"/>
        <v>0</v>
      </c>
      <c r="W36" s="96">
        <f t="shared" si="5"/>
        <v>0</v>
      </c>
      <c r="X36" s="96">
        <f t="shared" si="5"/>
        <v>0</v>
      </c>
      <c r="Y36" s="96">
        <f t="shared" si="5"/>
        <v>0</v>
      </c>
      <c r="AA36" s="355">
        <f t="shared" si="1"/>
        <v>34724.052025272387</v>
      </c>
      <c r="AB36" s="356">
        <f t="shared" si="2"/>
        <v>17362.026012636194</v>
      </c>
    </row>
    <row r="37" spans="1:28" outlineLevel="1">
      <c r="A37" s="204"/>
      <c r="B37" s="210"/>
      <c r="C37" s="210"/>
      <c r="D37" s="96"/>
      <c r="E37" s="416">
        <f>E36/E20</f>
        <v>0.56983654310128362</v>
      </c>
      <c r="F37" s="416">
        <f t="shared" ref="F37:Y37" si="6">F36/F20</f>
        <v>0.56943777131075213</v>
      </c>
      <c r="G37" s="416">
        <f t="shared" si="6"/>
        <v>0.61610156296939689</v>
      </c>
      <c r="H37" s="416">
        <f t="shared" si="6"/>
        <v>0.61842796652974663</v>
      </c>
      <c r="I37" s="416">
        <f t="shared" si="6"/>
        <v>0.62315105626816381</v>
      </c>
      <c r="J37" s="416">
        <f t="shared" si="6"/>
        <v>0.62447675274822156</v>
      </c>
      <c r="K37" s="416">
        <f t="shared" si="6"/>
        <v>0.627258922713129</v>
      </c>
      <c r="L37" s="416">
        <f t="shared" si="6"/>
        <v>0.62992201060055841</v>
      </c>
      <c r="M37" s="416">
        <f t="shared" si="6"/>
        <v>0.62967960933099587</v>
      </c>
      <c r="N37" s="416">
        <f t="shared" si="6"/>
        <v>0.63331394029819543</v>
      </c>
      <c r="O37" s="416">
        <f t="shared" si="6"/>
        <v>0.63676959597505634</v>
      </c>
      <c r="P37" s="416">
        <f t="shared" si="6"/>
        <v>0.64020677723275621</v>
      </c>
      <c r="Q37" s="416">
        <f t="shared" si="6"/>
        <v>0.63915205107799355</v>
      </c>
      <c r="R37" s="416">
        <f t="shared" si="6"/>
        <v>0.64588707094609421</v>
      </c>
      <c r="S37" s="416">
        <f t="shared" si="6"/>
        <v>0.65258108523362945</v>
      </c>
      <c r="T37" s="416">
        <f t="shared" si="6"/>
        <v>0.65938204003285961</v>
      </c>
      <c r="U37" s="416">
        <f t="shared" si="6"/>
        <v>0.66614822028523391</v>
      </c>
      <c r="V37" s="416" t="e">
        <f t="shared" si="6"/>
        <v>#DIV/0!</v>
      </c>
      <c r="W37" s="416" t="e">
        <f t="shared" si="6"/>
        <v>#DIV/0!</v>
      </c>
      <c r="X37" s="416" t="e">
        <f t="shared" si="6"/>
        <v>#DIV/0!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204"/>
      <c r="D38" s="96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AA38" s="355">
        <f t="shared" si="1"/>
        <v>0</v>
      </c>
      <c r="AB38" s="356">
        <f t="shared" si="2"/>
        <v>0</v>
      </c>
    </row>
    <row r="39" spans="1:28" s="212" customFormat="1">
      <c r="A39" s="195" t="s">
        <v>21</v>
      </c>
      <c r="B39" s="195"/>
      <c r="C39" s="195"/>
      <c r="D39" s="211"/>
      <c r="E39" s="211">
        <f t="shared" ref="E39:Y39" si="7">E20-E36</f>
        <v>1376.3771192135639</v>
      </c>
      <c r="F39" s="211">
        <f t="shared" si="7"/>
        <v>1359.8908753932835</v>
      </c>
      <c r="G39" s="211">
        <f t="shared" si="7"/>
        <v>1133.0969187777596</v>
      </c>
      <c r="H39" s="211">
        <f t="shared" si="7"/>
        <v>1151.7251088147264</v>
      </c>
      <c r="I39" s="211">
        <f t="shared" si="7"/>
        <v>1157.5745363054691</v>
      </c>
      <c r="J39" s="211">
        <f t="shared" si="7"/>
        <v>1181.5235261750499</v>
      </c>
      <c r="K39" s="211">
        <f t="shared" si="7"/>
        <v>1197.9809268342337</v>
      </c>
      <c r="L39" s="211">
        <f t="shared" si="7"/>
        <v>1215.3300433193181</v>
      </c>
      <c r="M39" s="211">
        <f t="shared" si="7"/>
        <v>1249.8938172872527</v>
      </c>
      <c r="N39" s="211">
        <f t="shared" si="7"/>
        <v>1262.7786754603194</v>
      </c>
      <c r="O39" s="211">
        <f t="shared" si="7"/>
        <v>1276.8153191651472</v>
      </c>
      <c r="P39" s="211">
        <f t="shared" si="7"/>
        <v>1291.0871415916231</v>
      </c>
      <c r="Q39" s="211">
        <f t="shared" si="7"/>
        <v>1333.378319847779</v>
      </c>
      <c r="R39" s="211">
        <f t="shared" si="7"/>
        <v>1328.2132389926096</v>
      </c>
      <c r="S39" s="211">
        <f t="shared" si="7"/>
        <v>1323.07693732704</v>
      </c>
      <c r="T39" s="211">
        <f t="shared" si="7"/>
        <v>1317.0301185501962</v>
      </c>
      <c r="U39" s="211">
        <f t="shared" si="7"/>
        <v>1310.929266189703</v>
      </c>
      <c r="V39" s="211">
        <f t="shared" si="7"/>
        <v>0</v>
      </c>
      <c r="W39" s="211">
        <f t="shared" si="7"/>
        <v>0</v>
      </c>
      <c r="X39" s="211">
        <f t="shared" si="7"/>
        <v>0</v>
      </c>
      <c r="Y39" s="211">
        <f t="shared" si="7"/>
        <v>0</v>
      </c>
      <c r="AA39" s="355">
        <f>SUM(F39:Y39)</f>
        <v>20090.324770031508</v>
      </c>
      <c r="AB39" s="356">
        <f t="shared" si="2"/>
        <v>10045.162385015754</v>
      </c>
    </row>
    <row r="40" spans="1:28" s="212" customFormat="1">
      <c r="A40" s="195"/>
      <c r="B40" s="195"/>
      <c r="C40" s="195"/>
      <c r="D40" s="211"/>
      <c r="E40" s="211"/>
      <c r="F40" s="211"/>
      <c r="G40" s="213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AA40" s="355">
        <f t="shared" ref="AA40:AA103" si="8">SUM(F40:Y40)</f>
        <v>0</v>
      </c>
      <c r="AB40" s="356">
        <f t="shared" si="2"/>
        <v>0</v>
      </c>
    </row>
    <row r="41" spans="1:28">
      <c r="A41" s="204" t="s">
        <v>22</v>
      </c>
      <c r="D41" s="96"/>
      <c r="E41" s="96">
        <v>0</v>
      </c>
      <c r="F41" s="96">
        <f>+F109</f>
        <v>371</v>
      </c>
      <c r="G41" s="96">
        <f t="shared" ref="G41:Y41" si="9">+G109</f>
        <v>371</v>
      </c>
      <c r="H41" s="96">
        <f t="shared" si="9"/>
        <v>371</v>
      </c>
      <c r="I41" s="96">
        <f t="shared" si="9"/>
        <v>371</v>
      </c>
      <c r="J41" s="96">
        <f t="shared" si="9"/>
        <v>371</v>
      </c>
      <c r="K41" s="96">
        <f t="shared" si="9"/>
        <v>371</v>
      </c>
      <c r="L41" s="96">
        <f t="shared" si="9"/>
        <v>371</v>
      </c>
      <c r="M41" s="96">
        <f t="shared" si="9"/>
        <v>371</v>
      </c>
      <c r="N41" s="96">
        <f t="shared" si="9"/>
        <v>371</v>
      </c>
      <c r="O41" s="96">
        <f t="shared" si="9"/>
        <v>371</v>
      </c>
      <c r="P41" s="96">
        <f t="shared" si="9"/>
        <v>371</v>
      </c>
      <c r="Q41" s="96">
        <f t="shared" si="9"/>
        <v>371</v>
      </c>
      <c r="R41" s="96">
        <f t="shared" si="9"/>
        <v>371</v>
      </c>
      <c r="S41" s="96">
        <f t="shared" si="9"/>
        <v>371</v>
      </c>
      <c r="T41" s="96">
        <f t="shared" si="9"/>
        <v>371</v>
      </c>
      <c r="U41" s="96">
        <f t="shared" si="9"/>
        <v>371</v>
      </c>
      <c r="V41" s="96">
        <f t="shared" si="9"/>
        <v>0</v>
      </c>
      <c r="W41" s="96">
        <f t="shared" si="9"/>
        <v>0</v>
      </c>
      <c r="X41" s="96">
        <f t="shared" si="9"/>
        <v>0</v>
      </c>
      <c r="Y41" s="96">
        <f t="shared" si="9"/>
        <v>0</v>
      </c>
      <c r="AA41" s="355">
        <f t="shared" si="8"/>
        <v>5936</v>
      </c>
      <c r="AB41" s="356">
        <f t="shared" si="2"/>
        <v>2968</v>
      </c>
    </row>
    <row r="42" spans="1:28">
      <c r="A42" s="204"/>
      <c r="D42" s="96"/>
      <c r="E42" s="96"/>
      <c r="F42" s="96"/>
      <c r="G42" s="214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AA42" s="355">
        <f t="shared" si="8"/>
        <v>0</v>
      </c>
      <c r="AB42" s="356">
        <f t="shared" si="2"/>
        <v>0</v>
      </c>
    </row>
    <row r="43" spans="1:28" ht="7.5" customHeight="1">
      <c r="A43" s="204"/>
      <c r="D43" s="96"/>
      <c r="E43" s="96"/>
      <c r="F43" s="96"/>
      <c r="G43" s="214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AA43" s="355">
        <f t="shared" si="8"/>
        <v>0</v>
      </c>
      <c r="AB43" s="356">
        <f t="shared" si="2"/>
        <v>0</v>
      </c>
    </row>
    <row r="44" spans="1:28" s="212" customFormat="1">
      <c r="A44" s="195" t="s">
        <v>23</v>
      </c>
      <c r="B44" s="195"/>
      <c r="C44" s="195"/>
      <c r="D44" s="211"/>
      <c r="E44" s="211">
        <f t="shared" ref="E44:Y44" si="10">E39-E41</f>
        <v>1376.3771192135639</v>
      </c>
      <c r="F44" s="211">
        <f t="shared" si="10"/>
        <v>988.89087539328352</v>
      </c>
      <c r="G44" s="211">
        <f t="shared" si="10"/>
        <v>762.09691877775958</v>
      </c>
      <c r="H44" s="211">
        <f t="shared" si="10"/>
        <v>780.72510881472635</v>
      </c>
      <c r="I44" s="211">
        <f t="shared" si="10"/>
        <v>786.57453630546911</v>
      </c>
      <c r="J44" s="211">
        <f t="shared" si="10"/>
        <v>810.52352617504994</v>
      </c>
      <c r="K44" s="211">
        <f t="shared" si="10"/>
        <v>826.98092683423374</v>
      </c>
      <c r="L44" s="211">
        <f t="shared" si="10"/>
        <v>844.33004331931807</v>
      </c>
      <c r="M44" s="211">
        <f t="shared" si="10"/>
        <v>878.89381728725266</v>
      </c>
      <c r="N44" s="211">
        <f t="shared" si="10"/>
        <v>891.77867546031939</v>
      </c>
      <c r="O44" s="211">
        <f t="shared" si="10"/>
        <v>905.81531916514723</v>
      </c>
      <c r="P44" s="211">
        <f t="shared" si="10"/>
        <v>920.08714159162309</v>
      </c>
      <c r="Q44" s="211">
        <f t="shared" si="10"/>
        <v>962.37831984777904</v>
      </c>
      <c r="R44" s="211">
        <f t="shared" si="10"/>
        <v>957.2132389926096</v>
      </c>
      <c r="S44" s="211">
        <f t="shared" si="10"/>
        <v>952.07693732704001</v>
      </c>
      <c r="T44" s="211">
        <f t="shared" si="10"/>
        <v>946.03011855019622</v>
      </c>
      <c r="U44" s="211">
        <f t="shared" si="10"/>
        <v>939.92926618970296</v>
      </c>
      <c r="V44" s="211">
        <f t="shared" si="10"/>
        <v>0</v>
      </c>
      <c r="W44" s="211">
        <f t="shared" si="10"/>
        <v>0</v>
      </c>
      <c r="X44" s="211">
        <f t="shared" si="10"/>
        <v>0</v>
      </c>
      <c r="Y44" s="211">
        <f t="shared" si="10"/>
        <v>0</v>
      </c>
      <c r="AA44" s="355">
        <f t="shared" si="8"/>
        <v>14154.324770031513</v>
      </c>
      <c r="AB44" s="356">
        <f t="shared" si="2"/>
        <v>7077.1623850157566</v>
      </c>
    </row>
    <row r="45" spans="1:28" s="212" customFormat="1">
      <c r="A45" s="195"/>
      <c r="B45" s="195"/>
      <c r="C45" s="195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AA45" s="355">
        <f t="shared" si="8"/>
        <v>0</v>
      </c>
      <c r="AB45" s="356">
        <f t="shared" si="2"/>
        <v>0</v>
      </c>
    </row>
    <row r="46" spans="1:28">
      <c r="A46" s="153" t="s">
        <v>24</v>
      </c>
      <c r="B46" s="215"/>
      <c r="C46" s="215"/>
      <c r="D46" s="96"/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  <c r="R46" s="205">
        <v>0</v>
      </c>
      <c r="S46" s="205">
        <v>0</v>
      </c>
      <c r="T46" s="205">
        <v>0</v>
      </c>
      <c r="U46" s="205">
        <v>0</v>
      </c>
      <c r="V46" s="205">
        <v>0</v>
      </c>
      <c r="W46" s="205">
        <v>0</v>
      </c>
      <c r="X46" s="205">
        <v>0</v>
      </c>
      <c r="Y46" s="205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96"/>
      <c r="E47" s="209"/>
      <c r="F47" s="209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AA47" s="355">
        <f t="shared" si="8"/>
        <v>0</v>
      </c>
      <c r="AB47" s="356">
        <f t="shared" si="2"/>
        <v>0</v>
      </c>
    </row>
    <row r="48" spans="1:28" ht="6" customHeight="1">
      <c r="D48" s="96"/>
      <c r="E48" s="209"/>
      <c r="F48" s="209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AA48" s="355">
        <f t="shared" si="8"/>
        <v>0</v>
      </c>
      <c r="AB48" s="356">
        <f t="shared" si="2"/>
        <v>0</v>
      </c>
    </row>
    <row r="49" spans="1:28" s="212" customFormat="1">
      <c r="A49" s="195" t="s">
        <v>25</v>
      </c>
      <c r="B49" s="195"/>
      <c r="D49" s="211"/>
      <c r="E49" s="211">
        <f t="shared" ref="E49:Y49" si="11">E44-E46</f>
        <v>1376.3771192135639</v>
      </c>
      <c r="F49" s="211">
        <f t="shared" si="11"/>
        <v>988.89087539328352</v>
      </c>
      <c r="G49" s="211">
        <f t="shared" si="11"/>
        <v>762.09691877775958</v>
      </c>
      <c r="H49" s="211">
        <f t="shared" si="11"/>
        <v>780.72510881472635</v>
      </c>
      <c r="I49" s="211">
        <f t="shared" si="11"/>
        <v>786.57453630546911</v>
      </c>
      <c r="J49" s="211">
        <f t="shared" si="11"/>
        <v>810.52352617504994</v>
      </c>
      <c r="K49" s="211">
        <f t="shared" si="11"/>
        <v>826.98092683423374</v>
      </c>
      <c r="L49" s="211">
        <f t="shared" si="11"/>
        <v>844.33004331931807</v>
      </c>
      <c r="M49" s="211">
        <f t="shared" si="11"/>
        <v>878.89381728725266</v>
      </c>
      <c r="N49" s="211">
        <f t="shared" si="11"/>
        <v>891.77867546031939</v>
      </c>
      <c r="O49" s="211">
        <f t="shared" si="11"/>
        <v>905.81531916514723</v>
      </c>
      <c r="P49" s="211">
        <f t="shared" si="11"/>
        <v>920.08714159162309</v>
      </c>
      <c r="Q49" s="211">
        <f t="shared" si="11"/>
        <v>962.37831984777904</v>
      </c>
      <c r="R49" s="211">
        <f t="shared" si="11"/>
        <v>957.2132389926096</v>
      </c>
      <c r="S49" s="211">
        <f t="shared" si="11"/>
        <v>952.07693732704001</v>
      </c>
      <c r="T49" s="211">
        <f t="shared" si="11"/>
        <v>946.03011855019622</v>
      </c>
      <c r="U49" s="211">
        <f t="shared" si="11"/>
        <v>939.92926618970296</v>
      </c>
      <c r="V49" s="211">
        <f t="shared" si="11"/>
        <v>0</v>
      </c>
      <c r="W49" s="211">
        <f t="shared" si="11"/>
        <v>0</v>
      </c>
      <c r="X49" s="211">
        <f t="shared" si="11"/>
        <v>0</v>
      </c>
      <c r="Y49" s="211">
        <f t="shared" si="11"/>
        <v>0</v>
      </c>
      <c r="AA49" s="355">
        <f t="shared" si="8"/>
        <v>14154.324770031513</v>
      </c>
      <c r="AB49" s="356">
        <f t="shared" si="2"/>
        <v>7077.1623850157566</v>
      </c>
    </row>
    <row r="50" spans="1:28" s="212" customFormat="1">
      <c r="A50" s="195"/>
      <c r="B50" s="195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AA50" s="355">
        <f t="shared" si="8"/>
        <v>0</v>
      </c>
      <c r="AB50" s="356">
        <f t="shared" si="2"/>
        <v>0</v>
      </c>
    </row>
    <row r="51" spans="1:28">
      <c r="A51" s="204" t="s">
        <v>26</v>
      </c>
      <c r="C51" s="217">
        <v>0.05</v>
      </c>
      <c r="D51" s="96"/>
      <c r="E51" s="96">
        <f t="shared" ref="E51:Y51" si="12">E49*-$C$51</f>
        <v>-68.818855960678192</v>
      </c>
      <c r="F51" s="96">
        <f t="shared" si="12"/>
        <v>-49.444543769664179</v>
      </c>
      <c r="G51" s="214">
        <f t="shared" si="12"/>
        <v>-38.104845938887983</v>
      </c>
      <c r="H51" s="96">
        <f t="shared" si="12"/>
        <v>-39.036255440736319</v>
      </c>
      <c r="I51" s="96">
        <f t="shared" si="12"/>
        <v>-39.328726815273455</v>
      </c>
      <c r="J51" s="96">
        <f t="shared" si="12"/>
        <v>-40.526176308752497</v>
      </c>
      <c r="K51" s="96">
        <f t="shared" si="12"/>
        <v>-41.349046341711691</v>
      </c>
      <c r="L51" s="96">
        <f t="shared" si="12"/>
        <v>-42.216502165965906</v>
      </c>
      <c r="M51" s="96">
        <f t="shared" si="12"/>
        <v>-43.944690864362634</v>
      </c>
      <c r="N51" s="96">
        <f t="shared" si="12"/>
        <v>-44.588933773015974</v>
      </c>
      <c r="O51" s="96">
        <f t="shared" si="12"/>
        <v>-45.290765958257367</v>
      </c>
      <c r="P51" s="96">
        <f t="shared" si="12"/>
        <v>-46.004357079581155</v>
      </c>
      <c r="Q51" s="96">
        <f t="shared" si="12"/>
        <v>-48.118915992388956</v>
      </c>
      <c r="R51" s="96">
        <f t="shared" si="12"/>
        <v>-47.860661949630483</v>
      </c>
      <c r="S51" s="96">
        <f t="shared" si="12"/>
        <v>-47.603846866352001</v>
      </c>
      <c r="T51" s="96">
        <f t="shared" si="12"/>
        <v>-47.301505927509815</v>
      </c>
      <c r="U51" s="96">
        <f t="shared" si="12"/>
        <v>-46.996463309485151</v>
      </c>
      <c r="V51" s="96">
        <f t="shared" si="12"/>
        <v>0</v>
      </c>
      <c r="W51" s="96">
        <f t="shared" si="12"/>
        <v>0</v>
      </c>
      <c r="X51" s="96">
        <f t="shared" si="12"/>
        <v>0</v>
      </c>
      <c r="Y51" s="96">
        <f t="shared" si="12"/>
        <v>0</v>
      </c>
      <c r="AA51" s="355">
        <f t="shared" si="8"/>
        <v>-707.71623850157562</v>
      </c>
      <c r="AB51" s="356">
        <f t="shared" si="2"/>
        <v>-353.85811925078781</v>
      </c>
    </row>
    <row r="52" spans="1:28">
      <c r="A52" s="204" t="s">
        <v>27</v>
      </c>
      <c r="C52" s="218">
        <v>0.35</v>
      </c>
      <c r="D52" s="219"/>
      <c r="E52" s="219">
        <f>((E49+E51)*-$C$52)+E56</f>
        <v>-457.64539213850998</v>
      </c>
      <c r="F52" s="219">
        <f t="shared" ref="F52:Y52" si="13">((F49+F51)*-$C$52)+F56</f>
        <v>-328.80621606826674</v>
      </c>
      <c r="G52" s="219">
        <f t="shared" si="13"/>
        <v>-253.39722549360505</v>
      </c>
      <c r="H52" s="219">
        <f t="shared" si="13"/>
        <v>-259.59109868089649</v>
      </c>
      <c r="I52" s="219">
        <f t="shared" si="13"/>
        <v>-261.53603332156842</v>
      </c>
      <c r="J52" s="219">
        <f t="shared" si="13"/>
        <v>-269.49907245320406</v>
      </c>
      <c r="K52" s="219">
        <f t="shared" si="13"/>
        <v>-274.97115817238273</v>
      </c>
      <c r="L52" s="219">
        <f t="shared" si="13"/>
        <v>-280.73973940367324</v>
      </c>
      <c r="M52" s="219">
        <f t="shared" si="13"/>
        <v>-292.23219424801147</v>
      </c>
      <c r="N52" s="219">
        <f t="shared" si="13"/>
        <v>-296.51640959055618</v>
      </c>
      <c r="O52" s="219">
        <f t="shared" si="13"/>
        <v>-301.18359362241142</v>
      </c>
      <c r="P52" s="219">
        <f t="shared" si="13"/>
        <v>-305.92897457921464</v>
      </c>
      <c r="Q52" s="219">
        <f t="shared" si="13"/>
        <v>-319.99079134938654</v>
      </c>
      <c r="R52" s="219">
        <f t="shared" si="13"/>
        <v>-318.27340196504264</v>
      </c>
      <c r="S52" s="219">
        <f t="shared" si="13"/>
        <v>-316.5655816612408</v>
      </c>
      <c r="T52" s="219">
        <f t="shared" si="13"/>
        <v>-314.55501441794024</v>
      </c>
      <c r="U52" s="219">
        <f t="shared" si="13"/>
        <v>-312.52648100807619</v>
      </c>
      <c r="V52" s="219">
        <f t="shared" si="13"/>
        <v>0</v>
      </c>
      <c r="W52" s="219">
        <f t="shared" si="13"/>
        <v>0</v>
      </c>
      <c r="X52" s="219">
        <f t="shared" si="13"/>
        <v>0</v>
      </c>
      <c r="Y52" s="219">
        <f t="shared" si="13"/>
        <v>0</v>
      </c>
      <c r="AA52" s="355">
        <f t="shared" si="8"/>
        <v>-4706.3129860354766</v>
      </c>
      <c r="AB52" s="356">
        <f t="shared" si="2"/>
        <v>-2353.1564930177383</v>
      </c>
    </row>
    <row r="53" spans="1:28" ht="6" customHeight="1"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AA53" s="355">
        <f t="shared" si="8"/>
        <v>0</v>
      </c>
      <c r="AB53" s="356">
        <f t="shared" si="2"/>
        <v>0</v>
      </c>
    </row>
    <row r="54" spans="1:28" s="212" customFormat="1">
      <c r="A54" s="195" t="s">
        <v>28</v>
      </c>
      <c r="B54" s="195"/>
      <c r="C54" s="195"/>
      <c r="D54" s="211"/>
      <c r="E54" s="211">
        <f t="shared" ref="E54:Y54" si="14">SUM(E49:E52)</f>
        <v>849.91287111437578</v>
      </c>
      <c r="F54" s="211">
        <f t="shared" si="14"/>
        <v>610.64011555535262</v>
      </c>
      <c r="G54" s="211">
        <f t="shared" si="14"/>
        <v>470.5948473452666</v>
      </c>
      <c r="H54" s="211">
        <f t="shared" si="14"/>
        <v>482.09775469309352</v>
      </c>
      <c r="I54" s="211">
        <f t="shared" si="14"/>
        <v>485.70977616862717</v>
      </c>
      <c r="J54" s="211">
        <f t="shared" si="14"/>
        <v>500.49827741309338</v>
      </c>
      <c r="K54" s="211">
        <f t="shared" si="14"/>
        <v>510.66072232013937</v>
      </c>
      <c r="L54" s="211">
        <f t="shared" si="14"/>
        <v>521.37380174967893</v>
      </c>
      <c r="M54" s="211">
        <f t="shared" si="14"/>
        <v>542.71693217487859</v>
      </c>
      <c r="N54" s="211">
        <f t="shared" si="14"/>
        <v>550.67333209674734</v>
      </c>
      <c r="O54" s="211">
        <f t="shared" si="14"/>
        <v>559.34095958447847</v>
      </c>
      <c r="P54" s="211">
        <f t="shared" si="14"/>
        <v>568.15380993282724</v>
      </c>
      <c r="Q54" s="211">
        <f t="shared" si="14"/>
        <v>594.26861250600359</v>
      </c>
      <c r="R54" s="211">
        <f t="shared" si="14"/>
        <v>591.0791750779365</v>
      </c>
      <c r="S54" s="211">
        <f t="shared" si="14"/>
        <v>587.90750879944721</v>
      </c>
      <c r="T54" s="211">
        <f t="shared" si="14"/>
        <v>584.17359820474621</v>
      </c>
      <c r="U54" s="211">
        <f t="shared" si="14"/>
        <v>580.40632187214158</v>
      </c>
      <c r="V54" s="211">
        <f t="shared" si="14"/>
        <v>0</v>
      </c>
      <c r="W54" s="211">
        <f t="shared" si="14"/>
        <v>0</v>
      </c>
      <c r="X54" s="211">
        <f t="shared" si="14"/>
        <v>0</v>
      </c>
      <c r="Y54" s="211">
        <f t="shared" si="14"/>
        <v>0</v>
      </c>
      <c r="AA54" s="355">
        <f t="shared" si="8"/>
        <v>8740.2955454944586</v>
      </c>
      <c r="AB54" s="356">
        <f t="shared" si="2"/>
        <v>4370.1477727472293</v>
      </c>
    </row>
    <row r="55" spans="1:28" outlineLevel="1">
      <c r="B55" s="210"/>
      <c r="C55" s="210"/>
      <c r="E55" s="126"/>
      <c r="F55" s="126"/>
      <c r="G55" s="19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AA55" s="355">
        <f t="shared" si="8"/>
        <v>0</v>
      </c>
      <c r="AB55" s="356">
        <f t="shared" si="2"/>
        <v>0</v>
      </c>
    </row>
    <row r="56" spans="1:28">
      <c r="A56" s="195" t="s">
        <v>107</v>
      </c>
      <c r="E56" s="220">
        <v>0</v>
      </c>
      <c r="F56" s="220">
        <v>0</v>
      </c>
      <c r="G56" s="220">
        <v>0</v>
      </c>
      <c r="H56" s="220">
        <v>0</v>
      </c>
      <c r="I56" s="220">
        <v>0</v>
      </c>
      <c r="J56" s="220">
        <v>0</v>
      </c>
      <c r="K56" s="220">
        <v>0</v>
      </c>
      <c r="L56" s="220">
        <v>0</v>
      </c>
      <c r="M56" s="220">
        <v>0</v>
      </c>
      <c r="N56" s="220">
        <v>0</v>
      </c>
      <c r="O56" s="220">
        <v>0</v>
      </c>
      <c r="P56" s="220">
        <v>0</v>
      </c>
      <c r="Q56" s="220">
        <v>0</v>
      </c>
      <c r="R56" s="220">
        <v>0</v>
      </c>
      <c r="S56" s="220">
        <v>0</v>
      </c>
      <c r="T56" s="220">
        <v>0</v>
      </c>
      <c r="U56" s="220">
        <v>0</v>
      </c>
      <c r="V56" s="220">
        <v>0</v>
      </c>
      <c r="W56" s="220">
        <v>0</v>
      </c>
      <c r="X56" s="220">
        <v>0</v>
      </c>
      <c r="Y56" s="220">
        <v>0</v>
      </c>
      <c r="AA56" s="355">
        <f t="shared" si="8"/>
        <v>0</v>
      </c>
      <c r="AB56" s="356">
        <f t="shared" si="2"/>
        <v>0</v>
      </c>
    </row>
    <row r="57" spans="1:28" outlineLevel="1">
      <c r="A57" s="221"/>
      <c r="D57" s="419" t="s">
        <v>181</v>
      </c>
      <c r="E57" s="420">
        <f>E56/(0.017*C1*8760)</f>
        <v>0</v>
      </c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AA57" s="355">
        <f t="shared" si="8"/>
        <v>0</v>
      </c>
      <c r="AB57" s="356">
        <f t="shared" si="2"/>
        <v>0</v>
      </c>
    </row>
    <row r="58" spans="1:28" ht="15.75" outlineLevel="1">
      <c r="A58" s="193" t="s">
        <v>108</v>
      </c>
      <c r="D58" s="126"/>
      <c r="E58" s="126"/>
      <c r="F58" s="126"/>
      <c r="G58" s="19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AA58" s="355">
        <f t="shared" si="8"/>
        <v>0</v>
      </c>
      <c r="AB58" s="356">
        <f t="shared" si="2"/>
        <v>0</v>
      </c>
    </row>
    <row r="59" spans="1:28" outlineLevel="1">
      <c r="A59" s="195"/>
      <c r="D59" s="126"/>
      <c r="E59" s="126"/>
      <c r="F59" s="126"/>
      <c r="G59" s="19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95" t="s">
        <v>40</v>
      </c>
      <c r="B60" s="222"/>
      <c r="C60" s="223">
        <v>0.5</v>
      </c>
      <c r="D60" s="126"/>
      <c r="E60" s="126"/>
      <c r="F60" s="126"/>
      <c r="G60" s="19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95"/>
      <c r="D61" s="126"/>
      <c r="E61" s="126"/>
      <c r="F61" s="126"/>
      <c r="G61" s="19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AA61" s="355">
        <f t="shared" si="8"/>
        <v>0</v>
      </c>
      <c r="AB61" s="356">
        <f t="shared" si="2"/>
        <v>0</v>
      </c>
    </row>
    <row r="62" spans="1:28" ht="13.5" outlineLevel="1" thickBot="1">
      <c r="A62" s="196" t="s">
        <v>4</v>
      </c>
      <c r="B62" s="224"/>
      <c r="C62" s="224"/>
      <c r="D62" s="197">
        <v>1999</v>
      </c>
      <c r="E62" s="197">
        <f t="shared" ref="E62:Y62" si="15">D62+1</f>
        <v>2000</v>
      </c>
      <c r="F62" s="197">
        <f t="shared" si="15"/>
        <v>2001</v>
      </c>
      <c r="G62" s="197">
        <f t="shared" si="15"/>
        <v>2002</v>
      </c>
      <c r="H62" s="197">
        <f t="shared" si="15"/>
        <v>2003</v>
      </c>
      <c r="I62" s="197">
        <f t="shared" si="15"/>
        <v>2004</v>
      </c>
      <c r="J62" s="197">
        <f t="shared" si="15"/>
        <v>2005</v>
      </c>
      <c r="K62" s="197">
        <f t="shared" si="15"/>
        <v>2006</v>
      </c>
      <c r="L62" s="197">
        <f t="shared" si="15"/>
        <v>2007</v>
      </c>
      <c r="M62" s="197">
        <f t="shared" si="15"/>
        <v>2008</v>
      </c>
      <c r="N62" s="197">
        <f t="shared" si="15"/>
        <v>2009</v>
      </c>
      <c r="O62" s="197">
        <f t="shared" si="15"/>
        <v>2010</v>
      </c>
      <c r="P62" s="197">
        <f t="shared" si="15"/>
        <v>2011</v>
      </c>
      <c r="Q62" s="197">
        <f t="shared" si="15"/>
        <v>2012</v>
      </c>
      <c r="R62" s="197">
        <f t="shared" si="15"/>
        <v>2013</v>
      </c>
      <c r="S62" s="197">
        <f t="shared" si="15"/>
        <v>2014</v>
      </c>
      <c r="T62" s="197">
        <f t="shared" si="15"/>
        <v>2015</v>
      </c>
      <c r="U62" s="197">
        <f t="shared" si="15"/>
        <v>2016</v>
      </c>
      <c r="V62" s="197">
        <f t="shared" si="15"/>
        <v>2017</v>
      </c>
      <c r="W62" s="197">
        <f t="shared" si="15"/>
        <v>2018</v>
      </c>
      <c r="X62" s="197">
        <f t="shared" si="15"/>
        <v>2019</v>
      </c>
      <c r="Y62" s="19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225"/>
      <c r="D63" s="126"/>
      <c r="E63" s="126"/>
      <c r="F63" s="126"/>
      <c r="G63" s="19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AA63" s="355">
        <f t="shared" si="8"/>
        <v>0</v>
      </c>
      <c r="AB63" s="356">
        <f t="shared" si="2"/>
        <v>0</v>
      </c>
    </row>
    <row r="64" spans="1:28" outlineLevel="1">
      <c r="A64" s="221" t="s">
        <v>21</v>
      </c>
      <c r="D64" s="126"/>
      <c r="E64" s="126">
        <f t="shared" ref="E64:Y64" si="16">E39</f>
        <v>1376.3771192135639</v>
      </c>
      <c r="F64" s="126">
        <f t="shared" si="16"/>
        <v>1359.8908753932835</v>
      </c>
      <c r="G64" s="19">
        <f t="shared" si="16"/>
        <v>1133.0969187777596</v>
      </c>
      <c r="H64" s="126">
        <f t="shared" si="16"/>
        <v>1151.7251088147264</v>
      </c>
      <c r="I64" s="126">
        <f t="shared" si="16"/>
        <v>1157.5745363054691</v>
      </c>
      <c r="J64" s="126">
        <f t="shared" si="16"/>
        <v>1181.5235261750499</v>
      </c>
      <c r="K64" s="126">
        <f t="shared" si="16"/>
        <v>1197.9809268342337</v>
      </c>
      <c r="L64" s="126">
        <f t="shared" si="16"/>
        <v>1215.3300433193181</v>
      </c>
      <c r="M64" s="126">
        <f t="shared" si="16"/>
        <v>1249.8938172872527</v>
      </c>
      <c r="N64" s="126">
        <f t="shared" si="16"/>
        <v>1262.7786754603194</v>
      </c>
      <c r="O64" s="126">
        <f t="shared" si="16"/>
        <v>1276.8153191651472</v>
      </c>
      <c r="P64" s="126">
        <f t="shared" si="16"/>
        <v>1291.0871415916231</v>
      </c>
      <c r="Q64" s="126">
        <f t="shared" si="16"/>
        <v>1333.378319847779</v>
      </c>
      <c r="R64" s="126">
        <f t="shared" si="16"/>
        <v>1328.2132389926096</v>
      </c>
      <c r="S64" s="126">
        <f t="shared" si="16"/>
        <v>1323.07693732704</v>
      </c>
      <c r="T64" s="126">
        <f t="shared" si="16"/>
        <v>1317.0301185501962</v>
      </c>
      <c r="U64" s="126">
        <f t="shared" si="16"/>
        <v>1310.929266189703</v>
      </c>
      <c r="V64" s="126">
        <f t="shared" si="16"/>
        <v>0</v>
      </c>
      <c r="W64" s="126">
        <f t="shared" si="16"/>
        <v>0</v>
      </c>
      <c r="X64" s="126">
        <f t="shared" si="16"/>
        <v>0</v>
      </c>
      <c r="Y64" s="126">
        <f t="shared" si="16"/>
        <v>0</v>
      </c>
      <c r="AA64" s="355">
        <f t="shared" si="8"/>
        <v>20090.324770031508</v>
      </c>
      <c r="AB64" s="356">
        <f t="shared" si="2"/>
        <v>10045.162385015754</v>
      </c>
    </row>
    <row r="65" spans="1:28" outlineLevel="1">
      <c r="A65" s="221" t="s">
        <v>29</v>
      </c>
      <c r="D65" s="126"/>
      <c r="E65" s="126">
        <v>0</v>
      </c>
      <c r="F65" s="126">
        <v>0</v>
      </c>
      <c r="G65" s="126">
        <v>0</v>
      </c>
      <c r="H65" s="126">
        <v>0</v>
      </c>
      <c r="I65" s="126">
        <v>0</v>
      </c>
      <c r="J65" s="126">
        <v>0</v>
      </c>
      <c r="K65" s="126">
        <v>0</v>
      </c>
      <c r="L65" s="126">
        <v>0</v>
      </c>
      <c r="M65" s="126">
        <v>0</v>
      </c>
      <c r="N65" s="126">
        <v>0</v>
      </c>
      <c r="O65" s="126">
        <v>0</v>
      </c>
      <c r="P65" s="126">
        <v>0</v>
      </c>
      <c r="Q65" s="126">
        <v>0</v>
      </c>
      <c r="R65" s="126">
        <v>0</v>
      </c>
      <c r="S65" s="126">
        <v>0</v>
      </c>
      <c r="T65" s="126">
        <v>0</v>
      </c>
      <c r="U65" s="126">
        <v>0</v>
      </c>
      <c r="V65" s="126">
        <v>0</v>
      </c>
      <c r="W65" s="126">
        <v>0</v>
      </c>
      <c r="X65" s="126">
        <v>0</v>
      </c>
      <c r="Y65" s="12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221" t="s">
        <v>30</v>
      </c>
      <c r="C66" s="96"/>
      <c r="D66" s="151"/>
      <c r="E66" s="226">
        <v>0</v>
      </c>
      <c r="F66" s="226">
        <v>0</v>
      </c>
      <c r="G66" s="226">
        <v>0</v>
      </c>
      <c r="H66" s="226">
        <v>0</v>
      </c>
      <c r="I66" s="226">
        <v>0</v>
      </c>
      <c r="J66" s="226">
        <v>0</v>
      </c>
      <c r="K66" s="226">
        <v>0</v>
      </c>
      <c r="L66" s="226">
        <v>0</v>
      </c>
      <c r="M66" s="226">
        <v>0</v>
      </c>
      <c r="N66" s="226">
        <v>0</v>
      </c>
      <c r="O66" s="226">
        <v>0</v>
      </c>
      <c r="P66" s="226">
        <v>0</v>
      </c>
      <c r="Q66" s="226">
        <v>0</v>
      </c>
      <c r="R66" s="226">
        <v>0</v>
      </c>
      <c r="S66" s="226">
        <v>0</v>
      </c>
      <c r="T66" s="226">
        <v>0</v>
      </c>
      <c r="U66" s="226">
        <v>0</v>
      </c>
      <c r="V66" s="226">
        <v>0</v>
      </c>
      <c r="W66" s="226">
        <v>0</v>
      </c>
      <c r="X66" s="226">
        <v>0</v>
      </c>
      <c r="Y66" s="226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221"/>
      <c r="D67" s="154"/>
      <c r="E67" s="151">
        <v>0</v>
      </c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AA67" s="355">
        <f t="shared" si="8"/>
        <v>0</v>
      </c>
      <c r="AB67" s="356">
        <f t="shared" si="2"/>
        <v>0</v>
      </c>
    </row>
    <row r="68" spans="1:28" outlineLevel="1">
      <c r="A68" s="221"/>
      <c r="C68" s="227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AA68" s="355">
        <f t="shared" si="8"/>
        <v>0</v>
      </c>
      <c r="AB68" s="356">
        <f t="shared" si="2"/>
        <v>0</v>
      </c>
    </row>
    <row r="69" spans="1:28" s="212" customFormat="1" outlineLevel="1">
      <c r="A69" s="225" t="s">
        <v>31</v>
      </c>
      <c r="B69" s="195"/>
      <c r="C69" s="211"/>
      <c r="D69" s="228"/>
      <c r="E69" s="228">
        <f t="shared" ref="E69:Y69" si="17">SUM(E64:E66)</f>
        <v>1376.3771192135639</v>
      </c>
      <c r="F69" s="228">
        <f t="shared" si="17"/>
        <v>1359.8908753932835</v>
      </c>
      <c r="G69" s="228">
        <f t="shared" si="17"/>
        <v>1133.0969187777596</v>
      </c>
      <c r="H69" s="228">
        <f t="shared" si="17"/>
        <v>1151.7251088147264</v>
      </c>
      <c r="I69" s="228">
        <f t="shared" si="17"/>
        <v>1157.5745363054691</v>
      </c>
      <c r="J69" s="228">
        <f t="shared" si="17"/>
        <v>1181.5235261750499</v>
      </c>
      <c r="K69" s="228">
        <f t="shared" si="17"/>
        <v>1197.9809268342337</v>
      </c>
      <c r="L69" s="228">
        <f t="shared" si="17"/>
        <v>1215.3300433193181</v>
      </c>
      <c r="M69" s="228">
        <f t="shared" si="17"/>
        <v>1249.8938172872527</v>
      </c>
      <c r="N69" s="228">
        <f t="shared" si="17"/>
        <v>1262.7786754603194</v>
      </c>
      <c r="O69" s="228">
        <f t="shared" si="17"/>
        <v>1276.8153191651472</v>
      </c>
      <c r="P69" s="228">
        <f t="shared" si="17"/>
        <v>1291.0871415916231</v>
      </c>
      <c r="Q69" s="228">
        <f t="shared" si="17"/>
        <v>1333.378319847779</v>
      </c>
      <c r="R69" s="228">
        <f t="shared" si="17"/>
        <v>1328.2132389926096</v>
      </c>
      <c r="S69" s="228">
        <f t="shared" si="17"/>
        <v>1323.07693732704</v>
      </c>
      <c r="T69" s="228">
        <f t="shared" si="17"/>
        <v>1317.0301185501962</v>
      </c>
      <c r="U69" s="228">
        <f t="shared" si="17"/>
        <v>1310.929266189703</v>
      </c>
      <c r="V69" s="228">
        <f t="shared" si="17"/>
        <v>0</v>
      </c>
      <c r="W69" s="228">
        <f t="shared" si="17"/>
        <v>0</v>
      </c>
      <c r="X69" s="228">
        <f t="shared" si="17"/>
        <v>0</v>
      </c>
      <c r="Y69" s="228">
        <f t="shared" si="17"/>
        <v>0</v>
      </c>
      <c r="AA69" s="355">
        <f t="shared" si="8"/>
        <v>20090.324770031508</v>
      </c>
      <c r="AB69" s="356">
        <f t="shared" si="2"/>
        <v>10045.162385015754</v>
      </c>
    </row>
    <row r="70" spans="1:28" outlineLevel="1">
      <c r="A70" s="225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216"/>
      <c r="R70" s="216"/>
      <c r="S70" s="216"/>
      <c r="T70" s="216"/>
      <c r="U70" s="216"/>
      <c r="V70" s="216"/>
      <c r="W70" s="216"/>
      <c r="X70" s="216"/>
      <c r="Y70" s="216"/>
      <c r="AA70" s="355">
        <f t="shared" si="8"/>
        <v>0</v>
      </c>
      <c r="AB70" s="356">
        <f t="shared" si="2"/>
        <v>0</v>
      </c>
    </row>
    <row r="71" spans="1:28" ht="15" outlineLevel="1">
      <c r="A71" s="221" t="s">
        <v>35</v>
      </c>
      <c r="D71" s="151"/>
      <c r="E71" s="151">
        <f>E89</f>
        <v>0</v>
      </c>
      <c r="F71" s="151">
        <f t="shared" ref="F71:Y71" si="18">F89</f>
        <v>331.95741593403795</v>
      </c>
      <c r="G71" s="151">
        <f t="shared" si="18"/>
        <v>929.97550980265726</v>
      </c>
      <c r="H71" s="151">
        <f t="shared" si="18"/>
        <v>377.49619461945736</v>
      </c>
      <c r="I71" s="151">
        <f t="shared" si="18"/>
        <v>48.046369107812112</v>
      </c>
      <c r="J71" s="151">
        <f t="shared" si="18"/>
        <v>38.885880482697445</v>
      </c>
      <c r="K71" s="151">
        <f t="shared" si="18"/>
        <v>-212.81838989176737</v>
      </c>
      <c r="L71" s="151">
        <f t="shared" si="18"/>
        <v>-464.86374156963916</v>
      </c>
      <c r="M71" s="151">
        <f t="shared" si="18"/>
        <v>-478.08438511237409</v>
      </c>
      <c r="N71" s="151">
        <f t="shared" si="18"/>
        <v>-483.01284336357219</v>
      </c>
      <c r="O71" s="151">
        <f t="shared" si="18"/>
        <v>-488.38185958066879</v>
      </c>
      <c r="P71" s="151">
        <f t="shared" si="18"/>
        <v>-493.84083165879582</v>
      </c>
      <c r="Q71" s="151">
        <f t="shared" si="18"/>
        <v>-510.01720734177547</v>
      </c>
      <c r="R71" s="151">
        <f t="shared" si="18"/>
        <v>-508.04156391467313</v>
      </c>
      <c r="S71" s="151">
        <f t="shared" si="18"/>
        <v>-506.07692852759277</v>
      </c>
      <c r="T71" s="151">
        <f t="shared" si="18"/>
        <v>-503.76402034545004</v>
      </c>
      <c r="U71" s="151">
        <f t="shared" si="18"/>
        <v>-501.4304443175613</v>
      </c>
      <c r="V71" s="151">
        <f t="shared" si="18"/>
        <v>0</v>
      </c>
      <c r="W71" s="151">
        <f t="shared" si="18"/>
        <v>0</v>
      </c>
      <c r="X71" s="151">
        <f t="shared" si="18"/>
        <v>0</v>
      </c>
      <c r="Y71" s="151">
        <f t="shared" si="18"/>
        <v>0</v>
      </c>
      <c r="AA71" s="355">
        <f t="shared" si="8"/>
        <v>-3423.9708456772078</v>
      </c>
      <c r="AB71" s="356">
        <f t="shared" si="2"/>
        <v>-1711.9854228386039</v>
      </c>
    </row>
    <row r="72" spans="1:28" outlineLevel="1">
      <c r="A72" s="221"/>
      <c r="D72" s="20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AA72" s="355">
        <f t="shared" si="8"/>
        <v>0</v>
      </c>
      <c r="AB72" s="356">
        <f t="shared" si="2"/>
        <v>0</v>
      </c>
    </row>
    <row r="73" spans="1:28" s="212" customFormat="1" outlineLevel="1">
      <c r="A73" s="229" t="s">
        <v>32</v>
      </c>
      <c r="B73" s="195"/>
      <c r="C73" s="195"/>
      <c r="D73" s="230"/>
      <c r="E73" s="230">
        <f t="shared" ref="E73:Y73" si="19">E69+E71</f>
        <v>1376.3771192135639</v>
      </c>
      <c r="F73" s="230">
        <f t="shared" si="19"/>
        <v>1691.8482913273215</v>
      </c>
      <c r="G73" s="230">
        <f t="shared" si="19"/>
        <v>2063.0724285804167</v>
      </c>
      <c r="H73" s="230">
        <f t="shared" si="19"/>
        <v>1529.2213034341837</v>
      </c>
      <c r="I73" s="230">
        <f t="shared" si="19"/>
        <v>1205.6209054132812</v>
      </c>
      <c r="J73" s="230">
        <f t="shared" si="19"/>
        <v>1220.4094066577475</v>
      </c>
      <c r="K73" s="230">
        <f t="shared" si="19"/>
        <v>985.16253694246643</v>
      </c>
      <c r="L73" s="230">
        <f t="shared" si="19"/>
        <v>750.46630174967891</v>
      </c>
      <c r="M73" s="230">
        <f t="shared" si="19"/>
        <v>771.80943217487857</v>
      </c>
      <c r="N73" s="230">
        <f t="shared" si="19"/>
        <v>779.7658320967472</v>
      </c>
      <c r="O73" s="230">
        <f t="shared" si="19"/>
        <v>788.43345958447844</v>
      </c>
      <c r="P73" s="230">
        <f t="shared" si="19"/>
        <v>797.24630993282722</v>
      </c>
      <c r="Q73" s="230">
        <f t="shared" si="19"/>
        <v>823.36111250600356</v>
      </c>
      <c r="R73" s="230">
        <f t="shared" si="19"/>
        <v>820.17167507793647</v>
      </c>
      <c r="S73" s="230">
        <f t="shared" si="19"/>
        <v>817.00000879944719</v>
      </c>
      <c r="T73" s="230">
        <f t="shared" si="19"/>
        <v>813.26609820474619</v>
      </c>
      <c r="U73" s="230">
        <f t="shared" si="19"/>
        <v>809.49882187214166</v>
      </c>
      <c r="V73" s="230">
        <f t="shared" si="19"/>
        <v>0</v>
      </c>
      <c r="W73" s="230">
        <f t="shared" si="19"/>
        <v>0</v>
      </c>
      <c r="X73" s="230">
        <f t="shared" si="19"/>
        <v>0</v>
      </c>
      <c r="Y73" s="230">
        <f t="shared" si="19"/>
        <v>0</v>
      </c>
      <c r="AA73" s="355">
        <f t="shared" si="8"/>
        <v>16666.353924354302</v>
      </c>
      <c r="AB73" s="356">
        <f t="shared" si="2"/>
        <v>8333.1769621771509</v>
      </c>
    </row>
    <row r="74" spans="1:28" outlineLevel="1">
      <c r="A74" s="221"/>
      <c r="D74" s="209"/>
      <c r="E74" s="209"/>
      <c r="F74" s="209"/>
      <c r="G74" s="216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AA74" s="355">
        <f t="shared" si="8"/>
        <v>0</v>
      </c>
      <c r="AB74" s="356">
        <f t="shared" si="2"/>
        <v>0</v>
      </c>
    </row>
    <row r="75" spans="1:28" outlineLevel="1">
      <c r="A75" s="229"/>
      <c r="D75" s="209"/>
      <c r="E75" s="209"/>
      <c r="F75" s="209"/>
      <c r="G75" s="216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2"/>
      <c r="C76" s="115">
        <f>+C$60</f>
        <v>0.5</v>
      </c>
      <c r="D76" s="230"/>
      <c r="E76" s="230">
        <f t="shared" ref="E76:Y76" si="21">$C$76*E54</f>
        <v>424.95643555718789</v>
      </c>
      <c r="F76" s="230">
        <f t="shared" si="21"/>
        <v>305.32005777767631</v>
      </c>
      <c r="G76" s="228">
        <f t="shared" si="21"/>
        <v>235.2974236726333</v>
      </c>
      <c r="H76" s="230">
        <f t="shared" si="21"/>
        <v>241.04887734654676</v>
      </c>
      <c r="I76" s="230">
        <f t="shared" si="21"/>
        <v>242.85488808431359</v>
      </c>
      <c r="J76" s="230">
        <f t="shared" si="21"/>
        <v>250.24913870654669</v>
      </c>
      <c r="K76" s="230">
        <f t="shared" si="21"/>
        <v>255.33036116006969</v>
      </c>
      <c r="L76" s="230">
        <f t="shared" si="21"/>
        <v>260.68690087483947</v>
      </c>
      <c r="M76" s="230">
        <f t="shared" si="21"/>
        <v>271.3584660874393</v>
      </c>
      <c r="N76" s="230">
        <f t="shared" si="21"/>
        <v>275.33666604837367</v>
      </c>
      <c r="O76" s="230">
        <f t="shared" si="21"/>
        <v>279.67047979223923</v>
      </c>
      <c r="P76" s="230">
        <f t="shared" si="21"/>
        <v>284.07690496641362</v>
      </c>
      <c r="Q76" s="230">
        <f t="shared" si="21"/>
        <v>297.1343062530018</v>
      </c>
      <c r="R76" s="230">
        <f t="shared" si="21"/>
        <v>295.53958753896825</v>
      </c>
      <c r="S76" s="230">
        <f t="shared" si="21"/>
        <v>293.95375439972361</v>
      </c>
      <c r="T76" s="230">
        <f t="shared" si="21"/>
        <v>292.08679910237311</v>
      </c>
      <c r="U76" s="230">
        <f t="shared" si="21"/>
        <v>290.20316093607079</v>
      </c>
      <c r="V76" s="230">
        <f t="shared" si="21"/>
        <v>0</v>
      </c>
      <c r="W76" s="230">
        <f t="shared" si="21"/>
        <v>0</v>
      </c>
      <c r="X76" s="230">
        <f t="shared" si="21"/>
        <v>0</v>
      </c>
      <c r="Y76" s="230">
        <f t="shared" si="21"/>
        <v>0</v>
      </c>
      <c r="AA76" s="355">
        <f t="shared" si="8"/>
        <v>4370.1477727472293</v>
      </c>
      <c r="AB76" s="356">
        <f>AA76</f>
        <v>4370.1477727472293</v>
      </c>
    </row>
    <row r="77" spans="1:28" outlineLevel="1">
      <c r="A77" s="13" t="s">
        <v>136</v>
      </c>
      <c r="B77" s="222"/>
      <c r="C77" s="115">
        <f>+C60</f>
        <v>0.5</v>
      </c>
      <c r="D77" s="230"/>
      <c r="E77" s="230">
        <f t="shared" ref="E77:Y77" si="22">$C$77*E73</f>
        <v>688.18855960678195</v>
      </c>
      <c r="F77" s="230">
        <f t="shared" si="22"/>
        <v>845.92414566366074</v>
      </c>
      <c r="G77" s="228">
        <f t="shared" si="22"/>
        <v>1031.5362142902084</v>
      </c>
      <c r="H77" s="230">
        <f t="shared" si="22"/>
        <v>764.61065171709186</v>
      </c>
      <c r="I77" s="230">
        <f t="shared" si="22"/>
        <v>602.8104527066406</v>
      </c>
      <c r="J77" s="230">
        <f t="shared" si="22"/>
        <v>610.20470332887373</v>
      </c>
      <c r="K77" s="230">
        <f t="shared" si="22"/>
        <v>492.58126847123322</v>
      </c>
      <c r="L77" s="230">
        <f t="shared" si="22"/>
        <v>375.23315087483945</v>
      </c>
      <c r="M77" s="230">
        <f t="shared" si="22"/>
        <v>385.90471608743928</v>
      </c>
      <c r="N77" s="230">
        <f t="shared" si="22"/>
        <v>389.8829160483736</v>
      </c>
      <c r="O77" s="230">
        <f t="shared" si="22"/>
        <v>394.21672979223922</v>
      </c>
      <c r="P77" s="230">
        <f t="shared" si="22"/>
        <v>398.62315496641361</v>
      </c>
      <c r="Q77" s="230">
        <f t="shared" si="22"/>
        <v>411.68055625300178</v>
      </c>
      <c r="R77" s="230">
        <f t="shared" si="22"/>
        <v>410.08583753896824</v>
      </c>
      <c r="S77" s="230">
        <f t="shared" si="22"/>
        <v>408.50000439972359</v>
      </c>
      <c r="T77" s="230">
        <f t="shared" si="22"/>
        <v>406.63304910237309</v>
      </c>
      <c r="U77" s="230">
        <f t="shared" si="22"/>
        <v>404.74941093607083</v>
      </c>
      <c r="V77" s="230">
        <f t="shared" si="22"/>
        <v>0</v>
      </c>
      <c r="W77" s="230">
        <f t="shared" si="22"/>
        <v>0</v>
      </c>
      <c r="X77" s="230">
        <f t="shared" si="22"/>
        <v>0</v>
      </c>
      <c r="Y77" s="230">
        <f t="shared" si="22"/>
        <v>0</v>
      </c>
      <c r="AA77" s="355">
        <f t="shared" si="8"/>
        <v>8333.1769621771509</v>
      </c>
      <c r="AB77" s="356">
        <f>AA77</f>
        <v>8333.1769621771509</v>
      </c>
    </row>
    <row r="78" spans="1:28" outlineLevel="1">
      <c r="A78" s="229"/>
      <c r="D78" s="126"/>
      <c r="E78" s="126"/>
      <c r="F78" s="126"/>
      <c r="G78" s="19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AA78" s="355">
        <f t="shared" si="8"/>
        <v>0</v>
      </c>
      <c r="AB78" s="356">
        <f t="shared" si="20"/>
        <v>0</v>
      </c>
    </row>
    <row r="79" spans="1:28" outlineLevel="1">
      <c r="A79" s="231"/>
      <c r="D79" s="126"/>
      <c r="E79" s="126"/>
      <c r="F79" s="126"/>
      <c r="G79" s="19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AA79" s="355">
        <f t="shared" si="8"/>
        <v>0</v>
      </c>
      <c r="AB79" s="356">
        <f t="shared" si="20"/>
        <v>0</v>
      </c>
    </row>
    <row r="80" spans="1:28" outlineLevel="1">
      <c r="A80" s="231"/>
      <c r="D80" s="126"/>
      <c r="E80" s="126"/>
      <c r="F80" s="126"/>
      <c r="G80" s="19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AA80" s="355">
        <f t="shared" si="8"/>
        <v>0</v>
      </c>
      <c r="AB80" s="356">
        <f t="shared" si="20"/>
        <v>0</v>
      </c>
    </row>
    <row r="81" spans="1:30" outlineLevel="1">
      <c r="A81" s="231"/>
      <c r="D81" s="126"/>
      <c r="E81" s="126"/>
      <c r="F81" s="126"/>
      <c r="G81" s="19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AA81" s="355">
        <f t="shared" si="8"/>
        <v>0</v>
      </c>
      <c r="AB81" s="356">
        <f t="shared" si="20"/>
        <v>0</v>
      </c>
    </row>
    <row r="82" spans="1:30" outlineLevel="1">
      <c r="A82" s="232"/>
      <c r="B82" s="194"/>
      <c r="C82" s="194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AA82" s="355">
        <f t="shared" si="8"/>
        <v>0</v>
      </c>
      <c r="AB82" s="356">
        <f t="shared" si="20"/>
        <v>0</v>
      </c>
    </row>
    <row r="83" spans="1:30" ht="13.5" outlineLevel="1">
      <c r="A83" s="233"/>
      <c r="B83" s="234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19"/>
      <c r="Q83" s="19"/>
      <c r="R83" s="19"/>
      <c r="S83" s="19"/>
      <c r="T83" s="19"/>
      <c r="U83" s="19"/>
      <c r="V83" s="19"/>
      <c r="W83" s="19"/>
      <c r="X83" s="19"/>
      <c r="Y83" s="19"/>
      <c r="AA83" s="355">
        <f t="shared" si="8"/>
        <v>0</v>
      </c>
      <c r="AB83" s="356">
        <f t="shared" si="20"/>
        <v>0</v>
      </c>
    </row>
    <row r="84" spans="1:30" outlineLevel="1">
      <c r="A84" s="233"/>
      <c r="B84" s="194"/>
      <c r="C84" s="194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"/>
      <c r="Q84" s="19"/>
      <c r="R84" s="19"/>
      <c r="S84" s="19"/>
      <c r="T84" s="19"/>
      <c r="U84" s="19"/>
      <c r="V84" s="19"/>
      <c r="W84" s="19"/>
      <c r="X84" s="19"/>
      <c r="Y84" s="19"/>
      <c r="AA84" s="355">
        <f t="shared" si="8"/>
        <v>0</v>
      </c>
      <c r="AB84" s="356">
        <f t="shared" si="20"/>
        <v>0</v>
      </c>
    </row>
    <row r="85" spans="1:30" ht="13.5" outlineLevel="1">
      <c r="A85" s="236"/>
      <c r="B85" s="194"/>
      <c r="C85" s="194"/>
      <c r="D85" s="194"/>
      <c r="E85" s="194"/>
      <c r="F85" s="194"/>
      <c r="G85" s="194"/>
      <c r="H85" s="194"/>
      <c r="I85" s="237"/>
      <c r="J85" s="194"/>
      <c r="K85" s="194"/>
      <c r="L85" s="194"/>
      <c r="M85" s="194"/>
      <c r="N85" s="194"/>
      <c r="O85" s="194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355">
        <f t="shared" si="8"/>
        <v>0</v>
      </c>
      <c r="AB85" s="356">
        <f t="shared" si="20"/>
        <v>0</v>
      </c>
    </row>
    <row r="86" spans="1:30" s="199" customFormat="1" ht="13.5" thickBot="1">
      <c r="A86" s="238" t="s">
        <v>41</v>
      </c>
      <c r="E86" s="239">
        <f>E62</f>
        <v>2000</v>
      </c>
      <c r="F86" s="239">
        <f>F62</f>
        <v>2001</v>
      </c>
      <c r="G86" s="239">
        <f t="shared" ref="G86:Y86" si="23">G62</f>
        <v>2002</v>
      </c>
      <c r="H86" s="239">
        <f t="shared" si="23"/>
        <v>2003</v>
      </c>
      <c r="I86" s="239">
        <f t="shared" si="23"/>
        <v>2004</v>
      </c>
      <c r="J86" s="239">
        <f t="shared" si="23"/>
        <v>2005</v>
      </c>
      <c r="K86" s="239">
        <f t="shared" si="23"/>
        <v>2006</v>
      </c>
      <c r="L86" s="239">
        <f t="shared" si="23"/>
        <v>2007</v>
      </c>
      <c r="M86" s="239">
        <f t="shared" si="23"/>
        <v>2008</v>
      </c>
      <c r="N86" s="239">
        <f t="shared" si="23"/>
        <v>2009</v>
      </c>
      <c r="O86" s="239">
        <f t="shared" si="23"/>
        <v>2010</v>
      </c>
      <c r="P86" s="239">
        <f t="shared" si="23"/>
        <v>2011</v>
      </c>
      <c r="Q86" s="239">
        <f t="shared" si="23"/>
        <v>2012</v>
      </c>
      <c r="R86" s="239">
        <f t="shared" si="23"/>
        <v>2013</v>
      </c>
      <c r="S86" s="239">
        <f t="shared" si="23"/>
        <v>2014</v>
      </c>
      <c r="T86" s="239">
        <f t="shared" si="23"/>
        <v>2015</v>
      </c>
      <c r="U86" s="239">
        <f t="shared" si="23"/>
        <v>2016</v>
      </c>
      <c r="V86" s="239">
        <f t="shared" si="23"/>
        <v>2017</v>
      </c>
      <c r="W86" s="239">
        <f t="shared" si="23"/>
        <v>2018</v>
      </c>
      <c r="X86" s="239">
        <f t="shared" si="23"/>
        <v>2019</v>
      </c>
      <c r="Y86" s="239">
        <f t="shared" si="23"/>
        <v>2020</v>
      </c>
      <c r="AA86" s="355">
        <f t="shared" si="8"/>
        <v>40210</v>
      </c>
      <c r="AB86" s="356">
        <f t="shared" si="20"/>
        <v>20105</v>
      </c>
    </row>
    <row r="87" spans="1:30" s="199" customFormat="1">
      <c r="AA87" s="355">
        <f t="shared" si="8"/>
        <v>0</v>
      </c>
      <c r="AB87" s="356">
        <f t="shared" si="20"/>
        <v>0</v>
      </c>
    </row>
    <row r="88" spans="1:30" s="199" customFormat="1">
      <c r="A88" s="225" t="s">
        <v>31</v>
      </c>
      <c r="F88" s="240">
        <f>F69</f>
        <v>1359.8908753932835</v>
      </c>
      <c r="G88" s="240">
        <f t="shared" ref="G88:Y88" si="24">G69</f>
        <v>1133.0969187777596</v>
      </c>
      <c r="H88" s="240">
        <f t="shared" si="24"/>
        <v>1151.7251088147264</v>
      </c>
      <c r="I88" s="240">
        <f t="shared" si="24"/>
        <v>1157.5745363054691</v>
      </c>
      <c r="J88" s="240">
        <f t="shared" si="24"/>
        <v>1181.5235261750499</v>
      </c>
      <c r="K88" s="240">
        <f t="shared" si="24"/>
        <v>1197.9809268342337</v>
      </c>
      <c r="L88" s="240">
        <f t="shared" si="24"/>
        <v>1215.3300433193181</v>
      </c>
      <c r="M88" s="240">
        <f t="shared" si="24"/>
        <v>1249.8938172872527</v>
      </c>
      <c r="N88" s="240">
        <f t="shared" si="24"/>
        <v>1262.7786754603194</v>
      </c>
      <c r="O88" s="240">
        <f t="shared" si="24"/>
        <v>1276.8153191651472</v>
      </c>
      <c r="P88" s="240">
        <f t="shared" si="24"/>
        <v>1291.0871415916231</v>
      </c>
      <c r="Q88" s="240">
        <f t="shared" si="24"/>
        <v>1333.378319847779</v>
      </c>
      <c r="R88" s="240">
        <f t="shared" si="24"/>
        <v>1328.2132389926096</v>
      </c>
      <c r="S88" s="240">
        <f t="shared" si="24"/>
        <v>1323.07693732704</v>
      </c>
      <c r="T88" s="240">
        <f t="shared" si="24"/>
        <v>1317.0301185501962</v>
      </c>
      <c r="U88" s="240">
        <f t="shared" si="24"/>
        <v>1310.929266189703</v>
      </c>
      <c r="V88" s="240">
        <f t="shared" si="24"/>
        <v>0</v>
      </c>
      <c r="W88" s="240">
        <f t="shared" si="24"/>
        <v>0</v>
      </c>
      <c r="X88" s="240">
        <f t="shared" si="24"/>
        <v>0</v>
      </c>
      <c r="Y88" s="240">
        <f t="shared" si="24"/>
        <v>0</v>
      </c>
      <c r="AA88" s="355">
        <f t="shared" si="8"/>
        <v>20090.324770031508</v>
      </c>
      <c r="AB88" s="356">
        <f t="shared" si="20"/>
        <v>10045.162385015754</v>
      </c>
    </row>
    <row r="89" spans="1:30" s="199" customFormat="1">
      <c r="A89" s="199" t="s">
        <v>42</v>
      </c>
      <c r="F89" s="241">
        <f>F126+F127</f>
        <v>331.95741593403795</v>
      </c>
      <c r="G89" s="241">
        <f t="shared" ref="G89:Y89" si="25">G126+G127</f>
        <v>929.97550980265726</v>
      </c>
      <c r="H89" s="241">
        <f t="shared" si="25"/>
        <v>377.49619461945736</v>
      </c>
      <c r="I89" s="241">
        <f t="shared" si="25"/>
        <v>48.046369107812112</v>
      </c>
      <c r="J89" s="241">
        <f t="shared" si="25"/>
        <v>38.885880482697445</v>
      </c>
      <c r="K89" s="241">
        <f t="shared" si="25"/>
        <v>-212.81838989176737</v>
      </c>
      <c r="L89" s="241">
        <f t="shared" si="25"/>
        <v>-464.86374156963916</v>
      </c>
      <c r="M89" s="241">
        <f t="shared" si="25"/>
        <v>-478.08438511237409</v>
      </c>
      <c r="N89" s="241">
        <f t="shared" si="25"/>
        <v>-483.01284336357219</v>
      </c>
      <c r="O89" s="241">
        <f t="shared" si="25"/>
        <v>-488.38185958066879</v>
      </c>
      <c r="P89" s="241">
        <f t="shared" si="25"/>
        <v>-493.84083165879582</v>
      </c>
      <c r="Q89" s="241">
        <f t="shared" si="25"/>
        <v>-510.01720734177547</v>
      </c>
      <c r="R89" s="241">
        <f t="shared" si="25"/>
        <v>-508.04156391467313</v>
      </c>
      <c r="S89" s="241">
        <f t="shared" si="25"/>
        <v>-506.07692852759277</v>
      </c>
      <c r="T89" s="241">
        <f t="shared" si="25"/>
        <v>-503.76402034545004</v>
      </c>
      <c r="U89" s="241">
        <f t="shared" si="25"/>
        <v>-501.4304443175613</v>
      </c>
      <c r="V89" s="241">
        <f t="shared" si="25"/>
        <v>0</v>
      </c>
      <c r="W89" s="241">
        <f t="shared" si="25"/>
        <v>0</v>
      </c>
      <c r="X89" s="241">
        <f t="shared" si="25"/>
        <v>0</v>
      </c>
      <c r="Y89" s="241">
        <f t="shared" si="25"/>
        <v>0</v>
      </c>
      <c r="AA89" s="355">
        <f t="shared" si="8"/>
        <v>-3423.9708456772078</v>
      </c>
      <c r="AB89" s="356">
        <f t="shared" si="20"/>
        <v>-1711.9854228386039</v>
      </c>
    </row>
    <row r="90" spans="1:30" s="199" customFormat="1">
      <c r="A90" s="199" t="s">
        <v>109</v>
      </c>
      <c r="F90" s="241">
        <f>F56</f>
        <v>0</v>
      </c>
      <c r="G90" s="241">
        <f t="shared" ref="G90:Y90" si="26">G56</f>
        <v>0</v>
      </c>
      <c r="H90" s="241">
        <f t="shared" si="26"/>
        <v>0</v>
      </c>
      <c r="I90" s="241">
        <f t="shared" si="26"/>
        <v>0</v>
      </c>
      <c r="J90" s="241">
        <f t="shared" si="26"/>
        <v>0</v>
      </c>
      <c r="K90" s="241">
        <f t="shared" si="26"/>
        <v>0</v>
      </c>
      <c r="L90" s="241">
        <f t="shared" si="26"/>
        <v>0</v>
      </c>
      <c r="M90" s="241">
        <f t="shared" si="26"/>
        <v>0</v>
      </c>
      <c r="N90" s="241">
        <f t="shared" si="26"/>
        <v>0</v>
      </c>
      <c r="O90" s="241">
        <f t="shared" si="26"/>
        <v>0</v>
      </c>
      <c r="P90" s="241">
        <f t="shared" si="26"/>
        <v>0</v>
      </c>
      <c r="Q90" s="241">
        <f t="shared" si="26"/>
        <v>0</v>
      </c>
      <c r="R90" s="241">
        <f t="shared" si="26"/>
        <v>0</v>
      </c>
      <c r="S90" s="241">
        <f t="shared" si="26"/>
        <v>0</v>
      </c>
      <c r="T90" s="241">
        <f t="shared" si="26"/>
        <v>0</v>
      </c>
      <c r="U90" s="241">
        <f t="shared" si="26"/>
        <v>0</v>
      </c>
      <c r="V90" s="241">
        <f t="shared" si="26"/>
        <v>0</v>
      </c>
      <c r="W90" s="241">
        <f t="shared" si="26"/>
        <v>0</v>
      </c>
      <c r="X90" s="241">
        <f t="shared" si="26"/>
        <v>0</v>
      </c>
      <c r="Y90" s="241">
        <f t="shared" si="26"/>
        <v>0</v>
      </c>
      <c r="AA90" s="355">
        <f t="shared" si="8"/>
        <v>0</v>
      </c>
      <c r="AB90" s="356">
        <f t="shared" si="20"/>
        <v>0</v>
      </c>
    </row>
    <row r="91" spans="1:30" s="199" customFormat="1" ht="15">
      <c r="A91" s="199" t="s">
        <v>43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  <c r="R91" s="242">
        <v>0</v>
      </c>
      <c r="S91" s="242">
        <v>0</v>
      </c>
      <c r="T91" s="242">
        <v>0</v>
      </c>
      <c r="U91" s="242">
        <f>Y99</f>
        <v>10487.434129517624</v>
      </c>
      <c r="V91" s="242">
        <v>0</v>
      </c>
      <c r="W91" s="242">
        <v>0</v>
      </c>
      <c r="X91" s="242">
        <v>0</v>
      </c>
      <c r="Y91" s="242">
        <v>0</v>
      </c>
      <c r="AA91" s="355">
        <f t="shared" si="8"/>
        <v>10487.434129517624</v>
      </c>
      <c r="AB91" s="356">
        <f t="shared" si="20"/>
        <v>5243.7170647588118</v>
      </c>
    </row>
    <row r="92" spans="1:30" s="199" customFormat="1">
      <c r="A92" s="199" t="s">
        <v>44</v>
      </c>
      <c r="E92" s="243">
        <v>-12376.407781727943</v>
      </c>
      <c r="F92" s="240">
        <f>SUM(F88:F91)</f>
        <v>1691.8482913273215</v>
      </c>
      <c r="G92" s="240">
        <f t="shared" ref="G92:Y92" si="27">SUM(G88:G91)</f>
        <v>2063.0724285804167</v>
      </c>
      <c r="H92" s="240">
        <f t="shared" si="27"/>
        <v>1529.2213034341837</v>
      </c>
      <c r="I92" s="240">
        <f t="shared" si="27"/>
        <v>1205.6209054132812</v>
      </c>
      <c r="J92" s="240">
        <f t="shared" si="27"/>
        <v>1220.4094066577475</v>
      </c>
      <c r="K92" s="240">
        <f t="shared" si="27"/>
        <v>985.16253694246643</v>
      </c>
      <c r="L92" s="240">
        <f t="shared" si="27"/>
        <v>750.46630174967891</v>
      </c>
      <c r="M92" s="240">
        <f t="shared" si="27"/>
        <v>771.80943217487857</v>
      </c>
      <c r="N92" s="240">
        <f t="shared" si="27"/>
        <v>779.7658320967472</v>
      </c>
      <c r="O92" s="240">
        <f t="shared" si="27"/>
        <v>788.43345958447844</v>
      </c>
      <c r="P92" s="240">
        <f t="shared" si="27"/>
        <v>797.24630993282722</v>
      </c>
      <c r="Q92" s="240">
        <f t="shared" si="27"/>
        <v>823.36111250600356</v>
      </c>
      <c r="R92" s="240">
        <f t="shared" si="27"/>
        <v>820.17167507793647</v>
      </c>
      <c r="S92" s="240">
        <f t="shared" si="27"/>
        <v>817.00000879944719</v>
      </c>
      <c r="T92" s="240">
        <f t="shared" si="27"/>
        <v>813.26609820474619</v>
      </c>
      <c r="U92" s="240">
        <f t="shared" si="27"/>
        <v>11296.932951389765</v>
      </c>
      <c r="V92" s="240">
        <f t="shared" si="27"/>
        <v>0</v>
      </c>
      <c r="W92" s="240">
        <f t="shared" si="27"/>
        <v>0</v>
      </c>
      <c r="X92" s="240">
        <f t="shared" si="27"/>
        <v>0</v>
      </c>
      <c r="Y92" s="240">
        <f t="shared" si="27"/>
        <v>0</v>
      </c>
      <c r="AA92" s="355">
        <f t="shared" si="8"/>
        <v>27153.788053871926</v>
      </c>
      <c r="AB92" s="356">
        <f t="shared" si="20"/>
        <v>13576.894026935963</v>
      </c>
    </row>
    <row r="93" spans="1:30" s="199" customFormat="1" ht="13.5" thickBot="1">
      <c r="F93" s="244"/>
      <c r="G93" s="244"/>
      <c r="H93" s="244"/>
      <c r="I93" s="244"/>
      <c r="J93" s="244"/>
      <c r="K93" s="244"/>
      <c r="L93" s="244"/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355">
        <f t="shared" si="8"/>
        <v>0</v>
      </c>
      <c r="AB93" s="356">
        <f t="shared" si="20"/>
        <v>0</v>
      </c>
      <c r="AC93" s="244"/>
      <c r="AD93" s="244"/>
    </row>
    <row r="94" spans="1:30" s="199" customFormat="1">
      <c r="U94" s="245" t="s">
        <v>45</v>
      </c>
      <c r="V94" s="246"/>
      <c r="W94" s="246"/>
      <c r="X94" s="246"/>
      <c r="Y94" s="247"/>
      <c r="AA94" s="355">
        <f t="shared" si="8"/>
        <v>0</v>
      </c>
      <c r="AB94" s="356">
        <f t="shared" si="20"/>
        <v>0</v>
      </c>
    </row>
    <row r="95" spans="1:30" s="199" customFormat="1" ht="13.5" thickBot="1">
      <c r="A95" s="199" t="s">
        <v>46</v>
      </c>
      <c r="E95" s="248">
        <f>NPV(C96,E92:Y92)</f>
        <v>1.2098782730006843E-11</v>
      </c>
      <c r="R95" s="249"/>
      <c r="U95" s="250" t="s">
        <v>47</v>
      </c>
      <c r="V95" s="251"/>
      <c r="W95" s="251"/>
      <c r="X95" s="251"/>
      <c r="Y95" s="252">
        <f>U88</f>
        <v>1310.929266189703</v>
      </c>
      <c r="AA95" s="355">
        <f t="shared" si="8"/>
        <v>1310.929266189703</v>
      </c>
      <c r="AB95" s="356">
        <f t="shared" si="20"/>
        <v>655.46463309485148</v>
      </c>
    </row>
    <row r="96" spans="1:30" s="199" customFormat="1" ht="13.5" thickBot="1">
      <c r="A96" s="199" t="s">
        <v>48</v>
      </c>
      <c r="C96" s="253">
        <v>0.09</v>
      </c>
      <c r="R96" s="240"/>
      <c r="U96" s="254" t="s">
        <v>49</v>
      </c>
      <c r="V96" s="251"/>
      <c r="W96" s="251"/>
      <c r="X96" s="251"/>
      <c r="Y96" s="255">
        <v>1</v>
      </c>
      <c r="AA96" s="355">
        <f t="shared" si="8"/>
        <v>1</v>
      </c>
      <c r="AB96" s="356">
        <f t="shared" si="20"/>
        <v>0.5</v>
      </c>
    </row>
    <row r="97" spans="1:28" s="199" customFormat="1">
      <c r="U97" s="254" t="s">
        <v>50</v>
      </c>
      <c r="V97" s="251"/>
      <c r="W97" s="251"/>
      <c r="X97" s="251"/>
      <c r="Y97" s="256">
        <f>Y95*Y96</f>
        <v>1310.929266189703</v>
      </c>
      <c r="AA97" s="355">
        <f t="shared" si="8"/>
        <v>1310.929266189703</v>
      </c>
      <c r="AB97" s="356">
        <f t="shared" si="20"/>
        <v>655.46463309485148</v>
      </c>
    </row>
    <row r="98" spans="1:28" s="199" customFormat="1">
      <c r="U98" s="254" t="s">
        <v>51</v>
      </c>
      <c r="V98" s="251"/>
      <c r="W98" s="251"/>
      <c r="X98" s="251"/>
      <c r="Y98" s="257">
        <v>8</v>
      </c>
      <c r="AA98" s="355">
        <f t="shared" si="8"/>
        <v>8</v>
      </c>
      <c r="AB98" s="356">
        <f t="shared" si="20"/>
        <v>4</v>
      </c>
    </row>
    <row r="99" spans="1:28" s="199" customFormat="1" ht="13.5" thickBot="1">
      <c r="U99" s="258" t="s">
        <v>45</v>
      </c>
      <c r="V99" s="259"/>
      <c r="W99" s="259"/>
      <c r="X99" s="259"/>
      <c r="Y99" s="260">
        <f>Y97*Y98</f>
        <v>10487.434129517624</v>
      </c>
      <c r="AA99" s="355">
        <f t="shared" si="8"/>
        <v>10487.434129517624</v>
      </c>
      <c r="AB99" s="356">
        <f t="shared" si="20"/>
        <v>5243.7170647588118</v>
      </c>
    </row>
    <row r="100" spans="1:28" s="199" customFormat="1">
      <c r="A100" s="238" t="s">
        <v>52</v>
      </c>
      <c r="AA100" s="355">
        <f t="shared" si="8"/>
        <v>0</v>
      </c>
      <c r="AB100" s="356">
        <f t="shared" si="20"/>
        <v>0</v>
      </c>
    </row>
    <row r="101" spans="1:28" s="199" customFormat="1">
      <c r="A101" s="199" t="s">
        <v>53</v>
      </c>
      <c r="D101" s="261">
        <v>0</v>
      </c>
      <c r="AA101" s="355">
        <f t="shared" si="8"/>
        <v>0</v>
      </c>
      <c r="AB101" s="356">
        <f t="shared" si="20"/>
        <v>0</v>
      </c>
    </row>
    <row r="102" spans="1:28" s="199" customFormat="1" ht="15">
      <c r="A102" s="199" t="s">
        <v>54</v>
      </c>
      <c r="D102" s="242">
        <f>-E92</f>
        <v>12376.407781727943</v>
      </c>
      <c r="AA102" s="355">
        <f t="shared" si="8"/>
        <v>0</v>
      </c>
      <c r="AB102" s="356">
        <f t="shared" si="20"/>
        <v>0</v>
      </c>
    </row>
    <row r="103" spans="1:28" s="199" customFormat="1">
      <c r="D103" s="262">
        <f>D101+D102</f>
        <v>12376.407781727943</v>
      </c>
      <c r="AA103" s="355">
        <f t="shared" si="8"/>
        <v>0</v>
      </c>
      <c r="AB103" s="356">
        <f t="shared" si="20"/>
        <v>0</v>
      </c>
    </row>
    <row r="104" spans="1:28" s="199" customFormat="1">
      <c r="A104" s="199" t="s">
        <v>55</v>
      </c>
      <c r="D104" s="263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99" customFormat="1">
      <c r="A105" s="199" t="s">
        <v>56</v>
      </c>
      <c r="D105" s="262">
        <f>D103*D104</f>
        <v>11138.767003555149</v>
      </c>
      <c r="AA105" s="355">
        <f t="shared" si="28"/>
        <v>0</v>
      </c>
      <c r="AB105" s="356">
        <f t="shared" si="20"/>
        <v>0</v>
      </c>
    </row>
    <row r="106" spans="1:28" s="199" customFormat="1">
      <c r="AA106" s="355">
        <f t="shared" si="28"/>
        <v>0</v>
      </c>
      <c r="AB106" s="356">
        <f t="shared" si="20"/>
        <v>0</v>
      </c>
    </row>
    <row r="107" spans="1:28" s="199" customFormat="1" ht="13.5" thickBot="1">
      <c r="F107" s="239">
        <f>F5</f>
        <v>2001</v>
      </c>
      <c r="G107" s="239">
        <f>F107+1</f>
        <v>2002</v>
      </c>
      <c r="H107" s="239">
        <f t="shared" ref="H107:Y107" si="29">G107+1</f>
        <v>2003</v>
      </c>
      <c r="I107" s="239">
        <f t="shared" si="29"/>
        <v>2004</v>
      </c>
      <c r="J107" s="239">
        <f t="shared" si="29"/>
        <v>2005</v>
      </c>
      <c r="K107" s="239">
        <f t="shared" si="29"/>
        <v>2006</v>
      </c>
      <c r="L107" s="239">
        <f t="shared" si="29"/>
        <v>2007</v>
      </c>
      <c r="M107" s="239">
        <f t="shared" si="29"/>
        <v>2008</v>
      </c>
      <c r="N107" s="239">
        <f t="shared" si="29"/>
        <v>2009</v>
      </c>
      <c r="O107" s="239">
        <f t="shared" si="29"/>
        <v>2010</v>
      </c>
      <c r="P107" s="239">
        <f t="shared" si="29"/>
        <v>2011</v>
      </c>
      <c r="Q107" s="239">
        <f t="shared" si="29"/>
        <v>2012</v>
      </c>
      <c r="R107" s="239">
        <f t="shared" si="29"/>
        <v>2013</v>
      </c>
      <c r="S107" s="239">
        <f t="shared" si="29"/>
        <v>2014</v>
      </c>
      <c r="T107" s="239">
        <f t="shared" si="29"/>
        <v>2015</v>
      </c>
      <c r="U107" s="239">
        <f t="shared" si="29"/>
        <v>2016</v>
      </c>
      <c r="V107" s="239">
        <f t="shared" si="29"/>
        <v>2017</v>
      </c>
      <c r="W107" s="239">
        <f t="shared" si="29"/>
        <v>2018</v>
      </c>
      <c r="X107" s="239">
        <f t="shared" si="29"/>
        <v>2019</v>
      </c>
      <c r="Y107" s="239">
        <f t="shared" si="29"/>
        <v>2020</v>
      </c>
      <c r="AA107" s="355">
        <f t="shared" si="28"/>
        <v>40210</v>
      </c>
      <c r="AB107" s="356">
        <f t="shared" si="20"/>
        <v>20105</v>
      </c>
    </row>
    <row r="108" spans="1:28" s="199" customFormat="1">
      <c r="A108" s="264" t="s">
        <v>57</v>
      </c>
      <c r="AA108" s="355">
        <f t="shared" si="28"/>
        <v>0</v>
      </c>
      <c r="AB108" s="356">
        <f t="shared" si="20"/>
        <v>0</v>
      </c>
    </row>
    <row r="109" spans="1:28" s="199" customFormat="1">
      <c r="A109" s="199" t="s">
        <v>58</v>
      </c>
      <c r="B109" s="265">
        <v>30</v>
      </c>
      <c r="C109" s="199" t="s">
        <v>0</v>
      </c>
      <c r="D109" s="266">
        <f>D105</f>
        <v>11138.767003555149</v>
      </c>
      <c r="F109" s="244">
        <f>ROUND(D109/$B$109,0)</f>
        <v>371</v>
      </c>
      <c r="G109" s="244">
        <f>F109</f>
        <v>371</v>
      </c>
      <c r="H109" s="244">
        <f t="shared" ref="H109:U110" si="30">G109</f>
        <v>371</v>
      </c>
      <c r="I109" s="244">
        <f t="shared" si="30"/>
        <v>371</v>
      </c>
      <c r="J109" s="244">
        <f t="shared" si="30"/>
        <v>371</v>
      </c>
      <c r="K109" s="244">
        <f t="shared" si="30"/>
        <v>371</v>
      </c>
      <c r="L109" s="244">
        <f t="shared" si="30"/>
        <v>371</v>
      </c>
      <c r="M109" s="244">
        <f t="shared" si="30"/>
        <v>371</v>
      </c>
      <c r="N109" s="244">
        <f t="shared" si="30"/>
        <v>371</v>
      </c>
      <c r="O109" s="244">
        <f t="shared" si="30"/>
        <v>371</v>
      </c>
      <c r="P109" s="244">
        <f t="shared" si="30"/>
        <v>371</v>
      </c>
      <c r="Q109" s="244">
        <f t="shared" si="30"/>
        <v>371</v>
      </c>
      <c r="R109" s="244">
        <f t="shared" si="30"/>
        <v>371</v>
      </c>
      <c r="S109" s="244">
        <f t="shared" si="30"/>
        <v>371</v>
      </c>
      <c r="T109" s="244">
        <f t="shared" si="30"/>
        <v>371</v>
      </c>
      <c r="U109" s="244">
        <f t="shared" si="30"/>
        <v>371</v>
      </c>
      <c r="V109" s="361"/>
      <c r="W109" s="361"/>
      <c r="X109" s="361"/>
      <c r="Y109" s="361"/>
      <c r="AA109" s="355">
        <f t="shared" si="28"/>
        <v>5936</v>
      </c>
      <c r="AB109" s="356">
        <f t="shared" si="20"/>
        <v>2968</v>
      </c>
    </row>
    <row r="110" spans="1:28" s="199" customFormat="1">
      <c r="A110" s="128" t="s">
        <v>138</v>
      </c>
      <c r="D110" s="266">
        <f>D104*'FPLE_Wind Summary'!J28</f>
        <v>769.30693247691636</v>
      </c>
      <c r="F110" s="244">
        <f>ROUND(D110/$B$109,0)</f>
        <v>26</v>
      </c>
      <c r="G110" s="244">
        <f>F110</f>
        <v>26</v>
      </c>
      <c r="H110" s="244">
        <f t="shared" si="30"/>
        <v>26</v>
      </c>
      <c r="I110" s="244">
        <f t="shared" si="30"/>
        <v>26</v>
      </c>
      <c r="J110" s="244">
        <f t="shared" si="30"/>
        <v>26</v>
      </c>
      <c r="K110" s="244">
        <f t="shared" si="30"/>
        <v>26</v>
      </c>
      <c r="L110" s="244">
        <f t="shared" si="30"/>
        <v>26</v>
      </c>
      <c r="M110" s="244">
        <f t="shared" si="30"/>
        <v>26</v>
      </c>
      <c r="N110" s="244">
        <f t="shared" si="30"/>
        <v>26</v>
      </c>
      <c r="O110" s="244">
        <f t="shared" si="30"/>
        <v>26</v>
      </c>
      <c r="P110" s="244">
        <f t="shared" si="30"/>
        <v>26</v>
      </c>
      <c r="Q110" s="244">
        <f t="shared" si="30"/>
        <v>26</v>
      </c>
      <c r="R110" s="244">
        <f t="shared" si="30"/>
        <v>26</v>
      </c>
      <c r="S110" s="244">
        <f t="shared" si="30"/>
        <v>26</v>
      </c>
      <c r="T110" s="244">
        <f t="shared" si="30"/>
        <v>26</v>
      </c>
      <c r="U110" s="244">
        <f t="shared" si="30"/>
        <v>26</v>
      </c>
      <c r="V110" s="361"/>
      <c r="W110" s="361"/>
      <c r="X110" s="361"/>
      <c r="Y110" s="361"/>
      <c r="AA110" s="355">
        <f t="shared" si="28"/>
        <v>416</v>
      </c>
      <c r="AB110" s="356">
        <f t="shared" si="20"/>
        <v>208</v>
      </c>
    </row>
    <row r="111" spans="1:28" s="199" customFormat="1">
      <c r="AA111" s="355">
        <f t="shared" si="28"/>
        <v>0</v>
      </c>
      <c r="AB111" s="356">
        <f t="shared" si="20"/>
        <v>0</v>
      </c>
    </row>
    <row r="112" spans="1:28" s="199" customFormat="1">
      <c r="A112" s="264" t="s">
        <v>59</v>
      </c>
      <c r="AA112" s="355">
        <f t="shared" si="28"/>
        <v>0</v>
      </c>
      <c r="AB112" s="356">
        <f t="shared" si="20"/>
        <v>0</v>
      </c>
    </row>
    <row r="113" spans="1:28" s="199" customFormat="1">
      <c r="A113" s="267" t="s">
        <v>60</v>
      </c>
      <c r="D113" s="266">
        <f>D109</f>
        <v>11138.767003555149</v>
      </c>
      <c r="AA113" s="355">
        <f t="shared" si="28"/>
        <v>0</v>
      </c>
      <c r="AB113" s="356">
        <f t="shared" si="20"/>
        <v>0</v>
      </c>
    </row>
    <row r="114" spans="1:28" s="199" customFormat="1">
      <c r="A114" s="199" t="s">
        <v>61</v>
      </c>
      <c r="E114" s="268"/>
      <c r="F114" s="269">
        <v>0.2</v>
      </c>
      <c r="G114" s="269">
        <v>0.32</v>
      </c>
      <c r="H114" s="269">
        <v>0.192</v>
      </c>
      <c r="I114" s="269">
        <v>0.1152</v>
      </c>
      <c r="J114" s="269">
        <v>0.1152</v>
      </c>
      <c r="K114" s="269">
        <v>5.7599999999999998E-2</v>
      </c>
      <c r="L114" s="269">
        <v>0</v>
      </c>
      <c r="M114" s="269">
        <v>0</v>
      </c>
      <c r="N114" s="269">
        <v>0</v>
      </c>
      <c r="O114" s="269">
        <v>0</v>
      </c>
      <c r="P114" s="269">
        <v>0</v>
      </c>
      <c r="Q114" s="269">
        <v>0</v>
      </c>
      <c r="R114" s="269">
        <v>0</v>
      </c>
      <c r="S114" s="269">
        <v>0</v>
      </c>
      <c r="T114" s="269">
        <v>0</v>
      </c>
      <c r="U114" s="269">
        <v>0</v>
      </c>
      <c r="V114" s="269">
        <v>0</v>
      </c>
      <c r="W114" s="269">
        <v>0</v>
      </c>
      <c r="X114" s="269">
        <v>0</v>
      </c>
      <c r="Y114" s="269">
        <v>0</v>
      </c>
      <c r="Z114" s="270"/>
      <c r="AA114" s="355">
        <f t="shared" si="28"/>
        <v>0.99999999999999989</v>
      </c>
      <c r="AB114" s="356">
        <f t="shared" si="20"/>
        <v>0.49999999999999994</v>
      </c>
    </row>
    <row r="115" spans="1:28" s="199" customFormat="1">
      <c r="A115" s="199" t="s">
        <v>59</v>
      </c>
      <c r="F115" s="244">
        <f t="shared" ref="F115:U115" si="31">$D$113*F114</f>
        <v>2227.7534007110298</v>
      </c>
      <c r="G115" s="244">
        <f t="shared" si="31"/>
        <v>3564.4054411376478</v>
      </c>
      <c r="H115" s="244">
        <f t="shared" si="31"/>
        <v>2138.6432646825888</v>
      </c>
      <c r="I115" s="244">
        <f t="shared" si="31"/>
        <v>1283.1859588095531</v>
      </c>
      <c r="J115" s="244">
        <f t="shared" si="31"/>
        <v>1283.1859588095531</v>
      </c>
      <c r="K115" s="244">
        <f t="shared" si="31"/>
        <v>641.59297940477654</v>
      </c>
      <c r="L115" s="244">
        <f t="shared" si="31"/>
        <v>0</v>
      </c>
      <c r="M115" s="244">
        <f t="shared" si="31"/>
        <v>0</v>
      </c>
      <c r="N115" s="244">
        <f t="shared" si="31"/>
        <v>0</v>
      </c>
      <c r="O115" s="244">
        <f t="shared" si="31"/>
        <v>0</v>
      </c>
      <c r="P115" s="244">
        <f t="shared" si="31"/>
        <v>0</v>
      </c>
      <c r="Q115" s="244">
        <f t="shared" si="31"/>
        <v>0</v>
      </c>
      <c r="R115" s="244">
        <f t="shared" si="31"/>
        <v>0</v>
      </c>
      <c r="S115" s="244">
        <f t="shared" si="31"/>
        <v>0</v>
      </c>
      <c r="T115" s="244">
        <f t="shared" si="31"/>
        <v>0</v>
      </c>
      <c r="U115" s="244">
        <f t="shared" si="31"/>
        <v>0</v>
      </c>
      <c r="V115" s="361"/>
      <c r="W115" s="361"/>
      <c r="X115" s="361"/>
      <c r="Y115" s="361"/>
      <c r="AA115" s="355">
        <f t="shared" si="28"/>
        <v>11138.767003555149</v>
      </c>
      <c r="AB115" s="356">
        <f t="shared" si="20"/>
        <v>5569.3835017775746</v>
      </c>
    </row>
    <row r="116" spans="1:28" s="199" customFormat="1">
      <c r="A116" s="128" t="s">
        <v>138</v>
      </c>
      <c r="D116" s="266">
        <f>D110</f>
        <v>769.30693247691636</v>
      </c>
      <c r="F116" s="244">
        <f>$D$116*F114</f>
        <v>153.86138649538327</v>
      </c>
      <c r="G116" s="244">
        <f t="shared" ref="G116:U116" si="32">$D$116*G114</f>
        <v>246.17821839261325</v>
      </c>
      <c r="H116" s="244">
        <f t="shared" si="32"/>
        <v>147.70693103556795</v>
      </c>
      <c r="I116" s="244">
        <f t="shared" si="32"/>
        <v>88.624158621340769</v>
      </c>
      <c r="J116" s="244">
        <f t="shared" si="32"/>
        <v>88.624158621340769</v>
      </c>
      <c r="K116" s="244">
        <f t="shared" si="32"/>
        <v>44.312079310670384</v>
      </c>
      <c r="L116" s="244">
        <f t="shared" si="32"/>
        <v>0</v>
      </c>
      <c r="M116" s="244">
        <f t="shared" si="32"/>
        <v>0</v>
      </c>
      <c r="N116" s="244">
        <f t="shared" si="32"/>
        <v>0</v>
      </c>
      <c r="O116" s="244">
        <f t="shared" si="32"/>
        <v>0</v>
      </c>
      <c r="P116" s="244">
        <f t="shared" si="32"/>
        <v>0</v>
      </c>
      <c r="Q116" s="244">
        <f t="shared" si="32"/>
        <v>0</v>
      </c>
      <c r="R116" s="244">
        <f t="shared" si="32"/>
        <v>0</v>
      </c>
      <c r="S116" s="244">
        <f t="shared" si="32"/>
        <v>0</v>
      </c>
      <c r="T116" s="244">
        <f t="shared" si="32"/>
        <v>0</v>
      </c>
      <c r="U116" s="244">
        <f t="shared" si="32"/>
        <v>0</v>
      </c>
      <c r="V116" s="361"/>
      <c r="W116" s="361"/>
      <c r="X116" s="361"/>
      <c r="Y116" s="361"/>
      <c r="AA116" s="355">
        <f t="shared" si="28"/>
        <v>769.30693247691636</v>
      </c>
      <c r="AB116" s="356">
        <f t="shared" si="20"/>
        <v>384.65346623845818</v>
      </c>
    </row>
    <row r="117" spans="1:28" s="199" customFormat="1">
      <c r="AA117" s="355">
        <f t="shared" si="28"/>
        <v>0</v>
      </c>
      <c r="AB117" s="356">
        <f t="shared" si="20"/>
        <v>0</v>
      </c>
    </row>
    <row r="118" spans="1:28" s="199" customFormat="1">
      <c r="AA118" s="355">
        <f t="shared" si="28"/>
        <v>0</v>
      </c>
      <c r="AB118" s="356">
        <f t="shared" si="20"/>
        <v>0</v>
      </c>
    </row>
    <row r="119" spans="1:28" s="199" customFormat="1" ht="13.5" thickBot="1">
      <c r="F119" s="239">
        <f>F107</f>
        <v>2001</v>
      </c>
      <c r="G119" s="239">
        <f t="shared" ref="G119:Y119" si="33">G107</f>
        <v>2002</v>
      </c>
      <c r="H119" s="239">
        <f t="shared" si="33"/>
        <v>2003</v>
      </c>
      <c r="I119" s="239">
        <f t="shared" si="33"/>
        <v>2004</v>
      </c>
      <c r="J119" s="239">
        <f t="shared" si="33"/>
        <v>2005</v>
      </c>
      <c r="K119" s="239">
        <f t="shared" si="33"/>
        <v>2006</v>
      </c>
      <c r="L119" s="239">
        <f t="shared" si="33"/>
        <v>2007</v>
      </c>
      <c r="M119" s="239">
        <f t="shared" si="33"/>
        <v>2008</v>
      </c>
      <c r="N119" s="239">
        <f t="shared" si="33"/>
        <v>2009</v>
      </c>
      <c r="O119" s="239">
        <f t="shared" si="33"/>
        <v>2010</v>
      </c>
      <c r="P119" s="239">
        <f t="shared" si="33"/>
        <v>2011</v>
      </c>
      <c r="Q119" s="239">
        <f t="shared" si="33"/>
        <v>2012</v>
      </c>
      <c r="R119" s="239">
        <f t="shared" si="33"/>
        <v>2013</v>
      </c>
      <c r="S119" s="239">
        <f t="shared" si="33"/>
        <v>2014</v>
      </c>
      <c r="T119" s="239">
        <f t="shared" si="33"/>
        <v>2015</v>
      </c>
      <c r="U119" s="239">
        <f t="shared" si="33"/>
        <v>2016</v>
      </c>
      <c r="V119" s="239">
        <f t="shared" si="33"/>
        <v>2017</v>
      </c>
      <c r="W119" s="239">
        <f t="shared" si="33"/>
        <v>2018</v>
      </c>
      <c r="X119" s="239">
        <f t="shared" si="33"/>
        <v>2019</v>
      </c>
      <c r="Y119" s="239">
        <f t="shared" si="33"/>
        <v>2020</v>
      </c>
      <c r="AA119" s="355">
        <f t="shared" si="28"/>
        <v>40210</v>
      </c>
      <c r="AB119" s="356">
        <f t="shared" si="20"/>
        <v>20105</v>
      </c>
    </row>
    <row r="120" spans="1:28" s="199" customFormat="1">
      <c r="A120" s="238" t="s">
        <v>62</v>
      </c>
      <c r="AA120" s="355">
        <f t="shared" si="28"/>
        <v>0</v>
      </c>
      <c r="AB120" s="356">
        <f t="shared" si="20"/>
        <v>0</v>
      </c>
    </row>
    <row r="121" spans="1:28" s="199" customFormat="1">
      <c r="A121" s="271" t="str">
        <f>A64</f>
        <v>EBITDA</v>
      </c>
      <c r="F121" s="244">
        <f>F39</f>
        <v>1359.8908753932835</v>
      </c>
      <c r="G121" s="244">
        <f t="shared" ref="G121:Y121" si="34">G39</f>
        <v>1133.0969187777596</v>
      </c>
      <c r="H121" s="244">
        <f t="shared" si="34"/>
        <v>1151.7251088147264</v>
      </c>
      <c r="I121" s="244">
        <f t="shared" si="34"/>
        <v>1157.5745363054691</v>
      </c>
      <c r="J121" s="244">
        <f>J39</f>
        <v>1181.5235261750499</v>
      </c>
      <c r="K121" s="244">
        <f t="shared" si="34"/>
        <v>1197.9809268342337</v>
      </c>
      <c r="L121" s="244">
        <f t="shared" si="34"/>
        <v>1215.3300433193181</v>
      </c>
      <c r="M121" s="244">
        <f t="shared" si="34"/>
        <v>1249.8938172872527</v>
      </c>
      <c r="N121" s="244">
        <f t="shared" si="34"/>
        <v>1262.7786754603194</v>
      </c>
      <c r="O121" s="244">
        <f t="shared" si="34"/>
        <v>1276.8153191651472</v>
      </c>
      <c r="P121" s="244">
        <f t="shared" si="34"/>
        <v>1291.0871415916231</v>
      </c>
      <c r="Q121" s="244">
        <f t="shared" si="34"/>
        <v>1333.378319847779</v>
      </c>
      <c r="R121" s="244">
        <f t="shared" si="34"/>
        <v>1328.2132389926096</v>
      </c>
      <c r="S121" s="244">
        <f t="shared" si="34"/>
        <v>1323.07693732704</v>
      </c>
      <c r="T121" s="244">
        <f t="shared" si="34"/>
        <v>1317.0301185501962</v>
      </c>
      <c r="U121" s="244">
        <f t="shared" si="34"/>
        <v>1310.929266189703</v>
      </c>
      <c r="V121" s="244">
        <f t="shared" si="34"/>
        <v>0</v>
      </c>
      <c r="W121" s="244">
        <f t="shared" si="34"/>
        <v>0</v>
      </c>
      <c r="X121" s="244">
        <f t="shared" si="34"/>
        <v>0</v>
      </c>
      <c r="Y121" s="244">
        <f t="shared" si="34"/>
        <v>0</v>
      </c>
      <c r="AA121" s="355">
        <f t="shared" si="28"/>
        <v>20090.324770031508</v>
      </c>
      <c r="AB121" s="356">
        <f t="shared" si="20"/>
        <v>10045.162385015754</v>
      </c>
    </row>
    <row r="122" spans="1:28" s="199" customFormat="1">
      <c r="A122" s="199" t="s">
        <v>63</v>
      </c>
      <c r="F122" s="244">
        <f>-F115</f>
        <v>-2227.7534007110298</v>
      </c>
      <c r="G122" s="244">
        <f t="shared" ref="G122:Y122" si="35">-G115</f>
        <v>-3564.4054411376478</v>
      </c>
      <c r="H122" s="244">
        <f t="shared" si="35"/>
        <v>-2138.6432646825888</v>
      </c>
      <c r="I122" s="244">
        <f t="shared" si="35"/>
        <v>-1283.1859588095531</v>
      </c>
      <c r="J122" s="244">
        <f t="shared" si="35"/>
        <v>-1283.1859588095531</v>
      </c>
      <c r="K122" s="244">
        <f t="shared" si="35"/>
        <v>-641.59297940477654</v>
      </c>
      <c r="L122" s="244">
        <f t="shared" si="35"/>
        <v>0</v>
      </c>
      <c r="M122" s="244">
        <f t="shared" si="35"/>
        <v>0</v>
      </c>
      <c r="N122" s="244">
        <f t="shared" si="35"/>
        <v>0</v>
      </c>
      <c r="O122" s="244">
        <f t="shared" si="35"/>
        <v>0</v>
      </c>
      <c r="P122" s="244">
        <f t="shared" si="35"/>
        <v>0</v>
      </c>
      <c r="Q122" s="244">
        <f t="shared" si="35"/>
        <v>0</v>
      </c>
      <c r="R122" s="244">
        <f t="shared" si="35"/>
        <v>0</v>
      </c>
      <c r="S122" s="244">
        <f t="shared" si="35"/>
        <v>0</v>
      </c>
      <c r="T122" s="244">
        <f t="shared" si="35"/>
        <v>0</v>
      </c>
      <c r="U122" s="244">
        <f t="shared" si="35"/>
        <v>0</v>
      </c>
      <c r="V122" s="244">
        <f t="shared" si="35"/>
        <v>0</v>
      </c>
      <c r="W122" s="244">
        <f t="shared" si="35"/>
        <v>0</v>
      </c>
      <c r="X122" s="244">
        <f t="shared" si="35"/>
        <v>0</v>
      </c>
      <c r="Y122" s="244">
        <f t="shared" si="35"/>
        <v>0</v>
      </c>
      <c r="AA122" s="355">
        <f t="shared" si="28"/>
        <v>-11138.767003555149</v>
      </c>
      <c r="AB122" s="356">
        <f t="shared" si="20"/>
        <v>-5569.3835017775746</v>
      </c>
    </row>
    <row r="123" spans="1:28" s="199" customFormat="1">
      <c r="A123" s="199" t="s">
        <v>64</v>
      </c>
      <c r="F123" s="272">
        <f>-F46</f>
        <v>0</v>
      </c>
      <c r="G123" s="272">
        <f t="shared" ref="G123:Y123" si="36">-G46</f>
        <v>0</v>
      </c>
      <c r="H123" s="272">
        <f t="shared" si="36"/>
        <v>0</v>
      </c>
      <c r="I123" s="272">
        <f t="shared" si="36"/>
        <v>0</v>
      </c>
      <c r="J123" s="272">
        <f t="shared" si="36"/>
        <v>0</v>
      </c>
      <c r="K123" s="272">
        <f t="shared" si="36"/>
        <v>0</v>
      </c>
      <c r="L123" s="272">
        <f t="shared" si="36"/>
        <v>0</v>
      </c>
      <c r="M123" s="272">
        <f t="shared" si="36"/>
        <v>0</v>
      </c>
      <c r="N123" s="272">
        <f t="shared" si="36"/>
        <v>0</v>
      </c>
      <c r="O123" s="272">
        <f t="shared" si="36"/>
        <v>0</v>
      </c>
      <c r="P123" s="272">
        <f t="shared" si="36"/>
        <v>0</v>
      </c>
      <c r="Q123" s="272">
        <f t="shared" si="36"/>
        <v>0</v>
      </c>
      <c r="R123" s="272">
        <f t="shared" si="36"/>
        <v>0</v>
      </c>
      <c r="S123" s="272">
        <f t="shared" si="36"/>
        <v>0</v>
      </c>
      <c r="T123" s="272">
        <f t="shared" si="36"/>
        <v>0</v>
      </c>
      <c r="U123" s="272">
        <f t="shared" si="36"/>
        <v>0</v>
      </c>
      <c r="V123" s="272">
        <f t="shared" si="36"/>
        <v>0</v>
      </c>
      <c r="W123" s="272">
        <f t="shared" si="36"/>
        <v>0</v>
      </c>
      <c r="X123" s="272">
        <f t="shared" si="36"/>
        <v>0</v>
      </c>
      <c r="Y123" s="272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99" customFormat="1">
      <c r="A124" s="199" t="s">
        <v>65</v>
      </c>
      <c r="F124" s="244">
        <f>SUM(F121:F123)</f>
        <v>-867.8625253177463</v>
      </c>
      <c r="G124" s="244">
        <f t="shared" ref="G124:Y124" si="37">SUM(G121:G123)</f>
        <v>-2431.3085223598882</v>
      </c>
      <c r="H124" s="244">
        <f t="shared" si="37"/>
        <v>-986.91815586786242</v>
      </c>
      <c r="I124" s="244">
        <f t="shared" si="37"/>
        <v>-125.61142250408398</v>
      </c>
      <c r="J124" s="244">
        <f t="shared" si="37"/>
        <v>-101.66243263450315</v>
      </c>
      <c r="K124" s="244">
        <f t="shared" si="37"/>
        <v>556.3879474294572</v>
      </c>
      <c r="L124" s="244">
        <f t="shared" si="37"/>
        <v>1215.3300433193181</v>
      </c>
      <c r="M124" s="244">
        <f t="shared" si="37"/>
        <v>1249.8938172872527</v>
      </c>
      <c r="N124" s="244">
        <f t="shared" si="37"/>
        <v>1262.7786754603194</v>
      </c>
      <c r="O124" s="244">
        <f t="shared" si="37"/>
        <v>1276.8153191651472</v>
      </c>
      <c r="P124" s="244">
        <f t="shared" si="37"/>
        <v>1291.0871415916231</v>
      </c>
      <c r="Q124" s="244">
        <f t="shared" si="37"/>
        <v>1333.378319847779</v>
      </c>
      <c r="R124" s="244">
        <f t="shared" si="37"/>
        <v>1328.2132389926096</v>
      </c>
      <c r="S124" s="244">
        <f t="shared" si="37"/>
        <v>1323.07693732704</v>
      </c>
      <c r="T124" s="244">
        <f t="shared" si="37"/>
        <v>1317.0301185501962</v>
      </c>
      <c r="U124" s="244">
        <f t="shared" si="37"/>
        <v>1310.929266189703</v>
      </c>
      <c r="V124" s="244">
        <f t="shared" si="37"/>
        <v>0</v>
      </c>
      <c r="W124" s="244">
        <f t="shared" si="37"/>
        <v>0</v>
      </c>
      <c r="X124" s="244">
        <f t="shared" si="37"/>
        <v>0</v>
      </c>
      <c r="Y124" s="244">
        <f t="shared" si="37"/>
        <v>0</v>
      </c>
      <c r="AA124" s="355">
        <f t="shared" si="28"/>
        <v>8951.5577664763623</v>
      </c>
      <c r="AB124" s="356">
        <f t="shared" si="20"/>
        <v>4475.7788832381812</v>
      </c>
    </row>
    <row r="125" spans="1:28" s="199" customFormat="1">
      <c r="AA125" s="355">
        <f t="shared" si="28"/>
        <v>0</v>
      </c>
      <c r="AB125" s="356">
        <f t="shared" si="20"/>
        <v>0</v>
      </c>
    </row>
    <row r="126" spans="1:28" s="199" customFormat="1">
      <c r="A126" s="199" t="s">
        <v>77</v>
      </c>
      <c r="C126" s="273">
        <f>C51</f>
        <v>0.05</v>
      </c>
      <c r="F126" s="244">
        <f>-F124*$C$126</f>
        <v>43.393126265887318</v>
      </c>
      <c r="G126" s="244">
        <f t="shared" ref="G126:Y126" si="38">-G124*$C$126</f>
        <v>121.56542611799442</v>
      </c>
      <c r="H126" s="244">
        <f t="shared" si="38"/>
        <v>49.345907793393124</v>
      </c>
      <c r="I126" s="244">
        <f t="shared" si="38"/>
        <v>6.2805711252041991</v>
      </c>
      <c r="J126" s="244">
        <f t="shared" si="38"/>
        <v>5.0831216317251577</v>
      </c>
      <c r="K126" s="244">
        <f t="shared" si="38"/>
        <v>-27.81939737147286</v>
      </c>
      <c r="L126" s="244">
        <f t="shared" si="38"/>
        <v>-60.766502165965903</v>
      </c>
      <c r="M126" s="244">
        <f t="shared" si="38"/>
        <v>-62.494690864362639</v>
      </c>
      <c r="N126" s="244">
        <f t="shared" si="38"/>
        <v>-63.138933773015971</v>
      </c>
      <c r="O126" s="244">
        <f t="shared" si="38"/>
        <v>-63.840765958257364</v>
      </c>
      <c r="P126" s="244">
        <f t="shared" si="38"/>
        <v>-64.554357079581152</v>
      </c>
      <c r="Q126" s="244">
        <f t="shared" si="38"/>
        <v>-66.66891599238896</v>
      </c>
      <c r="R126" s="244">
        <f t="shared" si="38"/>
        <v>-66.41066194963048</v>
      </c>
      <c r="S126" s="244">
        <f t="shared" si="38"/>
        <v>-66.153846866351998</v>
      </c>
      <c r="T126" s="244">
        <f t="shared" si="38"/>
        <v>-65.85150592750982</v>
      </c>
      <c r="U126" s="244">
        <f t="shared" si="38"/>
        <v>-65.546463309485148</v>
      </c>
      <c r="V126" s="244">
        <f t="shared" si="38"/>
        <v>0</v>
      </c>
      <c r="W126" s="244">
        <f t="shared" si="38"/>
        <v>0</v>
      </c>
      <c r="X126" s="244">
        <f t="shared" si="38"/>
        <v>0</v>
      </c>
      <c r="Y126" s="244">
        <f t="shared" si="38"/>
        <v>0</v>
      </c>
      <c r="AA126" s="355">
        <f t="shared" si="28"/>
        <v>-447.57788832381812</v>
      </c>
      <c r="AB126" s="356">
        <f t="shared" si="20"/>
        <v>-223.78894416190906</v>
      </c>
    </row>
    <row r="127" spans="1:28" s="199" customFormat="1">
      <c r="A127" s="199" t="s">
        <v>66</v>
      </c>
      <c r="C127" s="273">
        <f>C52</f>
        <v>0.35</v>
      </c>
      <c r="F127" s="244">
        <f>-(F124+F126)*$C$127</f>
        <v>288.56428966815065</v>
      </c>
      <c r="G127" s="244">
        <f t="shared" ref="G127:Y127" si="39">-(G124+G126)*$C$127</f>
        <v>808.41008368466282</v>
      </c>
      <c r="H127" s="244">
        <f t="shared" si="39"/>
        <v>328.15028682606425</v>
      </c>
      <c r="I127" s="244">
        <f t="shared" si="39"/>
        <v>41.765797982607914</v>
      </c>
      <c r="J127" s="244">
        <f t="shared" si="39"/>
        <v>33.802758850972289</v>
      </c>
      <c r="K127" s="244">
        <f t="shared" si="39"/>
        <v>-184.99899252029451</v>
      </c>
      <c r="L127" s="244">
        <f t="shared" si="39"/>
        <v>-404.09723940367326</v>
      </c>
      <c r="M127" s="244">
        <f t="shared" si="39"/>
        <v>-415.58969424801148</v>
      </c>
      <c r="N127" s="244">
        <f t="shared" si="39"/>
        <v>-419.8739095905562</v>
      </c>
      <c r="O127" s="244">
        <f t="shared" si="39"/>
        <v>-424.54109362241144</v>
      </c>
      <c r="P127" s="244">
        <f t="shared" si="39"/>
        <v>-429.28647457921466</v>
      </c>
      <c r="Q127" s="244">
        <f t="shared" si="39"/>
        <v>-443.3482913493865</v>
      </c>
      <c r="R127" s="244">
        <f t="shared" si="39"/>
        <v>-441.63090196504265</v>
      </c>
      <c r="S127" s="244">
        <f t="shared" si="39"/>
        <v>-439.92308166124076</v>
      </c>
      <c r="T127" s="244">
        <f t="shared" si="39"/>
        <v>-437.9125144179402</v>
      </c>
      <c r="U127" s="244">
        <f t="shared" si="39"/>
        <v>-435.88398100807615</v>
      </c>
      <c r="V127" s="244">
        <f t="shared" si="39"/>
        <v>0</v>
      </c>
      <c r="W127" s="244">
        <f t="shared" si="39"/>
        <v>0</v>
      </c>
      <c r="X127" s="244">
        <f t="shared" si="39"/>
        <v>0</v>
      </c>
      <c r="Y127" s="244">
        <f t="shared" si="39"/>
        <v>0</v>
      </c>
      <c r="AA127" s="355">
        <f t="shared" si="28"/>
        <v>-2976.3929573533896</v>
      </c>
      <c r="AB127" s="356">
        <f t="shared" si="20"/>
        <v>-1488.1964786766948</v>
      </c>
    </row>
    <row r="128" spans="1:28" s="199" customFormat="1">
      <c r="AA128" s="355">
        <f t="shared" si="28"/>
        <v>0</v>
      </c>
      <c r="AB128" s="356">
        <f t="shared" si="20"/>
        <v>0</v>
      </c>
    </row>
    <row r="129" spans="1:28" s="199" customFormat="1">
      <c r="AA129" s="355">
        <f t="shared" si="28"/>
        <v>0</v>
      </c>
      <c r="AB129" s="356">
        <f t="shared" si="20"/>
        <v>0</v>
      </c>
    </row>
    <row r="130" spans="1:28" s="199" customFormat="1">
      <c r="AA130" s="355">
        <f t="shared" si="28"/>
        <v>0</v>
      </c>
      <c r="AB130" s="356">
        <f t="shared" si="20"/>
        <v>0</v>
      </c>
    </row>
    <row r="131" spans="1:28" s="199" customFormat="1">
      <c r="AA131" s="355">
        <f t="shared" si="28"/>
        <v>0</v>
      </c>
      <c r="AB131" s="356">
        <f t="shared" si="20"/>
        <v>0</v>
      </c>
    </row>
    <row r="132" spans="1:28" s="199" customFormat="1">
      <c r="AA132" s="355">
        <f t="shared" si="28"/>
        <v>0</v>
      </c>
      <c r="AB132" s="356">
        <f t="shared" si="20"/>
        <v>0</v>
      </c>
    </row>
    <row r="133" spans="1:28" s="199" customFormat="1">
      <c r="AA133" s="355">
        <f t="shared" si="28"/>
        <v>0</v>
      </c>
      <c r="AB133" s="356">
        <f t="shared" si="20"/>
        <v>0</v>
      </c>
    </row>
    <row r="134" spans="1:28" s="199" customFormat="1">
      <c r="AA134" s="355">
        <f t="shared" si="28"/>
        <v>0</v>
      </c>
      <c r="AB134" s="356">
        <f>AA134</f>
        <v>0</v>
      </c>
    </row>
    <row r="135" spans="1:28" s="199" customFormat="1" ht="13.5" thickBot="1">
      <c r="A135" s="264" t="s">
        <v>39</v>
      </c>
      <c r="F135" s="239">
        <f>F119</f>
        <v>2001</v>
      </c>
      <c r="G135" s="239">
        <f t="shared" ref="G135:Y135" si="40">G119</f>
        <v>2002</v>
      </c>
      <c r="H135" s="239">
        <f t="shared" si="40"/>
        <v>2003</v>
      </c>
      <c r="I135" s="239">
        <f t="shared" si="40"/>
        <v>2004</v>
      </c>
      <c r="J135" s="239">
        <f t="shared" si="40"/>
        <v>2005</v>
      </c>
      <c r="K135" s="239">
        <f t="shared" si="40"/>
        <v>2006</v>
      </c>
      <c r="L135" s="239">
        <f t="shared" si="40"/>
        <v>2007</v>
      </c>
      <c r="M135" s="239">
        <f t="shared" si="40"/>
        <v>2008</v>
      </c>
      <c r="N135" s="239">
        <f t="shared" si="40"/>
        <v>2009</v>
      </c>
      <c r="O135" s="239">
        <f t="shared" si="40"/>
        <v>2010</v>
      </c>
      <c r="P135" s="239">
        <f t="shared" si="40"/>
        <v>2011</v>
      </c>
      <c r="Q135" s="239">
        <f t="shared" si="40"/>
        <v>2012</v>
      </c>
      <c r="R135" s="239">
        <f t="shared" si="40"/>
        <v>2013</v>
      </c>
      <c r="S135" s="239">
        <f t="shared" si="40"/>
        <v>2014</v>
      </c>
      <c r="T135" s="239">
        <f t="shared" si="40"/>
        <v>2015</v>
      </c>
      <c r="U135" s="239">
        <f t="shared" si="40"/>
        <v>2016</v>
      </c>
      <c r="V135" s="239">
        <f t="shared" si="40"/>
        <v>2017</v>
      </c>
      <c r="W135" s="239">
        <f t="shared" si="40"/>
        <v>2018</v>
      </c>
      <c r="X135" s="239">
        <f t="shared" si="40"/>
        <v>2019</v>
      </c>
      <c r="Y135" s="23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99" customFormat="1">
      <c r="AA136" s="355">
        <f t="shared" si="28"/>
        <v>0</v>
      </c>
      <c r="AB136" s="356">
        <f t="shared" si="41"/>
        <v>0</v>
      </c>
    </row>
    <row r="137" spans="1:28" s="199" customFormat="1">
      <c r="A137" s="199" t="s">
        <v>78</v>
      </c>
      <c r="F137" s="156">
        <f>F46</f>
        <v>0</v>
      </c>
      <c r="G137" s="156">
        <f t="shared" ref="G137:Y137" si="42">G46</f>
        <v>0</v>
      </c>
      <c r="H137" s="156">
        <f t="shared" si="42"/>
        <v>0</v>
      </c>
      <c r="I137" s="156">
        <f t="shared" si="42"/>
        <v>0</v>
      </c>
      <c r="J137" s="156">
        <f t="shared" si="42"/>
        <v>0</v>
      </c>
      <c r="K137" s="156">
        <f t="shared" si="42"/>
        <v>0</v>
      </c>
      <c r="L137" s="156">
        <f t="shared" si="42"/>
        <v>0</v>
      </c>
      <c r="M137" s="156">
        <f t="shared" si="42"/>
        <v>0</v>
      </c>
      <c r="N137" s="156">
        <f t="shared" si="42"/>
        <v>0</v>
      </c>
      <c r="O137" s="156">
        <f t="shared" si="42"/>
        <v>0</v>
      </c>
      <c r="P137" s="156">
        <f t="shared" si="42"/>
        <v>0</v>
      </c>
      <c r="Q137" s="156">
        <f t="shared" si="42"/>
        <v>0</v>
      </c>
      <c r="R137" s="156">
        <f t="shared" si="42"/>
        <v>0</v>
      </c>
      <c r="S137" s="156">
        <f t="shared" si="42"/>
        <v>0</v>
      </c>
      <c r="T137" s="156">
        <f t="shared" si="42"/>
        <v>0</v>
      </c>
      <c r="U137" s="156">
        <f t="shared" si="42"/>
        <v>0</v>
      </c>
      <c r="V137" s="156">
        <f t="shared" si="42"/>
        <v>0</v>
      </c>
      <c r="W137" s="156">
        <f t="shared" si="42"/>
        <v>0</v>
      </c>
      <c r="X137" s="156">
        <f t="shared" si="42"/>
        <v>0</v>
      </c>
      <c r="Y137" s="156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99" customFormat="1">
      <c r="A138" s="199" t="s">
        <v>67</v>
      </c>
      <c r="F138" s="272">
        <f t="shared" ref="F138:Y138" si="43">SUM(F33:F35)</f>
        <v>0</v>
      </c>
      <c r="G138" s="272">
        <f t="shared" si="43"/>
        <v>0</v>
      </c>
      <c r="H138" s="272">
        <f t="shared" si="43"/>
        <v>0</v>
      </c>
      <c r="I138" s="272">
        <f t="shared" si="43"/>
        <v>0</v>
      </c>
      <c r="J138" s="272">
        <f t="shared" si="43"/>
        <v>0</v>
      </c>
      <c r="K138" s="272">
        <f t="shared" si="43"/>
        <v>0</v>
      </c>
      <c r="L138" s="272">
        <f t="shared" si="43"/>
        <v>0</v>
      </c>
      <c r="M138" s="272">
        <f t="shared" si="43"/>
        <v>0</v>
      </c>
      <c r="N138" s="272">
        <f t="shared" si="43"/>
        <v>0</v>
      </c>
      <c r="O138" s="272">
        <f t="shared" si="43"/>
        <v>0</v>
      </c>
      <c r="P138" s="272">
        <f t="shared" si="43"/>
        <v>0</v>
      </c>
      <c r="Q138" s="272">
        <f t="shared" si="43"/>
        <v>0</v>
      </c>
      <c r="R138" s="272">
        <f t="shared" si="43"/>
        <v>0</v>
      </c>
      <c r="S138" s="272">
        <f t="shared" si="43"/>
        <v>0</v>
      </c>
      <c r="T138" s="272">
        <f t="shared" si="43"/>
        <v>0</v>
      </c>
      <c r="U138" s="272">
        <f t="shared" si="43"/>
        <v>0</v>
      </c>
      <c r="V138" s="272">
        <f t="shared" si="43"/>
        <v>0</v>
      </c>
      <c r="W138" s="272">
        <f t="shared" si="43"/>
        <v>0</v>
      </c>
      <c r="X138" s="272">
        <f t="shared" si="43"/>
        <v>0</v>
      </c>
      <c r="Y138" s="272">
        <f t="shared" si="43"/>
        <v>0</v>
      </c>
      <c r="AA138" s="355">
        <f t="shared" si="28"/>
        <v>0</v>
      </c>
      <c r="AB138" s="356">
        <f t="shared" si="41"/>
        <v>0</v>
      </c>
    </row>
    <row r="139" spans="1:28" s="199" customFormat="1">
      <c r="A139" s="199" t="s">
        <v>68</v>
      </c>
      <c r="F139" s="244">
        <f>F137+F138</f>
        <v>0</v>
      </c>
      <c r="G139" s="244">
        <f t="shared" ref="G139:Y139" si="44">G137+G138</f>
        <v>0</v>
      </c>
      <c r="H139" s="244">
        <f t="shared" si="44"/>
        <v>0</v>
      </c>
      <c r="I139" s="244">
        <f t="shared" si="44"/>
        <v>0</v>
      </c>
      <c r="J139" s="244">
        <f t="shared" si="44"/>
        <v>0</v>
      </c>
      <c r="K139" s="244">
        <f t="shared" si="44"/>
        <v>0</v>
      </c>
      <c r="L139" s="244">
        <f t="shared" si="44"/>
        <v>0</v>
      </c>
      <c r="M139" s="244">
        <f t="shared" si="44"/>
        <v>0</v>
      </c>
      <c r="N139" s="244">
        <f t="shared" si="44"/>
        <v>0</v>
      </c>
      <c r="O139" s="244">
        <f t="shared" si="44"/>
        <v>0</v>
      </c>
      <c r="P139" s="244">
        <f t="shared" si="44"/>
        <v>0</v>
      </c>
      <c r="Q139" s="244">
        <f t="shared" si="44"/>
        <v>0</v>
      </c>
      <c r="R139" s="244">
        <f t="shared" si="44"/>
        <v>0</v>
      </c>
      <c r="S139" s="244">
        <f t="shared" si="44"/>
        <v>0</v>
      </c>
      <c r="T139" s="244">
        <f t="shared" si="44"/>
        <v>0</v>
      </c>
      <c r="U139" s="244">
        <f t="shared" si="44"/>
        <v>0</v>
      </c>
      <c r="V139" s="244">
        <f t="shared" si="44"/>
        <v>0</v>
      </c>
      <c r="W139" s="244">
        <f t="shared" si="44"/>
        <v>0</v>
      </c>
      <c r="X139" s="244">
        <f t="shared" si="44"/>
        <v>0</v>
      </c>
      <c r="Y139" s="244">
        <f t="shared" si="44"/>
        <v>0</v>
      </c>
      <c r="AA139" s="355">
        <f t="shared" si="28"/>
        <v>0</v>
      </c>
      <c r="AB139" s="356">
        <f t="shared" si="41"/>
        <v>0</v>
      </c>
    </row>
    <row r="140" spans="1:28" s="199" customFormat="1">
      <c r="A140" s="199" t="s">
        <v>69</v>
      </c>
      <c r="C140" s="273">
        <f>C126</f>
        <v>0.05</v>
      </c>
      <c r="F140" s="244">
        <f>F139*$C$140</f>
        <v>0</v>
      </c>
      <c r="G140" s="244">
        <f t="shared" ref="G140:Y140" si="45">G139*$C$140</f>
        <v>0</v>
      </c>
      <c r="H140" s="244">
        <f t="shared" si="45"/>
        <v>0</v>
      </c>
      <c r="I140" s="244">
        <f t="shared" si="45"/>
        <v>0</v>
      </c>
      <c r="J140" s="244">
        <f t="shared" si="45"/>
        <v>0</v>
      </c>
      <c r="K140" s="244">
        <f t="shared" si="45"/>
        <v>0</v>
      </c>
      <c r="L140" s="244">
        <f t="shared" si="45"/>
        <v>0</v>
      </c>
      <c r="M140" s="244">
        <f t="shared" si="45"/>
        <v>0</v>
      </c>
      <c r="N140" s="244">
        <f t="shared" si="45"/>
        <v>0</v>
      </c>
      <c r="O140" s="244">
        <f t="shared" si="45"/>
        <v>0</v>
      </c>
      <c r="P140" s="244">
        <f t="shared" si="45"/>
        <v>0</v>
      </c>
      <c r="Q140" s="244">
        <f t="shared" si="45"/>
        <v>0</v>
      </c>
      <c r="R140" s="244">
        <f t="shared" si="45"/>
        <v>0</v>
      </c>
      <c r="S140" s="244">
        <f t="shared" si="45"/>
        <v>0</v>
      </c>
      <c r="T140" s="244">
        <f t="shared" si="45"/>
        <v>0</v>
      </c>
      <c r="U140" s="244">
        <f t="shared" si="45"/>
        <v>0</v>
      </c>
      <c r="V140" s="244">
        <f t="shared" si="45"/>
        <v>0</v>
      </c>
      <c r="W140" s="244">
        <f t="shared" si="45"/>
        <v>0</v>
      </c>
      <c r="X140" s="244">
        <f t="shared" si="45"/>
        <v>0</v>
      </c>
      <c r="Y140" s="244">
        <f t="shared" si="45"/>
        <v>0</v>
      </c>
      <c r="AA140" s="355">
        <f t="shared" si="28"/>
        <v>0</v>
      </c>
      <c r="AB140" s="356">
        <f t="shared" si="41"/>
        <v>0</v>
      </c>
    </row>
    <row r="141" spans="1:28" s="199" customFormat="1">
      <c r="A141" s="199" t="s">
        <v>70</v>
      </c>
      <c r="C141" s="273">
        <f>C127</f>
        <v>0.35</v>
      </c>
      <c r="F141" s="272">
        <f>(F139-F140)*$C$141</f>
        <v>0</v>
      </c>
      <c r="G141" s="272">
        <f t="shared" ref="G141:Y141" si="46">(G139-G140)*$C$141</f>
        <v>0</v>
      </c>
      <c r="H141" s="272">
        <f t="shared" si="46"/>
        <v>0</v>
      </c>
      <c r="I141" s="272">
        <f t="shared" si="46"/>
        <v>0</v>
      </c>
      <c r="J141" s="272">
        <f t="shared" si="46"/>
        <v>0</v>
      </c>
      <c r="K141" s="272">
        <f t="shared" si="46"/>
        <v>0</v>
      </c>
      <c r="L141" s="272">
        <f t="shared" si="46"/>
        <v>0</v>
      </c>
      <c r="M141" s="272">
        <f t="shared" si="46"/>
        <v>0</v>
      </c>
      <c r="N141" s="272">
        <f t="shared" si="46"/>
        <v>0</v>
      </c>
      <c r="O141" s="272">
        <f t="shared" si="46"/>
        <v>0</v>
      </c>
      <c r="P141" s="272">
        <f t="shared" si="46"/>
        <v>0</v>
      </c>
      <c r="Q141" s="272">
        <f t="shared" si="46"/>
        <v>0</v>
      </c>
      <c r="R141" s="272">
        <f t="shared" si="46"/>
        <v>0</v>
      </c>
      <c r="S141" s="272">
        <f t="shared" si="46"/>
        <v>0</v>
      </c>
      <c r="T141" s="272">
        <f t="shared" si="46"/>
        <v>0</v>
      </c>
      <c r="U141" s="272">
        <f t="shared" si="46"/>
        <v>0</v>
      </c>
      <c r="V141" s="272">
        <f t="shared" si="46"/>
        <v>0</v>
      </c>
      <c r="W141" s="272">
        <f t="shared" si="46"/>
        <v>0</v>
      </c>
      <c r="X141" s="272">
        <f t="shared" si="46"/>
        <v>0</v>
      </c>
      <c r="Y141" s="272">
        <f t="shared" si="46"/>
        <v>0</v>
      </c>
      <c r="AA141" s="355">
        <f t="shared" si="28"/>
        <v>0</v>
      </c>
      <c r="AB141" s="356">
        <f t="shared" si="41"/>
        <v>0</v>
      </c>
    </row>
    <row r="142" spans="1:28" s="199" customFormat="1">
      <c r="A142" s="199" t="s">
        <v>71</v>
      </c>
      <c r="F142" s="244">
        <f>F139-F140-F141</f>
        <v>0</v>
      </c>
      <c r="G142" s="244">
        <f t="shared" ref="G142:Y142" si="47">G139-G140-G141</f>
        <v>0</v>
      </c>
      <c r="H142" s="244">
        <f t="shared" si="47"/>
        <v>0</v>
      </c>
      <c r="I142" s="244">
        <f t="shared" si="47"/>
        <v>0</v>
      </c>
      <c r="J142" s="244">
        <f t="shared" si="47"/>
        <v>0</v>
      </c>
      <c r="K142" s="244">
        <f t="shared" si="47"/>
        <v>0</v>
      </c>
      <c r="L142" s="244">
        <f t="shared" si="47"/>
        <v>0</v>
      </c>
      <c r="M142" s="244">
        <f t="shared" si="47"/>
        <v>0</v>
      </c>
      <c r="N142" s="244">
        <f t="shared" si="47"/>
        <v>0</v>
      </c>
      <c r="O142" s="244">
        <f t="shared" si="47"/>
        <v>0</v>
      </c>
      <c r="P142" s="244">
        <f t="shared" si="47"/>
        <v>0</v>
      </c>
      <c r="Q142" s="244">
        <f t="shared" si="47"/>
        <v>0</v>
      </c>
      <c r="R142" s="244">
        <f t="shared" si="47"/>
        <v>0</v>
      </c>
      <c r="S142" s="244">
        <f t="shared" si="47"/>
        <v>0</v>
      </c>
      <c r="T142" s="244">
        <f t="shared" si="47"/>
        <v>0</v>
      </c>
      <c r="U142" s="244">
        <f t="shared" si="47"/>
        <v>0</v>
      </c>
      <c r="V142" s="244">
        <f t="shared" si="47"/>
        <v>0</v>
      </c>
      <c r="W142" s="244">
        <f t="shared" si="47"/>
        <v>0</v>
      </c>
      <c r="X142" s="244">
        <f t="shared" si="47"/>
        <v>0</v>
      </c>
      <c r="Y142" s="244">
        <f t="shared" si="47"/>
        <v>0</v>
      </c>
      <c r="AA142" s="355">
        <f t="shared" si="28"/>
        <v>0</v>
      </c>
      <c r="AB142" s="356">
        <f t="shared" si="41"/>
        <v>0</v>
      </c>
    </row>
    <row r="143" spans="1:28" s="199" customFormat="1">
      <c r="AA143" s="355">
        <f t="shared" si="28"/>
        <v>0</v>
      </c>
      <c r="AB143" s="356">
        <f t="shared" si="41"/>
        <v>0</v>
      </c>
    </row>
    <row r="144" spans="1:28" s="199" customFormat="1">
      <c r="A144" s="271" t="str">
        <f>A76</f>
        <v>Net Income to FPLE</v>
      </c>
      <c r="F144" s="274">
        <f>F76</f>
        <v>305.32005777767631</v>
      </c>
      <c r="G144" s="274">
        <f t="shared" ref="G144:Y144" si="48">G76</f>
        <v>235.2974236726333</v>
      </c>
      <c r="H144" s="274">
        <f t="shared" si="48"/>
        <v>241.04887734654676</v>
      </c>
      <c r="I144" s="274">
        <f t="shared" si="48"/>
        <v>242.85488808431359</v>
      </c>
      <c r="J144" s="274">
        <f t="shared" si="48"/>
        <v>250.24913870654669</v>
      </c>
      <c r="K144" s="274">
        <f t="shared" si="48"/>
        <v>255.33036116006969</v>
      </c>
      <c r="L144" s="274">
        <f t="shared" si="48"/>
        <v>260.68690087483947</v>
      </c>
      <c r="M144" s="274">
        <f t="shared" si="48"/>
        <v>271.3584660874393</v>
      </c>
      <c r="N144" s="274">
        <f t="shared" si="48"/>
        <v>275.33666604837367</v>
      </c>
      <c r="O144" s="274">
        <f t="shared" si="48"/>
        <v>279.67047979223923</v>
      </c>
      <c r="P144" s="274">
        <f t="shared" si="48"/>
        <v>284.07690496641362</v>
      </c>
      <c r="Q144" s="274">
        <f t="shared" si="48"/>
        <v>297.1343062530018</v>
      </c>
      <c r="R144" s="274">
        <f t="shared" si="48"/>
        <v>295.53958753896825</v>
      </c>
      <c r="S144" s="274">
        <f t="shared" si="48"/>
        <v>293.95375439972361</v>
      </c>
      <c r="T144" s="274">
        <f t="shared" si="48"/>
        <v>292.08679910237311</v>
      </c>
      <c r="U144" s="274">
        <f t="shared" si="48"/>
        <v>290.20316093607079</v>
      </c>
      <c r="V144" s="274">
        <f t="shared" si="48"/>
        <v>0</v>
      </c>
      <c r="W144" s="274">
        <f t="shared" si="48"/>
        <v>0</v>
      </c>
      <c r="X144" s="274">
        <f t="shared" si="48"/>
        <v>0</v>
      </c>
      <c r="Y144" s="274">
        <f t="shared" si="48"/>
        <v>0</v>
      </c>
      <c r="AA144" s="355">
        <f t="shared" si="28"/>
        <v>4370.1477727472293</v>
      </c>
      <c r="AB144" s="356">
        <f t="shared" si="41"/>
        <v>4370.1477727472293</v>
      </c>
    </row>
    <row r="145" spans="1:28" s="199" customFormat="1">
      <c r="A145" s="264" t="s">
        <v>79</v>
      </c>
      <c r="F145" s="262">
        <f>F142+F144</f>
        <v>305.32005777767631</v>
      </c>
      <c r="G145" s="262">
        <f t="shared" ref="G145:Y145" si="49">G142+G144</f>
        <v>235.2974236726333</v>
      </c>
      <c r="H145" s="262">
        <f t="shared" si="49"/>
        <v>241.04887734654676</v>
      </c>
      <c r="I145" s="262">
        <f t="shared" si="49"/>
        <v>242.85488808431359</v>
      </c>
      <c r="J145" s="262">
        <f t="shared" si="49"/>
        <v>250.24913870654669</v>
      </c>
      <c r="K145" s="262">
        <f t="shared" si="49"/>
        <v>255.33036116006969</v>
      </c>
      <c r="L145" s="262">
        <f t="shared" si="49"/>
        <v>260.68690087483947</v>
      </c>
      <c r="M145" s="262">
        <f t="shared" si="49"/>
        <v>271.3584660874393</v>
      </c>
      <c r="N145" s="262">
        <f t="shared" si="49"/>
        <v>275.33666604837367</v>
      </c>
      <c r="O145" s="262">
        <f t="shared" si="49"/>
        <v>279.67047979223923</v>
      </c>
      <c r="P145" s="262">
        <f t="shared" si="49"/>
        <v>284.07690496641362</v>
      </c>
      <c r="Q145" s="262">
        <f t="shared" si="49"/>
        <v>297.1343062530018</v>
      </c>
      <c r="R145" s="262">
        <f t="shared" si="49"/>
        <v>295.53958753896825</v>
      </c>
      <c r="S145" s="262">
        <f t="shared" si="49"/>
        <v>293.95375439972361</v>
      </c>
      <c r="T145" s="262">
        <f t="shared" si="49"/>
        <v>292.08679910237311</v>
      </c>
      <c r="U145" s="262">
        <f t="shared" si="49"/>
        <v>290.20316093607079</v>
      </c>
      <c r="V145" s="262">
        <f t="shared" si="49"/>
        <v>0</v>
      </c>
      <c r="W145" s="262">
        <f t="shared" si="49"/>
        <v>0</v>
      </c>
      <c r="X145" s="262">
        <f t="shared" si="49"/>
        <v>0</v>
      </c>
      <c r="Y145" s="262">
        <f t="shared" si="49"/>
        <v>0</v>
      </c>
      <c r="AA145" s="355">
        <f t="shared" si="28"/>
        <v>4370.1477727472293</v>
      </c>
      <c r="AB145" s="356">
        <f t="shared" si="41"/>
        <v>4370.1477727472293</v>
      </c>
    </row>
    <row r="146" spans="1:28" s="199" customFormat="1">
      <c r="AA146" s="355">
        <f t="shared" si="28"/>
        <v>0</v>
      </c>
      <c r="AB146" s="356">
        <f t="shared" si="41"/>
        <v>0</v>
      </c>
    </row>
    <row r="147" spans="1:28" s="199" customFormat="1">
      <c r="AA147" s="355">
        <f t="shared" si="28"/>
        <v>0</v>
      </c>
      <c r="AB147" s="356">
        <f t="shared" si="41"/>
        <v>0</v>
      </c>
    </row>
    <row r="148" spans="1:28" s="199" customFormat="1">
      <c r="AA148" s="355">
        <f t="shared" si="28"/>
        <v>0</v>
      </c>
      <c r="AB148" s="356">
        <f t="shared" si="41"/>
        <v>0</v>
      </c>
    </row>
    <row r="149" spans="1:28" s="199" customFormat="1">
      <c r="A149" s="275" t="s">
        <v>110</v>
      </c>
      <c r="AA149" s="355">
        <f t="shared" si="28"/>
        <v>0</v>
      </c>
      <c r="AB149" s="356">
        <f t="shared" si="41"/>
        <v>0</v>
      </c>
    </row>
    <row r="150" spans="1:28" s="199" customFormat="1">
      <c r="A150" s="271" t="str">
        <f>A142</f>
        <v xml:space="preserve">  Net Income from Interest and Fee to FPLE</v>
      </c>
      <c r="F150" s="240">
        <f>F142</f>
        <v>0</v>
      </c>
      <c r="G150" s="240">
        <f t="shared" ref="G150:Y150" si="50">G142</f>
        <v>0</v>
      </c>
      <c r="H150" s="240">
        <f t="shared" si="50"/>
        <v>0</v>
      </c>
      <c r="I150" s="240">
        <f t="shared" si="50"/>
        <v>0</v>
      </c>
      <c r="J150" s="240">
        <f t="shared" si="50"/>
        <v>0</v>
      </c>
      <c r="K150" s="240">
        <f t="shared" si="50"/>
        <v>0</v>
      </c>
      <c r="L150" s="240">
        <f t="shared" si="50"/>
        <v>0</v>
      </c>
      <c r="M150" s="240">
        <f t="shared" si="50"/>
        <v>0</v>
      </c>
      <c r="N150" s="240">
        <f t="shared" si="50"/>
        <v>0</v>
      </c>
      <c r="O150" s="240">
        <f t="shared" si="50"/>
        <v>0</v>
      </c>
      <c r="P150" s="240">
        <f t="shared" si="50"/>
        <v>0</v>
      </c>
      <c r="Q150" s="240">
        <f t="shared" si="50"/>
        <v>0</v>
      </c>
      <c r="R150" s="240">
        <f t="shared" si="50"/>
        <v>0</v>
      </c>
      <c r="S150" s="240">
        <f t="shared" si="50"/>
        <v>0</v>
      </c>
      <c r="T150" s="240">
        <f t="shared" si="50"/>
        <v>0</v>
      </c>
      <c r="U150" s="240">
        <f t="shared" si="50"/>
        <v>0</v>
      </c>
      <c r="V150" s="240">
        <f t="shared" si="50"/>
        <v>0</v>
      </c>
      <c r="W150" s="240">
        <f t="shared" si="50"/>
        <v>0</v>
      </c>
      <c r="X150" s="240">
        <f t="shared" si="50"/>
        <v>0</v>
      </c>
      <c r="Y150" s="240">
        <f t="shared" si="50"/>
        <v>0</v>
      </c>
      <c r="AA150" s="355">
        <f t="shared" si="28"/>
        <v>0</v>
      </c>
      <c r="AB150" s="356">
        <f t="shared" si="41"/>
        <v>0</v>
      </c>
    </row>
    <row r="151" spans="1:28" s="199" customFormat="1">
      <c r="A151" s="199" t="s">
        <v>111</v>
      </c>
      <c r="F151" s="276">
        <v>0</v>
      </c>
      <c r="G151" s="276">
        <v>0</v>
      </c>
      <c r="H151" s="276">
        <v>0</v>
      </c>
      <c r="I151" s="276">
        <v>0</v>
      </c>
      <c r="J151" s="276">
        <v>0</v>
      </c>
      <c r="K151" s="276">
        <v>0</v>
      </c>
      <c r="L151" s="276">
        <v>0</v>
      </c>
      <c r="M151" s="276">
        <v>0</v>
      </c>
      <c r="N151" s="276">
        <v>0</v>
      </c>
      <c r="O151" s="276">
        <v>0</v>
      </c>
      <c r="P151" s="276">
        <v>0</v>
      </c>
      <c r="Q151" s="276">
        <v>0</v>
      </c>
      <c r="R151" s="276">
        <v>0</v>
      </c>
      <c r="S151" s="276">
        <v>0</v>
      </c>
      <c r="T151" s="276">
        <v>0</v>
      </c>
      <c r="U151" s="276">
        <v>0</v>
      </c>
      <c r="V151" s="276">
        <v>0</v>
      </c>
      <c r="W151" s="276">
        <v>0</v>
      </c>
      <c r="X151" s="276">
        <v>0</v>
      </c>
      <c r="Y151" s="276">
        <v>0</v>
      </c>
      <c r="AA151" s="355">
        <f t="shared" si="28"/>
        <v>0</v>
      </c>
      <c r="AB151" s="356">
        <f t="shared" si="41"/>
        <v>0</v>
      </c>
    </row>
    <row r="152" spans="1:28" s="199" customFormat="1">
      <c r="F152" s="240">
        <f>F150+F151</f>
        <v>0</v>
      </c>
      <c r="G152" s="240">
        <f t="shared" ref="G152:Y152" si="51">G150+G151</f>
        <v>0</v>
      </c>
      <c r="H152" s="240">
        <f t="shared" si="51"/>
        <v>0</v>
      </c>
      <c r="I152" s="240">
        <f t="shared" si="51"/>
        <v>0</v>
      </c>
      <c r="J152" s="240">
        <f t="shared" si="51"/>
        <v>0</v>
      </c>
      <c r="K152" s="240">
        <f t="shared" si="51"/>
        <v>0</v>
      </c>
      <c r="L152" s="240">
        <f t="shared" si="51"/>
        <v>0</v>
      </c>
      <c r="M152" s="240">
        <f t="shared" si="51"/>
        <v>0</v>
      </c>
      <c r="N152" s="240">
        <f t="shared" si="51"/>
        <v>0</v>
      </c>
      <c r="O152" s="240">
        <f t="shared" si="51"/>
        <v>0</v>
      </c>
      <c r="P152" s="240">
        <f t="shared" si="51"/>
        <v>0</v>
      </c>
      <c r="Q152" s="240">
        <f t="shared" si="51"/>
        <v>0</v>
      </c>
      <c r="R152" s="240">
        <f t="shared" si="51"/>
        <v>0</v>
      </c>
      <c r="S152" s="240">
        <f t="shared" si="51"/>
        <v>0</v>
      </c>
      <c r="T152" s="240">
        <f t="shared" si="51"/>
        <v>0</v>
      </c>
      <c r="U152" s="240">
        <f t="shared" si="51"/>
        <v>0</v>
      </c>
      <c r="V152" s="240">
        <f t="shared" si="51"/>
        <v>0</v>
      </c>
      <c r="W152" s="240">
        <f t="shared" si="51"/>
        <v>0</v>
      </c>
      <c r="X152" s="240">
        <f t="shared" si="51"/>
        <v>0</v>
      </c>
      <c r="Y152" s="240">
        <f t="shared" si="51"/>
        <v>0</v>
      </c>
      <c r="AA152" s="355">
        <f t="shared" si="28"/>
        <v>0</v>
      </c>
    </row>
    <row r="153" spans="1:28" s="199" customFormat="1"/>
    <row r="154" spans="1:28" s="199" customFormat="1"/>
    <row r="155" spans="1:28" s="199" customFormat="1" ht="13.5" thickBot="1">
      <c r="A155" s="199" t="s">
        <v>46</v>
      </c>
      <c r="C155" s="244">
        <f>NPV(C156,F152:Y152)</f>
        <v>0</v>
      </c>
    </row>
    <row r="156" spans="1:28" s="199" customFormat="1" ht="13.5" thickBot="1">
      <c r="A156" s="199" t="s">
        <v>48</v>
      </c>
      <c r="C156" s="253">
        <f>C96</f>
        <v>0.09</v>
      </c>
    </row>
    <row r="157" spans="1:28" s="199" customFormat="1"/>
    <row r="158" spans="1:28" s="199" customFormat="1" ht="13.5" thickBot="1"/>
    <row r="159" spans="1:28" s="199" customFormat="1">
      <c r="A159" s="245" t="s">
        <v>72</v>
      </c>
      <c r="B159" s="277"/>
      <c r="C159" s="277"/>
      <c r="D159" s="278"/>
    </row>
    <row r="160" spans="1:28" s="199" customFormat="1">
      <c r="A160" s="279" t="s">
        <v>73</v>
      </c>
      <c r="B160" s="280"/>
      <c r="C160" s="280"/>
      <c r="D160" s="281">
        <f>-E92*C76</f>
        <v>6188.2038908639715</v>
      </c>
    </row>
    <row r="161" spans="1:25" s="199" customFormat="1">
      <c r="A161" s="279" t="s">
        <v>74</v>
      </c>
      <c r="B161" s="280"/>
      <c r="C161" s="280"/>
      <c r="D161" s="282">
        <v>0</v>
      </c>
      <c r="F161" s="283"/>
    </row>
    <row r="162" spans="1:25" s="199" customFormat="1">
      <c r="A162" s="279" t="s">
        <v>75</v>
      </c>
      <c r="B162" s="280"/>
      <c r="C162" s="280"/>
      <c r="D162" s="284">
        <f>C155-D161</f>
        <v>0</v>
      </c>
    </row>
    <row r="163" spans="1:25" s="199" customFormat="1" ht="13.5" thickBot="1">
      <c r="A163" s="285" t="s">
        <v>76</v>
      </c>
      <c r="B163" s="239"/>
      <c r="C163" s="239"/>
      <c r="D163" s="286">
        <f>SUM(D160:D162)</f>
        <v>6188.2038908639715</v>
      </c>
    </row>
    <row r="164" spans="1:25" outlineLevel="1">
      <c r="A164" s="212"/>
      <c r="B164" s="194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outlineLevel="1">
      <c r="A165" s="194"/>
      <c r="B165" s="194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outlineLevel="1">
      <c r="A166" s="194"/>
      <c r="B166" s="194"/>
      <c r="C166" s="237"/>
      <c r="D166" s="194"/>
      <c r="E166" s="194"/>
      <c r="F166" s="194"/>
      <c r="G166" s="194"/>
      <c r="H166" s="237"/>
      <c r="I166" s="194"/>
      <c r="J166" s="194"/>
      <c r="K166" s="194"/>
      <c r="L166" s="194"/>
      <c r="M166" s="237"/>
      <c r="N166" s="237"/>
      <c r="O166" s="237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>
      <c r="A167" s="194"/>
      <c r="B167" s="194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P167" s="200"/>
      <c r="Q167" s="200"/>
      <c r="R167" s="200"/>
      <c r="S167" s="200"/>
      <c r="T167" s="200"/>
      <c r="U167" s="200"/>
      <c r="V167" s="200"/>
      <c r="W167" s="200"/>
      <c r="X167" s="200"/>
      <c r="Y167" s="200"/>
    </row>
    <row r="168" spans="1:25" outlineLevel="1">
      <c r="A168" s="194"/>
      <c r="B168" s="194"/>
      <c r="C168" s="237"/>
      <c r="D168" s="237"/>
      <c r="E168" s="237"/>
      <c r="F168" s="237"/>
      <c r="G168" s="194"/>
      <c r="H168" s="237"/>
      <c r="I168" s="237"/>
      <c r="J168" s="237"/>
      <c r="K168" s="237"/>
      <c r="L168" s="237"/>
      <c r="M168" s="237"/>
      <c r="N168" s="237"/>
      <c r="O168" s="237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outlineLevel="1">
      <c r="A169" s="194"/>
      <c r="B169" s="194"/>
      <c r="C169" s="237"/>
      <c r="D169" s="237"/>
      <c r="E169" s="237"/>
      <c r="F169" s="237"/>
      <c r="G169" s="194"/>
      <c r="H169" s="237"/>
      <c r="I169" s="237"/>
      <c r="J169" s="237"/>
      <c r="K169" s="237"/>
      <c r="L169" s="237"/>
      <c r="M169" s="237"/>
      <c r="N169" s="237"/>
      <c r="O169" s="237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outlineLevel="1">
      <c r="A170" s="194"/>
      <c r="B170" s="194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outlineLevel="1">
      <c r="A171" s="194"/>
      <c r="B171" s="194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outlineLevel="1">
      <c r="A172" s="194"/>
      <c r="B172" s="194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outlineLevel="1">
      <c r="A173" s="212"/>
      <c r="B173" s="194"/>
      <c r="C173" s="237"/>
      <c r="D173" s="237"/>
      <c r="E173" s="237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outlineLevel="1">
      <c r="A174" s="212"/>
      <c r="B174" s="194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outlineLevel="1">
      <c r="A175" s="194"/>
      <c r="B175" s="194"/>
      <c r="C175" s="237"/>
      <c r="D175" s="237"/>
      <c r="E175" s="237"/>
      <c r="F175" s="237"/>
      <c r="G175" s="237"/>
      <c r="H175" s="237"/>
      <c r="I175" s="237"/>
      <c r="J175" s="237"/>
      <c r="K175" s="237"/>
      <c r="L175" s="237"/>
      <c r="M175" s="237"/>
      <c r="N175" s="237"/>
      <c r="O175" s="237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outlineLevel="1">
      <c r="A176" s="212"/>
      <c r="B176" s="194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outlineLevel="1">
      <c r="A177" s="194"/>
      <c r="B177" s="194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outlineLevel="1">
      <c r="A178" s="194"/>
      <c r="B178" s="212"/>
      <c r="C178" s="287"/>
      <c r="D178" s="287"/>
      <c r="E178" s="287"/>
      <c r="F178" s="287"/>
      <c r="G178" s="287"/>
      <c r="H178" s="287"/>
      <c r="I178" s="287"/>
      <c r="J178" s="287"/>
      <c r="K178" s="287"/>
      <c r="L178" s="287"/>
      <c r="M178" s="287"/>
      <c r="N178" s="287"/>
      <c r="O178" s="287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outlineLevel="1">
      <c r="A179" s="194"/>
      <c r="B179" s="212"/>
      <c r="C179" s="287"/>
      <c r="D179" s="287"/>
      <c r="E179" s="287"/>
      <c r="F179" s="287"/>
      <c r="G179" s="287"/>
      <c r="H179" s="287"/>
      <c r="I179" s="287"/>
      <c r="J179" s="287"/>
      <c r="K179" s="287"/>
      <c r="L179" s="287"/>
      <c r="M179" s="287"/>
      <c r="N179" s="287"/>
      <c r="O179" s="287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outlineLevel="1">
      <c r="A180" s="212"/>
      <c r="B180" s="212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outlineLevel="1">
      <c r="A181" s="212"/>
      <c r="B181" s="194"/>
      <c r="C181" s="287"/>
      <c r="D181" s="287"/>
      <c r="E181" s="287"/>
      <c r="F181" s="287"/>
      <c r="G181" s="287"/>
      <c r="H181" s="287"/>
      <c r="I181" s="287"/>
      <c r="J181" s="287"/>
      <c r="K181" s="287"/>
      <c r="L181" s="287"/>
      <c r="M181" s="287"/>
      <c r="N181" s="287"/>
      <c r="O181" s="287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outlineLevel="1">
      <c r="A182" s="212"/>
      <c r="B182" s="194"/>
      <c r="C182" s="287"/>
      <c r="D182" s="287"/>
      <c r="E182" s="287"/>
      <c r="F182" s="287"/>
      <c r="G182" s="287"/>
      <c r="H182" s="287"/>
      <c r="I182" s="287"/>
      <c r="J182" s="287"/>
      <c r="K182" s="287"/>
      <c r="L182" s="287"/>
      <c r="M182" s="287"/>
      <c r="N182" s="287"/>
      <c r="O182" s="287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outlineLevel="1">
      <c r="A183" s="194"/>
      <c r="B183" s="212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3.5" outlineLevel="1">
      <c r="A184" s="236"/>
      <c r="B184" s="194"/>
      <c r="C184" s="194"/>
      <c r="D184" s="237"/>
      <c r="E184" s="194"/>
      <c r="F184" s="194"/>
      <c r="G184" s="237"/>
      <c r="H184" s="194"/>
      <c r="I184" s="194"/>
      <c r="J184" s="194"/>
      <c r="K184" s="194"/>
      <c r="L184" s="194"/>
      <c r="M184" s="194"/>
      <c r="N184" s="194"/>
      <c r="O184" s="194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outlineLevel="1">
      <c r="A185" s="212"/>
      <c r="B185" s="194"/>
      <c r="C185" s="288"/>
      <c r="D185" s="237"/>
      <c r="E185" s="237"/>
      <c r="F185" s="237"/>
      <c r="G185" s="289"/>
      <c r="H185" s="290"/>
      <c r="I185" s="290"/>
      <c r="J185" s="290"/>
      <c r="K185" s="290"/>
      <c r="L185" s="290"/>
      <c r="M185" s="290"/>
      <c r="N185" s="290"/>
      <c r="O185" s="290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outlineLevel="1">
      <c r="A186" s="212"/>
      <c r="B186" s="291"/>
      <c r="C186" s="292"/>
      <c r="D186" s="292"/>
      <c r="E186" s="292"/>
      <c r="F186" s="292"/>
      <c r="G186" s="292"/>
      <c r="H186" s="292"/>
      <c r="I186" s="292"/>
      <c r="J186" s="292"/>
      <c r="K186" s="292"/>
      <c r="L186" s="292"/>
      <c r="M186" s="292"/>
      <c r="N186" s="292"/>
      <c r="O186" s="292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outlineLevel="1">
      <c r="A187" s="291"/>
      <c r="B187" s="291"/>
      <c r="C187" s="292"/>
      <c r="D187" s="292"/>
      <c r="E187" s="292"/>
      <c r="F187" s="292"/>
      <c r="G187" s="292"/>
      <c r="H187" s="292"/>
      <c r="I187" s="292"/>
      <c r="J187" s="292"/>
      <c r="K187" s="292"/>
      <c r="L187" s="292"/>
      <c r="M187" s="292"/>
      <c r="N187" s="292"/>
      <c r="O187" s="292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outlineLevel="1">
      <c r="A188" s="291"/>
      <c r="B188" s="291"/>
      <c r="C188" s="292"/>
      <c r="D188" s="292"/>
      <c r="E188" s="292"/>
      <c r="F188" s="292"/>
      <c r="G188" s="292"/>
      <c r="H188" s="292"/>
      <c r="I188" s="292"/>
      <c r="J188" s="292"/>
      <c r="K188" s="292"/>
      <c r="L188" s="292"/>
      <c r="M188" s="292"/>
      <c r="N188" s="292"/>
      <c r="O188" s="292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outlineLevel="1">
      <c r="A189" s="291"/>
      <c r="B189" s="194"/>
      <c r="C189" s="237"/>
      <c r="D189" s="237"/>
      <c r="E189" s="237"/>
      <c r="F189" s="237"/>
      <c r="G189" s="237"/>
      <c r="H189" s="237"/>
      <c r="I189" s="237"/>
      <c r="J189" s="237"/>
      <c r="K189" s="237"/>
      <c r="L189" s="237"/>
      <c r="M189" s="237"/>
      <c r="N189" s="237"/>
      <c r="O189" s="237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outlineLevel="1">
      <c r="A190" s="194"/>
      <c r="B190" s="212"/>
      <c r="C190" s="287"/>
      <c r="D190" s="287"/>
      <c r="E190" s="287"/>
      <c r="F190" s="287"/>
      <c r="G190" s="287"/>
      <c r="H190" s="287"/>
      <c r="I190" s="287"/>
      <c r="J190" s="287"/>
      <c r="K190" s="287"/>
      <c r="L190" s="287"/>
      <c r="M190" s="287"/>
      <c r="N190" s="287"/>
      <c r="O190" s="287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outlineLevel="1">
      <c r="A191" s="212"/>
      <c r="B191" s="212"/>
      <c r="C191" s="287"/>
      <c r="D191" s="287"/>
      <c r="E191" s="287"/>
      <c r="F191" s="287"/>
      <c r="G191" s="287"/>
      <c r="H191" s="287"/>
      <c r="I191" s="287"/>
      <c r="J191" s="287"/>
      <c r="K191" s="287"/>
      <c r="L191" s="287"/>
      <c r="M191" s="287"/>
      <c r="N191" s="287"/>
      <c r="O191" s="287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outlineLevel="1">
      <c r="A192" s="212"/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outlineLevel="1">
      <c r="A193" s="194"/>
      <c r="B193" s="194"/>
      <c r="C193" s="194"/>
      <c r="D193" s="194"/>
      <c r="E193" s="194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outlineLevel="1">
      <c r="A194" s="194"/>
      <c r="B194" s="212"/>
      <c r="C194" s="287"/>
      <c r="D194" s="287"/>
      <c r="E194" s="287"/>
      <c r="F194" s="287"/>
      <c r="G194" s="287"/>
      <c r="H194" s="287"/>
      <c r="I194" s="287"/>
      <c r="J194" s="287"/>
      <c r="K194" s="287"/>
      <c r="L194" s="287"/>
      <c r="M194" s="287"/>
      <c r="N194" s="287"/>
      <c r="O194" s="287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outlineLevel="1">
      <c r="A195" s="212"/>
      <c r="B195" s="194"/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37"/>
      <c r="O195" s="237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outlineLevel="1">
      <c r="A196" s="293"/>
      <c r="B196" s="194"/>
      <c r="C196" s="194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outlineLevel="1">
      <c r="A197" s="41"/>
      <c r="B197" s="194"/>
      <c r="C197" s="194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outlineLevel="1">
      <c r="A198" s="41"/>
      <c r="B198" s="194"/>
      <c r="C198" s="194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outlineLevel="1">
      <c r="A199" s="41"/>
      <c r="B199" s="194"/>
      <c r="C199" s="194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outlineLevel="1">
      <c r="A200" s="41"/>
      <c r="B200" s="194"/>
      <c r="C200" s="194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outlineLevel="1">
      <c r="A201" s="41"/>
      <c r="B201" s="194"/>
      <c r="C201" s="194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outlineLevel="1">
      <c r="A202" s="41"/>
      <c r="B202" s="194"/>
      <c r="C202" s="194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outlineLevel="1">
      <c r="A203" s="41"/>
      <c r="B203" s="194"/>
      <c r="C203" s="194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outlineLevel="1">
      <c r="A204" s="294"/>
      <c r="B204" s="194"/>
      <c r="C204" s="194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outlineLevel="1">
      <c r="A205" s="41"/>
      <c r="B205" s="194"/>
      <c r="C205" s="194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outlineLevel="1">
      <c r="A206" s="41"/>
      <c r="B206" s="194"/>
      <c r="C206" s="194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outlineLevel="1">
      <c r="A207" s="41"/>
      <c r="B207" s="194"/>
      <c r="C207" s="194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outlineLevel="1">
      <c r="A208" s="41"/>
      <c r="B208" s="194"/>
      <c r="C208" s="194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outlineLevel="1">
      <c r="A209" s="41"/>
      <c r="B209" s="194"/>
      <c r="C209" s="194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outlineLevel="1">
      <c r="A210" s="41"/>
      <c r="B210" s="194"/>
      <c r="C210" s="194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outlineLevel="1">
      <c r="A211" s="41"/>
      <c r="B211" s="194"/>
      <c r="C211" s="194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outlineLevel="1">
      <c r="A212" s="41"/>
      <c r="B212" s="194"/>
      <c r="C212" s="194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outlineLevel="1">
      <c r="A213" s="41"/>
      <c r="B213" s="194"/>
      <c r="C213" s="194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outlineLevel="1">
      <c r="A214" s="41"/>
      <c r="B214" s="194"/>
      <c r="C214" s="194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outlineLevel="1">
      <c r="A215" s="41"/>
      <c r="B215" s="194"/>
      <c r="C215" s="194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outlineLevel="1">
      <c r="A216" s="293"/>
      <c r="B216" s="194"/>
      <c r="C216" s="194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outlineLevel="1">
      <c r="A217" s="294"/>
      <c r="B217" s="194"/>
      <c r="C217" s="194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outlineLevel="1">
      <c r="A218" s="294"/>
      <c r="B218" s="194"/>
      <c r="C218" s="194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5" customHeight="1" outlineLevel="1">
      <c r="A219" s="294"/>
      <c r="B219" s="194"/>
      <c r="C219" s="194"/>
      <c r="D219" s="194"/>
      <c r="E219" s="232"/>
      <c r="F219" s="232"/>
      <c r="G219" s="232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outlineLevel="1">
      <c r="A220" s="294"/>
      <c r="B220" s="194"/>
      <c r="C220" s="194"/>
      <c r="D220" s="194"/>
      <c r="E220" s="232"/>
      <c r="F220" s="232"/>
      <c r="G220" s="232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4.25" customHeight="1" outlineLevel="1">
      <c r="A221" s="294"/>
      <c r="B221" s="194"/>
      <c r="C221" s="194"/>
      <c r="D221" s="194"/>
      <c r="E221" s="232"/>
      <c r="F221" s="232"/>
      <c r="G221" s="232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outlineLevel="1">
      <c r="A222" s="294"/>
      <c r="B222" s="194"/>
      <c r="C222" s="194"/>
      <c r="D222" s="194"/>
      <c r="E222" s="232"/>
      <c r="F222" s="232"/>
      <c r="G222" s="232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outlineLevel="1">
      <c r="A223" s="294"/>
      <c r="B223" s="194"/>
      <c r="C223" s="194"/>
      <c r="D223" s="194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  <c r="Q223" s="232"/>
      <c r="R223" s="232"/>
      <c r="S223" s="232"/>
      <c r="T223" s="232"/>
      <c r="U223" s="232"/>
      <c r="V223" s="232"/>
      <c r="W223" s="232"/>
      <c r="X223" s="232"/>
      <c r="Y223" s="232"/>
    </row>
    <row r="224" spans="1:25" outlineLevel="1">
      <c r="A224" s="295"/>
      <c r="B224" s="194"/>
      <c r="C224" s="194"/>
      <c r="D224" s="194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  <c r="Q224" s="232"/>
      <c r="R224" s="232"/>
      <c r="S224" s="232"/>
      <c r="T224" s="232"/>
      <c r="U224" s="232"/>
      <c r="V224" s="232"/>
      <c r="W224" s="232"/>
      <c r="X224" s="232"/>
      <c r="Y224" s="232"/>
    </row>
    <row r="225" spans="1:25" outlineLevel="1">
      <c r="A225" s="295"/>
      <c r="B225" s="194"/>
      <c r="C225" s="194"/>
      <c r="D225" s="194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  <c r="Q225" s="232"/>
      <c r="R225" s="232"/>
      <c r="S225" s="232"/>
      <c r="T225" s="232"/>
      <c r="U225" s="232"/>
      <c r="V225" s="232"/>
      <c r="W225" s="232"/>
      <c r="X225" s="232"/>
      <c r="Y225" s="232"/>
    </row>
    <row r="226" spans="1:25" outlineLevel="1">
      <c r="A226" s="295"/>
      <c r="B226" s="194"/>
      <c r="C226" s="194"/>
      <c r="D226" s="194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U226" s="232"/>
      <c r="V226" s="232"/>
      <c r="W226" s="232"/>
      <c r="X226" s="232"/>
      <c r="Y226" s="232"/>
    </row>
    <row r="227" spans="1:25" outlineLevel="1">
      <c r="A227" s="232"/>
      <c r="B227" s="194"/>
      <c r="C227" s="194"/>
      <c r="D227" s="194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  <c r="Q227" s="232"/>
      <c r="R227" s="232"/>
      <c r="S227" s="232"/>
      <c r="T227" s="232"/>
      <c r="U227" s="232"/>
      <c r="V227" s="232"/>
      <c r="W227" s="232"/>
      <c r="X227" s="232"/>
      <c r="Y227" s="232"/>
    </row>
    <row r="228" spans="1:25" outlineLevel="1">
      <c r="A228" s="194"/>
      <c r="B228" s="194"/>
      <c r="C228" s="194"/>
      <c r="D228" s="194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U228" s="232"/>
      <c r="V228" s="232"/>
      <c r="W228" s="232"/>
      <c r="X228" s="232"/>
      <c r="Y228" s="232"/>
    </row>
    <row r="229" spans="1:25" outlineLevel="1">
      <c r="A229" s="194"/>
      <c r="B229" s="194"/>
      <c r="C229" s="194"/>
      <c r="D229" s="194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32"/>
      <c r="T229" s="232"/>
      <c r="U229" s="232"/>
      <c r="V229" s="232"/>
      <c r="W229" s="232"/>
      <c r="X229" s="232"/>
      <c r="Y229" s="232"/>
    </row>
    <row r="230" spans="1:25" outlineLevel="1">
      <c r="A230" s="194"/>
      <c r="B230" s="194"/>
      <c r="C230" s="194"/>
      <c r="D230" s="194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</row>
    <row r="231" spans="1:25" outlineLevel="1">
      <c r="A231" s="212"/>
      <c r="B231" s="194"/>
      <c r="C231" s="194"/>
      <c r="D231" s="194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U231" s="232"/>
      <c r="V231" s="232"/>
      <c r="W231" s="232"/>
      <c r="X231" s="232"/>
      <c r="Y231" s="232"/>
    </row>
    <row r="232" spans="1:25" outlineLevel="1">
      <c r="A232" s="212"/>
      <c r="B232" s="194"/>
      <c r="C232" s="194"/>
      <c r="D232" s="194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  <c r="Q232" s="232"/>
      <c r="R232" s="232"/>
      <c r="S232" s="232"/>
      <c r="T232" s="232"/>
      <c r="U232" s="232"/>
      <c r="V232" s="232"/>
      <c r="W232" s="232"/>
      <c r="X232" s="232"/>
      <c r="Y232" s="232"/>
    </row>
    <row r="233" spans="1:25" outlineLevel="1">
      <c r="A233" s="212"/>
      <c r="B233" s="194"/>
      <c r="C233" s="194"/>
      <c r="D233" s="194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  <c r="Q233" s="232"/>
      <c r="R233" s="232"/>
      <c r="S233" s="232"/>
      <c r="T233" s="232"/>
      <c r="U233" s="232"/>
      <c r="V233" s="232"/>
      <c r="W233" s="232"/>
      <c r="X233" s="232"/>
      <c r="Y233" s="232"/>
    </row>
    <row r="234" spans="1:25" outlineLevel="1">
      <c r="A234" s="194"/>
      <c r="B234" s="194"/>
      <c r="C234" s="194"/>
      <c r="D234" s="194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U234" s="232"/>
      <c r="V234" s="232"/>
      <c r="W234" s="232"/>
      <c r="X234" s="232"/>
      <c r="Y234" s="232"/>
    </row>
    <row r="235" spans="1:25" outlineLevel="1">
      <c r="A235" s="194"/>
      <c r="B235" s="194"/>
      <c r="C235" s="194"/>
      <c r="D235" s="194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</row>
    <row r="236" spans="1:25" outlineLevel="1">
      <c r="A236" s="198"/>
      <c r="B236" s="198"/>
      <c r="C236" s="198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</row>
    <row r="237" spans="1:25" outlineLevel="1">
      <c r="A237" s="294"/>
      <c r="B237" s="194"/>
      <c r="C237" s="194"/>
      <c r="D237" s="194"/>
      <c r="E237" s="232"/>
      <c r="F237" s="232"/>
      <c r="G237" s="232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outlineLevel="1">
      <c r="A238" s="41"/>
      <c r="B238" s="194"/>
      <c r="C238" s="194"/>
      <c r="D238" s="194"/>
      <c r="E238" s="232"/>
      <c r="F238" s="232"/>
      <c r="G238" s="232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outlineLevel="1">
      <c r="A239" s="41"/>
      <c r="B239" s="194"/>
      <c r="C239" s="194"/>
      <c r="D239" s="194"/>
      <c r="E239" s="232"/>
      <c r="F239" s="232"/>
      <c r="G239" s="232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outlineLevel="1">
      <c r="A240" s="293"/>
      <c r="B240" s="194"/>
      <c r="C240" s="194"/>
      <c r="D240" s="194"/>
      <c r="E240" s="232"/>
      <c r="F240" s="232"/>
      <c r="G240" s="232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outlineLevel="1">
      <c r="A241" s="232"/>
      <c r="B241" s="194"/>
      <c r="C241" s="194"/>
      <c r="D241" s="194"/>
      <c r="E241" s="232"/>
      <c r="F241" s="232"/>
      <c r="G241" s="232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outlineLevel="1">
      <c r="A242" s="294"/>
      <c r="B242" s="194"/>
      <c r="C242" s="194"/>
      <c r="D242" s="194"/>
      <c r="E242" s="232"/>
      <c r="F242" s="232"/>
      <c r="G242" s="232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outlineLevel="1">
      <c r="A243" s="41"/>
      <c r="B243" s="194"/>
      <c r="C243" s="194"/>
      <c r="D243" s="194"/>
      <c r="E243" s="232"/>
      <c r="F243" s="232"/>
      <c r="G243" s="232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outlineLevel="1">
      <c r="A244" s="41"/>
      <c r="B244" s="194"/>
      <c r="C244" s="194"/>
      <c r="D244" s="194"/>
      <c r="E244" s="232"/>
      <c r="F244" s="232"/>
      <c r="G244" s="232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outlineLevel="1">
      <c r="A245" s="41"/>
      <c r="B245" s="194"/>
      <c r="C245" s="194"/>
      <c r="D245" s="19"/>
      <c r="E245" s="232"/>
      <c r="F245" s="232"/>
      <c r="G245" s="232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outlineLevel="1">
      <c r="A246" s="41"/>
      <c r="B246" s="194"/>
      <c r="C246" s="194"/>
      <c r="D246" s="194"/>
      <c r="E246" s="232"/>
      <c r="F246" s="232"/>
      <c r="G246" s="232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outlineLevel="1">
      <c r="A247" s="232"/>
      <c r="B247" s="194"/>
      <c r="C247" s="194"/>
      <c r="D247" s="194"/>
      <c r="E247" s="232"/>
      <c r="F247" s="232"/>
      <c r="G247" s="232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outlineLevel="1">
      <c r="A248" s="294"/>
      <c r="B248" s="194"/>
      <c r="C248" s="194"/>
      <c r="D248" s="194"/>
      <c r="E248" s="232"/>
      <c r="F248" s="232"/>
      <c r="G248" s="232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outlineLevel="1">
      <c r="A249" s="232"/>
      <c r="B249" s="194"/>
      <c r="C249" s="194"/>
      <c r="D249" s="194"/>
      <c r="E249" s="232"/>
      <c r="F249" s="232"/>
      <c r="G249" s="232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outlineLevel="1">
      <c r="A250" s="294"/>
      <c r="B250" s="194"/>
      <c r="C250" s="194"/>
      <c r="D250" s="194"/>
      <c r="E250" s="232"/>
      <c r="F250" s="232"/>
      <c r="G250" s="232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outlineLevel="1">
      <c r="A251" s="41"/>
      <c r="B251" s="194"/>
      <c r="C251" s="194"/>
      <c r="D251" s="194"/>
      <c r="E251" s="232"/>
      <c r="F251" s="232"/>
      <c r="G251" s="232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outlineLevel="1">
      <c r="A252" s="294"/>
      <c r="B252" s="194"/>
      <c r="C252" s="194"/>
      <c r="D252" s="194"/>
      <c r="E252" s="232"/>
      <c r="F252" s="232"/>
      <c r="G252" s="232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outlineLevel="1">
      <c r="A253" s="41"/>
      <c r="B253" s="194"/>
      <c r="C253" s="194"/>
      <c r="D253" s="194"/>
      <c r="E253" s="232"/>
      <c r="F253" s="232"/>
      <c r="G253" s="232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outlineLevel="1">
      <c r="A254" s="41"/>
      <c r="B254" s="194"/>
      <c r="C254" s="194"/>
      <c r="D254" s="194"/>
      <c r="E254" s="232"/>
      <c r="F254" s="232"/>
      <c r="G254" s="232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outlineLevel="1">
      <c r="A255" s="293"/>
      <c r="B255" s="194"/>
      <c r="C255" s="194"/>
      <c r="D255" s="194"/>
      <c r="E255" s="232"/>
      <c r="F255" s="232"/>
      <c r="G255" s="232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outlineLevel="1">
      <c r="A256" s="41"/>
      <c r="B256" s="194"/>
      <c r="C256" s="194"/>
      <c r="D256" s="194"/>
      <c r="E256" s="232"/>
      <c r="F256" s="232"/>
      <c r="G256" s="232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outlineLevel="1">
      <c r="A257" s="293"/>
      <c r="B257" s="194"/>
      <c r="C257" s="194"/>
      <c r="D257" s="194"/>
      <c r="E257" s="232"/>
      <c r="F257" s="232"/>
      <c r="G257" s="232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outlineLevel="1">
      <c r="A258" s="41"/>
      <c r="B258" s="194"/>
      <c r="C258" s="194"/>
      <c r="D258" s="194"/>
      <c r="E258" s="232"/>
      <c r="F258" s="232"/>
      <c r="G258" s="232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outlineLevel="1">
      <c r="A259" s="41"/>
      <c r="B259" s="194"/>
      <c r="C259" s="194"/>
      <c r="D259" s="194"/>
      <c r="E259" s="232"/>
      <c r="F259" s="232"/>
      <c r="G259" s="232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outlineLevel="1">
      <c r="A260" s="41"/>
      <c r="B260" s="194"/>
      <c r="C260" s="194"/>
      <c r="D260" s="194"/>
      <c r="E260" s="232"/>
      <c r="F260" s="232"/>
      <c r="G260" s="232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outlineLevel="1">
      <c r="A261" s="41"/>
      <c r="B261" s="194"/>
      <c r="C261" s="194"/>
      <c r="D261" s="194"/>
      <c r="E261" s="232"/>
      <c r="F261" s="232"/>
      <c r="G261" s="232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outlineLevel="1">
      <c r="A262" s="41"/>
      <c r="B262" s="194"/>
      <c r="C262" s="194"/>
      <c r="D262" s="194"/>
      <c r="E262" s="232"/>
      <c r="F262" s="232"/>
      <c r="G262" s="232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outlineLevel="1">
      <c r="A263" s="41"/>
      <c r="B263" s="194"/>
      <c r="C263" s="194"/>
      <c r="D263" s="194"/>
      <c r="E263" s="232"/>
      <c r="F263" s="232"/>
      <c r="G263" s="232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outlineLevel="1">
      <c r="A264" s="294"/>
      <c r="B264" s="194"/>
      <c r="C264" s="194"/>
      <c r="D264" s="194"/>
      <c r="E264" s="232"/>
      <c r="F264" s="232"/>
      <c r="G264" s="232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outlineLevel="1">
      <c r="A265" s="41"/>
      <c r="B265" s="194"/>
      <c r="C265" s="194"/>
      <c r="D265" s="194"/>
      <c r="E265" s="232"/>
      <c r="F265" s="232"/>
      <c r="G265" s="232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outlineLevel="1">
      <c r="A266" s="41"/>
      <c r="B266" s="194"/>
      <c r="C266" s="194"/>
      <c r="D266" s="194"/>
      <c r="E266" s="232"/>
      <c r="F266" s="232"/>
      <c r="G266" s="232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outlineLevel="1">
      <c r="A267" s="41"/>
      <c r="B267" s="194"/>
      <c r="C267" s="194"/>
      <c r="D267" s="194"/>
      <c r="E267" s="232"/>
      <c r="F267" s="232"/>
      <c r="G267" s="232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outlineLevel="1">
      <c r="A268" s="41"/>
      <c r="B268" s="194"/>
      <c r="C268" s="194"/>
      <c r="D268" s="194"/>
      <c r="E268" s="232"/>
      <c r="F268" s="232"/>
      <c r="G268" s="232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outlineLevel="1">
      <c r="A269" s="41"/>
      <c r="B269" s="194"/>
      <c r="C269" s="194"/>
      <c r="D269" s="194"/>
      <c r="E269" s="232"/>
      <c r="F269" s="232"/>
      <c r="G269" s="232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outlineLevel="1">
      <c r="A270" s="41"/>
      <c r="B270" s="194"/>
      <c r="C270" s="194"/>
      <c r="D270" s="194"/>
      <c r="E270" s="232"/>
      <c r="F270" s="232"/>
      <c r="G270" s="232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outlineLevel="1">
      <c r="A271" s="293"/>
      <c r="B271" s="194"/>
      <c r="C271" s="194"/>
      <c r="D271" s="194"/>
      <c r="E271" s="232"/>
      <c r="F271" s="232"/>
      <c r="G271" s="232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outlineLevel="1">
      <c r="A272" s="294"/>
      <c r="B272" s="194"/>
      <c r="C272" s="194"/>
      <c r="D272" s="194"/>
      <c r="E272" s="232"/>
      <c r="F272" s="232"/>
      <c r="G272" s="232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outlineLevel="1">
      <c r="A273" s="294"/>
      <c r="B273" s="194"/>
      <c r="C273" s="194"/>
      <c r="D273" s="194"/>
      <c r="E273" s="232"/>
      <c r="F273" s="232"/>
      <c r="G273" s="232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outlineLevel="1">
      <c r="A274" s="294"/>
      <c r="B274" s="194"/>
      <c r="C274" s="194"/>
      <c r="D274" s="194"/>
      <c r="E274" s="232"/>
      <c r="F274" s="232"/>
      <c r="G274" s="232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outlineLevel="1">
      <c r="A275" s="294"/>
      <c r="B275" s="194"/>
      <c r="C275" s="194"/>
      <c r="D275" s="194"/>
      <c r="E275" s="232"/>
      <c r="F275" s="232"/>
      <c r="G275" s="232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outlineLevel="1">
      <c r="A276" s="294"/>
      <c r="B276" s="194"/>
      <c r="C276" s="194"/>
      <c r="D276" s="194"/>
      <c r="E276" s="232"/>
      <c r="F276" s="232"/>
      <c r="G276" s="232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outlineLevel="1">
      <c r="A277" s="294"/>
      <c r="B277" s="194"/>
      <c r="C277" s="194"/>
      <c r="D277" s="194"/>
      <c r="E277" s="232"/>
      <c r="F277" s="232"/>
      <c r="G277" s="232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outlineLevel="1">
      <c r="A278" s="294"/>
      <c r="B278" s="194"/>
      <c r="C278" s="194"/>
      <c r="D278" s="194"/>
      <c r="E278" s="232"/>
      <c r="F278" s="232"/>
      <c r="G278" s="232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outlineLevel="1">
      <c r="A279" s="194"/>
      <c r="B279" s="194"/>
      <c r="C279" s="194"/>
      <c r="D279" s="194"/>
      <c r="E279" s="232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2"/>
      <c r="X279" s="232"/>
      <c r="Y279" s="232"/>
    </row>
    <row r="280" spans="1:25" outlineLevel="1">
      <c r="A280" s="194"/>
      <c r="B280" s="194"/>
      <c r="C280" s="194"/>
      <c r="D280" s="194"/>
      <c r="E280" s="232"/>
      <c r="F280" s="232"/>
      <c r="G280" s="232"/>
      <c r="H280" s="232"/>
      <c r="I280" s="232"/>
      <c r="J280" s="232"/>
      <c r="K280" s="232"/>
      <c r="L280" s="232"/>
      <c r="M280" s="232"/>
      <c r="N280" s="232"/>
      <c r="O280" s="232"/>
      <c r="P280" s="232"/>
      <c r="Q280" s="232"/>
      <c r="R280" s="232"/>
      <c r="S280" s="232"/>
      <c r="T280" s="232"/>
      <c r="U280" s="232"/>
      <c r="V280" s="232"/>
      <c r="W280" s="232"/>
      <c r="X280" s="232"/>
      <c r="Y280" s="232"/>
    </row>
    <row r="281" spans="1:25" outlineLevel="1">
      <c r="A281" s="194"/>
      <c r="B281" s="194"/>
      <c r="C281" s="194"/>
      <c r="D281" s="194"/>
      <c r="E281" s="194"/>
      <c r="F281" s="194"/>
      <c r="G281" s="194"/>
      <c r="H281" s="232"/>
      <c r="I281" s="232"/>
      <c r="J281" s="232"/>
      <c r="K281" s="232"/>
      <c r="L281" s="232"/>
      <c r="M281" s="232"/>
      <c r="N281" s="232"/>
      <c r="O281" s="232"/>
      <c r="P281" s="232"/>
      <c r="Q281" s="232"/>
      <c r="R281" s="232"/>
      <c r="S281" s="232"/>
      <c r="T281" s="232"/>
      <c r="U281" s="232"/>
      <c r="V281" s="232"/>
      <c r="W281" s="232"/>
      <c r="X281" s="232"/>
      <c r="Y281" s="232"/>
    </row>
    <row r="282" spans="1:25" outlineLevel="1">
      <c r="A282" s="198"/>
      <c r="B282" s="198"/>
      <c r="C282" s="198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</row>
    <row r="283" spans="1:25" outlineLevel="1">
      <c r="A283" s="212"/>
      <c r="B283" s="212"/>
      <c r="C283" s="212"/>
      <c r="D283" s="194"/>
      <c r="E283" s="194"/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</row>
    <row r="284" spans="1:25" outlineLevel="1">
      <c r="A284" s="212"/>
      <c r="B284" s="296"/>
      <c r="C284" s="296"/>
      <c r="D284" s="194"/>
      <c r="E284" s="194"/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</row>
    <row r="285" spans="1:25" outlineLevel="1">
      <c r="A285" s="194"/>
      <c r="B285" s="194"/>
      <c r="C285" s="194"/>
      <c r="D285" s="194"/>
      <c r="E285" s="194"/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</row>
    <row r="286" spans="1:25" outlineLevel="1">
      <c r="A286" s="198"/>
      <c r="B286" s="200"/>
      <c r="C286" s="200"/>
      <c r="D286" s="200"/>
      <c r="E286" s="200"/>
      <c r="F286" s="200"/>
      <c r="G286" s="200"/>
      <c r="H286" s="200"/>
      <c r="I286" s="200"/>
      <c r="J286" s="200"/>
      <c r="K286" s="200"/>
      <c r="L286" s="200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</row>
    <row r="287" spans="1:25" outlineLevel="1">
      <c r="A287" s="212"/>
      <c r="B287" s="212"/>
      <c r="C287" s="212"/>
      <c r="D287" s="212"/>
      <c r="E287" s="194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</row>
    <row r="288" spans="1:25" outlineLevel="1">
      <c r="A288" s="84"/>
      <c r="B288" s="212"/>
      <c r="C288" s="212"/>
      <c r="D288" s="212"/>
      <c r="E288" s="62"/>
      <c r="F288" s="62"/>
      <c r="G288" s="62"/>
      <c r="H288" s="62"/>
      <c r="I288" s="62"/>
      <c r="J288" s="62"/>
      <c r="K288" s="62"/>
      <c r="L288" s="62"/>
      <c r="M288" s="194"/>
      <c r="N288" s="62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</row>
    <row r="289" spans="1:25" outlineLevel="1">
      <c r="A289" s="84"/>
      <c r="B289" s="212"/>
      <c r="C289" s="212"/>
      <c r="D289" s="212"/>
      <c r="E289" s="62"/>
      <c r="F289" s="62"/>
      <c r="G289" s="62"/>
      <c r="H289" s="62"/>
      <c r="I289" s="62"/>
      <c r="J289" s="62"/>
      <c r="K289" s="62"/>
      <c r="L289" s="62"/>
      <c r="M289" s="194"/>
      <c r="N289" s="62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</row>
    <row r="290" spans="1:25" outlineLevel="1">
      <c r="A290" s="84"/>
      <c r="B290" s="84"/>
      <c r="C290" s="84"/>
      <c r="D290" s="84"/>
      <c r="E290" s="62"/>
      <c r="F290" s="62"/>
      <c r="G290" s="62"/>
      <c r="H290" s="62"/>
      <c r="I290" s="62"/>
      <c r="J290" s="62"/>
      <c r="K290" s="62"/>
      <c r="L290" s="62"/>
      <c r="M290" s="194"/>
      <c r="N290" s="62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</row>
    <row r="291" spans="1:25" outlineLevel="1">
      <c r="A291" s="84"/>
      <c r="B291" s="84"/>
      <c r="C291" s="84"/>
      <c r="D291" s="84"/>
      <c r="E291" s="62"/>
      <c r="F291" s="62"/>
      <c r="G291" s="62"/>
      <c r="H291" s="62"/>
      <c r="I291" s="62"/>
      <c r="J291" s="62"/>
      <c r="K291" s="62"/>
      <c r="L291" s="62"/>
      <c r="M291" s="194"/>
      <c r="N291" s="62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</row>
    <row r="292" spans="1:25" outlineLevel="1">
      <c r="A292" s="84"/>
      <c r="B292" s="198"/>
      <c r="C292" s="198"/>
      <c r="D292" s="198"/>
      <c r="E292" s="62"/>
      <c r="F292" s="62"/>
      <c r="G292" s="62"/>
      <c r="H292" s="62"/>
      <c r="I292" s="62"/>
      <c r="J292" s="62"/>
      <c r="K292" s="62"/>
      <c r="L292" s="62"/>
      <c r="M292" s="194"/>
      <c r="N292" s="62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</row>
    <row r="293" spans="1:25" outlineLevel="1">
      <c r="A293" s="194"/>
      <c r="B293" s="194"/>
      <c r="C293" s="194"/>
      <c r="D293" s="194"/>
      <c r="E293" s="62"/>
      <c r="F293" s="62"/>
      <c r="G293" s="62"/>
      <c r="H293" s="62"/>
      <c r="I293" s="62"/>
      <c r="J293" s="62"/>
      <c r="K293" s="62"/>
      <c r="L293" s="62"/>
      <c r="M293" s="194"/>
      <c r="N293" s="62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</row>
    <row r="294" spans="1:25" outlineLevel="1">
      <c r="A294" s="212"/>
      <c r="B294" s="212"/>
      <c r="C294" s="212"/>
      <c r="D294" s="212"/>
      <c r="E294" s="62"/>
      <c r="F294" s="62"/>
      <c r="G294" s="62"/>
      <c r="H294" s="62"/>
      <c r="I294" s="62"/>
      <c r="J294" s="62"/>
      <c r="K294" s="62"/>
      <c r="L294" s="62"/>
      <c r="M294" s="194"/>
      <c r="N294" s="62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</row>
    <row r="295" spans="1:25" outlineLevel="1">
      <c r="A295" s="84"/>
      <c r="B295" s="212"/>
      <c r="C295" s="212"/>
      <c r="D295" s="212"/>
      <c r="E295" s="62"/>
      <c r="F295" s="62"/>
      <c r="G295" s="62"/>
      <c r="H295" s="62"/>
      <c r="I295" s="62"/>
      <c r="J295" s="62"/>
      <c r="K295" s="62"/>
      <c r="L295" s="62"/>
      <c r="M295" s="194"/>
      <c r="N295" s="62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</row>
    <row r="296" spans="1:25" outlineLevel="1">
      <c r="A296" s="84"/>
      <c r="B296" s="212"/>
      <c r="C296" s="212"/>
      <c r="D296" s="212"/>
      <c r="E296" s="62"/>
      <c r="F296" s="62"/>
      <c r="G296" s="62"/>
      <c r="H296" s="62"/>
      <c r="I296" s="62"/>
      <c r="J296" s="62"/>
      <c r="K296" s="62"/>
      <c r="L296" s="62"/>
      <c r="M296" s="194"/>
      <c r="N296" s="62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</row>
    <row r="297" spans="1:25" outlineLevel="1">
      <c r="A297" s="84"/>
      <c r="B297" s="212"/>
      <c r="C297" s="212"/>
      <c r="D297" s="212"/>
      <c r="E297" s="62"/>
      <c r="F297" s="62"/>
      <c r="G297" s="62"/>
      <c r="H297" s="62"/>
      <c r="I297" s="62"/>
      <c r="J297" s="62"/>
      <c r="K297" s="62"/>
      <c r="L297" s="62"/>
      <c r="M297" s="194"/>
      <c r="N297" s="62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</row>
    <row r="298" spans="1:25" outlineLevel="1">
      <c r="A298" s="84"/>
      <c r="B298" s="212"/>
      <c r="C298" s="212"/>
      <c r="D298" s="212"/>
      <c r="E298" s="62"/>
      <c r="F298" s="62"/>
      <c r="G298" s="62"/>
      <c r="H298" s="62"/>
      <c r="I298" s="62"/>
      <c r="J298" s="62"/>
      <c r="K298" s="62"/>
      <c r="L298" s="62"/>
      <c r="M298" s="194"/>
      <c r="N298" s="62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</row>
    <row r="299" spans="1:25" outlineLevel="1">
      <c r="A299" s="84"/>
      <c r="B299" s="212"/>
      <c r="C299" s="212"/>
      <c r="D299" s="212"/>
      <c r="E299" s="62"/>
      <c r="F299" s="62"/>
      <c r="G299" s="62"/>
      <c r="H299" s="62"/>
      <c r="I299" s="62"/>
      <c r="J299" s="62"/>
      <c r="K299" s="62"/>
      <c r="L299" s="62"/>
      <c r="M299" s="194"/>
      <c r="N299" s="62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</row>
    <row r="300" spans="1:25" outlineLevel="1">
      <c r="A300" s="84"/>
      <c r="B300" s="212"/>
      <c r="C300" s="212"/>
      <c r="D300" s="212"/>
      <c r="E300" s="62"/>
      <c r="F300" s="62"/>
      <c r="G300" s="62"/>
      <c r="H300" s="62"/>
      <c r="I300" s="62"/>
      <c r="J300" s="62"/>
      <c r="K300" s="62"/>
      <c r="L300" s="62"/>
      <c r="M300" s="194"/>
      <c r="N300" s="62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</row>
    <row r="301" spans="1:25" outlineLevel="1">
      <c r="A301" s="84"/>
      <c r="B301" s="212"/>
      <c r="C301" s="212"/>
      <c r="D301" s="212"/>
      <c r="E301" s="62"/>
      <c r="F301" s="62"/>
      <c r="G301" s="62"/>
      <c r="H301" s="62"/>
      <c r="I301" s="62"/>
      <c r="J301" s="62"/>
      <c r="K301" s="62"/>
      <c r="L301" s="62"/>
      <c r="M301" s="194"/>
      <c r="N301" s="62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</row>
    <row r="302" spans="1:25" outlineLevel="1">
      <c r="A302" s="84"/>
      <c r="B302" s="212"/>
      <c r="C302" s="212"/>
      <c r="D302" s="212"/>
      <c r="E302" s="62"/>
      <c r="F302" s="62"/>
      <c r="G302" s="62"/>
      <c r="H302" s="62"/>
      <c r="I302" s="62"/>
      <c r="J302" s="62"/>
      <c r="K302" s="62"/>
      <c r="L302" s="62"/>
      <c r="M302" s="194"/>
      <c r="N302" s="62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</row>
    <row r="303" spans="1:25" outlineLevel="1">
      <c r="A303" s="84"/>
      <c r="B303" s="212"/>
      <c r="C303" s="212"/>
      <c r="D303" s="212"/>
      <c r="E303" s="62"/>
      <c r="F303" s="62"/>
      <c r="G303" s="62"/>
      <c r="H303" s="62"/>
      <c r="I303" s="62"/>
      <c r="J303" s="62"/>
      <c r="K303" s="62"/>
      <c r="L303" s="62"/>
      <c r="M303" s="194"/>
      <c r="N303" s="62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</row>
    <row r="304" spans="1:25" outlineLevel="1">
      <c r="A304" s="84"/>
      <c r="B304" s="84"/>
      <c r="C304" s="84"/>
      <c r="D304" s="84"/>
      <c r="E304" s="62"/>
      <c r="F304" s="62"/>
      <c r="G304" s="62"/>
      <c r="H304" s="62"/>
      <c r="I304" s="62"/>
      <c r="J304" s="62"/>
      <c r="K304" s="62"/>
      <c r="L304" s="62"/>
      <c r="M304" s="194"/>
      <c r="N304" s="62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</row>
    <row r="305" spans="1:25" outlineLevel="1">
      <c r="A305" s="84"/>
      <c r="B305" s="84"/>
      <c r="C305" s="84"/>
      <c r="D305" s="84"/>
      <c r="E305" s="62"/>
      <c r="F305" s="62"/>
      <c r="G305" s="62"/>
      <c r="H305" s="62"/>
      <c r="I305" s="62"/>
      <c r="J305" s="62"/>
      <c r="K305" s="62"/>
      <c r="L305" s="62"/>
      <c r="M305" s="194"/>
      <c r="N305" s="62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</row>
    <row r="306" spans="1:25" outlineLevel="1">
      <c r="A306" s="212"/>
      <c r="B306" s="212"/>
      <c r="C306" s="212"/>
      <c r="D306" s="212"/>
      <c r="E306" s="62"/>
      <c r="F306" s="62"/>
      <c r="G306" s="62"/>
      <c r="H306" s="62"/>
      <c r="I306" s="62"/>
      <c r="J306" s="62"/>
      <c r="K306" s="62"/>
      <c r="L306" s="62"/>
      <c r="M306" s="194"/>
      <c r="N306" s="62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</row>
    <row r="307" spans="1:25" outlineLevel="1">
      <c r="A307" s="84"/>
      <c r="B307" s="84"/>
      <c r="C307" s="84"/>
      <c r="D307" s="84"/>
      <c r="E307" s="62"/>
      <c r="F307" s="62"/>
      <c r="G307" s="62"/>
      <c r="H307" s="62"/>
      <c r="I307" s="62"/>
      <c r="J307" s="62"/>
      <c r="K307" s="62"/>
      <c r="L307" s="62"/>
      <c r="M307" s="194"/>
      <c r="N307" s="62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</row>
    <row r="308" spans="1:25" outlineLevel="1">
      <c r="A308" s="84"/>
      <c r="B308" s="84"/>
      <c r="C308" s="84"/>
      <c r="D308" s="84"/>
      <c r="E308" s="62"/>
      <c r="F308" s="62"/>
      <c r="G308" s="62"/>
      <c r="H308" s="62"/>
      <c r="I308" s="62"/>
      <c r="J308" s="62"/>
      <c r="K308" s="62"/>
      <c r="L308" s="62"/>
      <c r="M308" s="194"/>
      <c r="N308" s="62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</row>
    <row r="309" spans="1:25" outlineLevel="1">
      <c r="A309" s="212"/>
      <c r="B309" s="212"/>
      <c r="C309" s="212"/>
      <c r="D309" s="212"/>
      <c r="E309" s="62"/>
      <c r="F309" s="62"/>
      <c r="G309" s="62"/>
      <c r="H309" s="62"/>
      <c r="I309" s="62"/>
      <c r="J309" s="62"/>
      <c r="K309" s="62"/>
      <c r="L309" s="62"/>
      <c r="M309" s="194"/>
      <c r="N309" s="62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</row>
    <row r="310" spans="1:25" outlineLevel="1">
      <c r="A310" s="212"/>
      <c r="B310" s="212"/>
      <c r="C310" s="212"/>
      <c r="D310" s="212"/>
      <c r="E310" s="62"/>
      <c r="F310" s="62"/>
      <c r="G310" s="62"/>
      <c r="H310" s="62"/>
      <c r="I310" s="62"/>
      <c r="J310" s="62"/>
      <c r="K310" s="62"/>
      <c r="L310" s="62"/>
      <c r="M310" s="194"/>
      <c r="N310" s="62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</row>
    <row r="311" spans="1:25" outlineLevel="1">
      <c r="A311" s="194"/>
      <c r="B311" s="212"/>
      <c r="C311" s="212"/>
      <c r="D311" s="212"/>
      <c r="E311" s="62"/>
      <c r="F311" s="62"/>
      <c r="G311" s="62"/>
      <c r="H311" s="62"/>
      <c r="I311" s="62"/>
      <c r="J311" s="62"/>
      <c r="K311" s="62"/>
      <c r="L311" s="62"/>
      <c r="M311" s="194"/>
      <c r="N311" s="62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</row>
    <row r="312" spans="1:25" outlineLevel="1">
      <c r="A312" s="194"/>
      <c r="B312" s="297"/>
      <c r="C312" s="297"/>
      <c r="D312" s="297"/>
      <c r="E312" s="62"/>
      <c r="F312" s="62"/>
      <c r="G312" s="62"/>
      <c r="H312" s="62"/>
      <c r="I312" s="62"/>
      <c r="J312" s="62"/>
      <c r="K312" s="62"/>
      <c r="L312" s="62"/>
      <c r="M312" s="194"/>
      <c r="N312" s="62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</row>
    <row r="313" spans="1:25" outlineLevel="1">
      <c r="A313" s="212"/>
      <c r="B313" s="297"/>
      <c r="C313" s="297"/>
      <c r="D313" s="297"/>
      <c r="E313" s="62"/>
      <c r="F313" s="62"/>
      <c r="G313" s="62"/>
      <c r="H313" s="62"/>
      <c r="I313" s="62"/>
      <c r="J313" s="62"/>
      <c r="K313" s="62"/>
      <c r="L313" s="62"/>
      <c r="M313" s="194"/>
      <c r="N313" s="62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</row>
    <row r="314" spans="1:25" outlineLevel="1">
      <c r="A314" s="84"/>
      <c r="B314" s="297"/>
      <c r="C314" s="297"/>
      <c r="D314" s="297"/>
      <c r="E314" s="62"/>
      <c r="F314" s="62"/>
      <c r="G314" s="62"/>
      <c r="H314" s="62"/>
      <c r="I314" s="62"/>
      <c r="J314" s="62"/>
      <c r="K314" s="62"/>
      <c r="L314" s="62"/>
      <c r="M314" s="194"/>
      <c r="N314" s="62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</row>
    <row r="315" spans="1:25" outlineLevel="1">
      <c r="A315" s="212"/>
      <c r="B315" s="212"/>
      <c r="C315" s="212"/>
      <c r="D315" s="212"/>
      <c r="E315" s="62"/>
      <c r="F315" s="62"/>
      <c r="G315" s="62"/>
      <c r="H315" s="62"/>
      <c r="I315" s="62"/>
      <c r="J315" s="62"/>
      <c r="K315" s="62"/>
      <c r="L315" s="62"/>
      <c r="M315" s="194"/>
      <c r="N315" s="62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</row>
    <row r="316" spans="1:25" outlineLevel="1">
      <c r="A316" s="194"/>
      <c r="B316" s="194"/>
      <c r="C316" s="194"/>
      <c r="D316" s="194"/>
      <c r="E316" s="62"/>
      <c r="F316" s="62"/>
      <c r="G316" s="62"/>
      <c r="H316" s="62"/>
      <c r="I316" s="62"/>
      <c r="J316" s="62"/>
      <c r="K316" s="62"/>
      <c r="L316" s="62"/>
      <c r="M316" s="194"/>
      <c r="N316" s="62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</row>
    <row r="317" spans="1:25" outlineLevel="1">
      <c r="A317" s="212"/>
      <c r="B317" s="212"/>
      <c r="C317" s="212"/>
      <c r="D317" s="212"/>
      <c r="E317" s="62"/>
      <c r="F317" s="62"/>
      <c r="G317" s="62"/>
      <c r="H317" s="62"/>
      <c r="I317" s="62"/>
      <c r="J317" s="62"/>
      <c r="K317" s="62"/>
      <c r="L317" s="62"/>
      <c r="M317" s="194"/>
      <c r="N317" s="62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</row>
    <row r="318" spans="1:25" outlineLevel="1">
      <c r="A318" s="84"/>
      <c r="B318" s="84"/>
      <c r="C318" s="84"/>
      <c r="D318" s="84"/>
      <c r="E318" s="62"/>
      <c r="F318" s="62"/>
      <c r="G318" s="62"/>
      <c r="H318" s="62"/>
      <c r="I318" s="62"/>
      <c r="J318" s="62"/>
      <c r="K318" s="62"/>
      <c r="L318" s="62"/>
      <c r="M318" s="194"/>
      <c r="N318" s="62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</row>
    <row r="319" spans="1:25" outlineLevel="1">
      <c r="A319" s="84"/>
      <c r="B319" s="84"/>
      <c r="C319" s="84"/>
      <c r="D319" s="84"/>
      <c r="E319" s="62"/>
      <c r="F319" s="62"/>
      <c r="G319" s="62"/>
      <c r="H319" s="62"/>
      <c r="I319" s="62"/>
      <c r="J319" s="62"/>
      <c r="K319" s="62"/>
      <c r="L319" s="62"/>
      <c r="M319" s="194"/>
      <c r="N319" s="62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</row>
    <row r="320" spans="1:25" outlineLevel="1">
      <c r="A320" s="84"/>
      <c r="B320" s="84"/>
      <c r="C320" s="84"/>
      <c r="D320" s="84"/>
      <c r="E320" s="62"/>
      <c r="F320" s="62"/>
      <c r="G320" s="62"/>
      <c r="H320" s="62"/>
      <c r="I320" s="62"/>
      <c r="J320" s="62"/>
      <c r="K320" s="62"/>
      <c r="L320" s="62"/>
      <c r="M320" s="194"/>
      <c r="N320" s="62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</row>
    <row r="321" spans="1:25" outlineLevel="1">
      <c r="A321" s="84"/>
      <c r="B321" s="84"/>
      <c r="C321" s="84"/>
      <c r="D321" s="84"/>
      <c r="E321" s="62"/>
      <c r="F321" s="62"/>
      <c r="G321" s="62"/>
      <c r="H321" s="62"/>
      <c r="I321" s="62"/>
      <c r="J321" s="62"/>
      <c r="K321" s="62"/>
      <c r="L321" s="62"/>
      <c r="M321" s="194"/>
      <c r="N321" s="62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</row>
    <row r="322" spans="1:25" outlineLevel="1">
      <c r="A322" s="84"/>
      <c r="B322" s="84"/>
      <c r="C322" s="84"/>
      <c r="D322" s="84"/>
      <c r="E322" s="62"/>
      <c r="F322" s="62"/>
      <c r="G322" s="62"/>
      <c r="H322" s="62"/>
      <c r="I322" s="62"/>
      <c r="J322" s="62"/>
      <c r="K322" s="62"/>
      <c r="L322" s="62"/>
      <c r="M322" s="194"/>
      <c r="N322" s="62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</row>
    <row r="323" spans="1:25" outlineLevel="1">
      <c r="A323" s="84"/>
      <c r="B323" s="194"/>
      <c r="C323" s="194"/>
      <c r="D323" s="194"/>
      <c r="E323" s="62"/>
      <c r="F323" s="62"/>
      <c r="G323" s="62"/>
      <c r="H323" s="62"/>
      <c r="I323" s="62"/>
      <c r="J323" s="62"/>
      <c r="K323" s="62"/>
      <c r="L323" s="62"/>
      <c r="M323" s="194"/>
      <c r="N323" s="62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</row>
    <row r="324" spans="1:25" outlineLevel="1">
      <c r="A324" s="212"/>
      <c r="B324" s="212"/>
      <c r="C324" s="212"/>
      <c r="D324" s="212"/>
      <c r="E324" s="62"/>
      <c r="F324" s="62"/>
      <c r="G324" s="62"/>
      <c r="H324" s="62"/>
      <c r="I324" s="62"/>
      <c r="J324" s="62"/>
      <c r="K324" s="62"/>
      <c r="L324" s="62"/>
      <c r="M324" s="194"/>
      <c r="N324" s="62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</row>
    <row r="325" spans="1:25" outlineLevel="1">
      <c r="A325" s="212"/>
      <c r="B325" s="212"/>
      <c r="C325" s="212"/>
      <c r="D325" s="212"/>
      <c r="E325" s="62"/>
      <c r="F325" s="62"/>
      <c r="G325" s="62"/>
      <c r="H325" s="62"/>
      <c r="I325" s="62"/>
      <c r="J325" s="62"/>
      <c r="K325" s="62"/>
      <c r="L325" s="62"/>
      <c r="M325" s="194"/>
      <c r="N325" s="62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</row>
    <row r="326" spans="1:25" outlineLevel="1">
      <c r="A326" s="194"/>
      <c r="B326" s="194"/>
      <c r="C326" s="194"/>
      <c r="D326" s="194"/>
      <c r="E326" s="62"/>
      <c r="F326" s="62"/>
      <c r="G326" s="62"/>
      <c r="H326" s="62"/>
      <c r="I326" s="62"/>
      <c r="J326" s="62"/>
      <c r="K326" s="62"/>
      <c r="L326" s="62"/>
      <c r="M326" s="194"/>
      <c r="N326" s="62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</row>
    <row r="327" spans="1:25" outlineLevel="1">
      <c r="A327" s="212"/>
      <c r="B327" s="298"/>
      <c r="C327" s="298"/>
      <c r="D327" s="194"/>
      <c r="E327" s="62"/>
      <c r="F327" s="62"/>
      <c r="G327" s="62"/>
      <c r="H327" s="62"/>
      <c r="I327" s="62"/>
      <c r="J327" s="62"/>
      <c r="K327" s="62"/>
      <c r="L327" s="62"/>
      <c r="M327" s="194"/>
      <c r="N327" s="62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</row>
    <row r="328" spans="1:25" outlineLevel="1">
      <c r="A328" s="212"/>
      <c r="B328" s="296"/>
      <c r="C328" s="296"/>
      <c r="D328" s="296"/>
      <c r="E328" s="62"/>
      <c r="F328" s="62"/>
      <c r="G328" s="62"/>
      <c r="H328" s="62"/>
      <c r="I328" s="62"/>
      <c r="J328" s="62"/>
      <c r="K328" s="62"/>
      <c r="L328" s="62"/>
      <c r="M328" s="194"/>
      <c r="N328" s="62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</row>
    <row r="329" spans="1:25" outlineLevel="1">
      <c r="A329" s="194"/>
      <c r="B329" s="194"/>
      <c r="C329" s="194"/>
      <c r="D329" s="194"/>
      <c r="E329" s="194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</row>
    <row r="330" spans="1:25" outlineLevel="1">
      <c r="A330" s="212"/>
      <c r="B330" s="299"/>
      <c r="C330" s="299"/>
      <c r="D330" s="194"/>
      <c r="E330" s="194"/>
      <c r="F330" s="194"/>
      <c r="G330" s="19"/>
      <c r="H330" s="19"/>
      <c r="I330" s="19"/>
      <c r="J330" s="19"/>
      <c r="K330" s="19"/>
      <c r="L330" s="19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</row>
    <row r="331" spans="1:25" outlineLevel="1">
      <c r="A331" s="212"/>
      <c r="B331" s="194"/>
      <c r="C331" s="194"/>
      <c r="D331" s="194"/>
      <c r="E331" s="194"/>
      <c r="F331" s="194"/>
      <c r="G331" s="19"/>
      <c r="H331" s="19"/>
      <c r="I331" s="19"/>
      <c r="J331" s="19"/>
      <c r="K331" s="19"/>
      <c r="L331" s="19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</row>
    <row r="332" spans="1:25" outlineLevel="1">
      <c r="A332" s="212"/>
      <c r="B332" s="194"/>
      <c r="C332" s="194"/>
      <c r="D332" s="194"/>
      <c r="E332" s="194"/>
      <c r="F332" s="194"/>
      <c r="G332" s="19"/>
      <c r="H332" s="19"/>
      <c r="I332" s="19"/>
      <c r="J332" s="19"/>
      <c r="K332" s="19"/>
      <c r="L332" s="19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</row>
    <row r="333" spans="1:25" outlineLevel="1">
      <c r="A333" s="212"/>
      <c r="B333" s="194"/>
      <c r="C333" s="194"/>
      <c r="D333" s="194"/>
      <c r="E333" s="194"/>
      <c r="F333" s="194"/>
      <c r="G333" s="19"/>
      <c r="H333" s="19"/>
      <c r="I333" s="19"/>
      <c r="J333" s="19"/>
      <c r="K333" s="19"/>
      <c r="L333" s="19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</row>
    <row r="334" spans="1:25" outlineLevel="1">
      <c r="A334" s="194"/>
      <c r="B334" s="194"/>
      <c r="C334" s="194"/>
      <c r="D334" s="194"/>
      <c r="E334" s="194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</row>
    <row r="335" spans="1:25" outlineLevel="1">
      <c r="A335" s="212"/>
      <c r="B335" s="194"/>
      <c r="C335" s="194"/>
      <c r="D335" s="194"/>
      <c r="E335" s="194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</row>
    <row r="336" spans="1:25" outlineLevel="1">
      <c r="A336" s="212"/>
      <c r="B336" s="194"/>
      <c r="C336" s="194"/>
      <c r="D336" s="194"/>
      <c r="E336" s="194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</row>
    <row r="337" spans="1:25" outlineLevel="1">
      <c r="A337" s="194"/>
      <c r="B337" s="194"/>
      <c r="C337" s="194"/>
      <c r="D337" s="194"/>
      <c r="E337" s="194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</row>
    <row r="338" spans="1:25" outlineLevel="1">
      <c r="A338" s="194"/>
      <c r="B338" s="194"/>
      <c r="C338" s="194"/>
      <c r="D338" s="194"/>
      <c r="E338" s="194"/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</row>
    <row r="339" spans="1:25" s="50" customFormat="1" outlineLevel="1">
      <c r="A339" s="49"/>
    </row>
    <row r="340" spans="1:25" outlineLevel="1">
      <c r="A340" s="212"/>
      <c r="B340" s="194"/>
      <c r="C340" s="194"/>
      <c r="D340" s="194"/>
      <c r="E340" s="194"/>
      <c r="F340" s="194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</row>
    <row r="341" spans="1:25" outlineLevel="1">
      <c r="A341" s="212"/>
      <c r="B341" s="194"/>
      <c r="C341" s="194"/>
      <c r="D341" s="194"/>
      <c r="E341" s="194"/>
      <c r="F341" s="194"/>
      <c r="G341" s="214"/>
      <c r="H341" s="214"/>
      <c r="I341" s="214"/>
      <c r="J341" s="214"/>
      <c r="K341" s="214"/>
      <c r="L341" s="21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</row>
    <row r="342" spans="1:25" outlineLevel="1">
      <c r="A342" s="212"/>
      <c r="B342" s="194"/>
      <c r="C342" s="194"/>
      <c r="D342" s="194"/>
      <c r="E342" s="194"/>
      <c r="F342" s="194"/>
      <c r="G342" s="214"/>
      <c r="H342" s="214"/>
      <c r="I342" s="214"/>
      <c r="J342" s="214"/>
      <c r="K342" s="214"/>
      <c r="L342" s="21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</row>
    <row r="343" spans="1:25" outlineLevel="1">
      <c r="A343" s="194"/>
      <c r="B343" s="300"/>
      <c r="C343" s="300"/>
      <c r="D343" s="300"/>
      <c r="E343" s="194"/>
      <c r="F343" s="194"/>
      <c r="G343" s="301"/>
      <c r="H343" s="301"/>
      <c r="I343" s="301"/>
      <c r="J343" s="301"/>
      <c r="K343" s="301"/>
      <c r="L343" s="301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</row>
    <row r="344" spans="1:25" outlineLevel="1">
      <c r="A344" s="212"/>
      <c r="B344" s="302"/>
      <c r="C344" s="302"/>
      <c r="D344" s="302"/>
      <c r="E344" s="194"/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</row>
    <row r="345" spans="1:25" outlineLevel="1">
      <c r="A345" s="49"/>
      <c r="B345" s="194"/>
      <c r="C345" s="194"/>
      <c r="D345" s="194"/>
      <c r="E345" s="194"/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</row>
    <row r="346" spans="1:25" outlineLevel="1">
      <c r="A346" s="55"/>
      <c r="B346" s="194"/>
      <c r="C346" s="194"/>
      <c r="D346" s="194"/>
      <c r="E346" s="194"/>
      <c r="F346" s="194"/>
      <c r="G346" s="19"/>
      <c r="H346" s="19"/>
      <c r="I346" s="19"/>
      <c r="J346" s="19"/>
      <c r="K346" s="19"/>
      <c r="L346" s="19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</row>
    <row r="347" spans="1:25" outlineLevel="1">
      <c r="A347" s="55"/>
      <c r="B347" s="194"/>
      <c r="C347" s="194"/>
      <c r="D347" s="194"/>
      <c r="E347" s="194"/>
      <c r="F347" s="194"/>
      <c r="G347" s="19"/>
      <c r="H347" s="19"/>
      <c r="I347" s="19"/>
      <c r="J347" s="19"/>
      <c r="K347" s="19"/>
      <c r="L347" s="19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</row>
    <row r="348" spans="1:25" outlineLevel="1">
      <c r="A348" s="55"/>
      <c r="B348" s="194"/>
      <c r="C348" s="194"/>
      <c r="D348" s="194"/>
      <c r="E348" s="194"/>
      <c r="F348" s="194"/>
      <c r="G348" s="19"/>
      <c r="H348" s="19"/>
      <c r="I348" s="19"/>
      <c r="J348" s="19"/>
      <c r="K348" s="19"/>
      <c r="L348" s="19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</row>
    <row r="349" spans="1:25" outlineLevel="1">
      <c r="A349" s="55"/>
      <c r="B349" s="194"/>
      <c r="C349" s="194"/>
      <c r="D349" s="194"/>
      <c r="E349" s="194"/>
      <c r="F349" s="194"/>
      <c r="G349" s="19"/>
      <c r="H349" s="19"/>
      <c r="I349" s="19"/>
      <c r="J349" s="19"/>
      <c r="K349" s="19"/>
      <c r="L349" s="19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</row>
    <row r="350" spans="1:25" outlineLevel="1">
      <c r="A350" s="55"/>
      <c r="B350" s="194"/>
      <c r="C350" s="194"/>
      <c r="D350" s="194"/>
      <c r="E350" s="194"/>
      <c r="F350" s="194"/>
      <c r="G350" s="214"/>
      <c r="H350" s="214"/>
      <c r="I350" s="214"/>
      <c r="J350" s="214"/>
      <c r="K350" s="214"/>
      <c r="L350" s="21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</row>
    <row r="351" spans="1:25" outlineLevel="1">
      <c r="A351" s="212"/>
      <c r="B351" s="194"/>
      <c r="C351" s="194"/>
      <c r="D351" s="194"/>
      <c r="E351" s="194"/>
      <c r="F351" s="194"/>
      <c r="G351" s="302"/>
      <c r="H351" s="302"/>
      <c r="I351" s="302"/>
      <c r="J351" s="302"/>
      <c r="K351" s="302"/>
      <c r="L351" s="302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</row>
    <row r="352" spans="1:25" outlineLevel="1">
      <c r="A352" s="55"/>
      <c r="B352" s="303"/>
      <c r="C352" s="303"/>
      <c r="D352" s="303"/>
      <c r="E352" s="194"/>
      <c r="F352" s="194"/>
      <c r="G352" s="57"/>
      <c r="H352" s="57"/>
      <c r="I352" s="57"/>
      <c r="J352" s="57"/>
      <c r="K352" s="57"/>
      <c r="L352" s="57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</row>
    <row r="353" spans="1:25" outlineLevel="1">
      <c r="A353" s="55"/>
      <c r="B353" s="194"/>
      <c r="C353" s="194"/>
      <c r="D353" s="194"/>
      <c r="E353" s="194"/>
      <c r="F353" s="194"/>
      <c r="G353" s="57"/>
      <c r="H353" s="57"/>
      <c r="I353" s="57"/>
      <c r="J353" s="57"/>
      <c r="K353" s="57"/>
      <c r="L353" s="57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</row>
    <row r="354" spans="1:25" outlineLevel="1">
      <c r="A354" s="55"/>
      <c r="B354" s="194"/>
      <c r="C354" s="194"/>
      <c r="D354" s="194"/>
      <c r="E354" s="194"/>
      <c r="F354" s="194"/>
      <c r="G354" s="57"/>
      <c r="H354" s="57"/>
      <c r="I354" s="57"/>
      <c r="J354" s="57"/>
      <c r="K354" s="57"/>
      <c r="L354" s="57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</row>
    <row r="355" spans="1:25" outlineLevel="1">
      <c r="A355" s="55"/>
      <c r="B355" s="194"/>
      <c r="C355" s="194"/>
      <c r="D355" s="194"/>
      <c r="E355" s="194"/>
      <c r="F355" s="194"/>
      <c r="G355" s="57"/>
      <c r="H355" s="57"/>
      <c r="I355" s="57"/>
      <c r="J355" s="57"/>
      <c r="K355" s="57"/>
      <c r="L355" s="57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</row>
    <row r="356" spans="1:25" outlineLevel="1">
      <c r="A356" s="55"/>
      <c r="B356" s="194"/>
      <c r="C356" s="194"/>
      <c r="D356" s="194"/>
      <c r="E356" s="194"/>
      <c r="F356" s="194"/>
      <c r="G356" s="302"/>
      <c r="H356" s="302"/>
      <c r="I356" s="302"/>
      <c r="J356" s="302"/>
      <c r="K356" s="302"/>
      <c r="L356" s="302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</row>
    <row r="357" spans="1:25" outlineLevel="1">
      <c r="A357" s="212"/>
      <c r="B357" s="194"/>
      <c r="C357" s="194"/>
      <c r="D357" s="194"/>
      <c r="E357" s="194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</row>
    <row r="358" spans="1:25" outlineLevel="1">
      <c r="A358" s="194"/>
      <c r="B358" s="194"/>
      <c r="C358" s="194"/>
      <c r="D358" s="194"/>
      <c r="E358" s="194"/>
      <c r="F358" s="194"/>
      <c r="G358" s="19"/>
      <c r="H358" s="19"/>
      <c r="I358" s="19"/>
      <c r="J358" s="19"/>
      <c r="K358" s="19"/>
      <c r="L358" s="19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</row>
    <row r="359" spans="1:25" outlineLevel="1">
      <c r="A359" s="194"/>
      <c r="B359" s="194"/>
      <c r="C359" s="194"/>
      <c r="D359" s="194"/>
      <c r="E359" s="194"/>
      <c r="F359" s="194"/>
      <c r="G359" s="19"/>
      <c r="H359" s="19"/>
      <c r="I359" s="19"/>
      <c r="J359" s="19"/>
      <c r="K359" s="19"/>
      <c r="L359" s="19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</row>
    <row r="360" spans="1:25" outlineLevel="1">
      <c r="A360" s="194"/>
      <c r="B360" s="194"/>
      <c r="C360" s="194"/>
      <c r="D360" s="194"/>
      <c r="E360" s="194"/>
      <c r="F360" s="194"/>
      <c r="G360" s="19"/>
      <c r="H360" s="19"/>
      <c r="I360" s="19"/>
      <c r="J360" s="19"/>
      <c r="K360" s="19"/>
      <c r="L360" s="19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</row>
    <row r="361" spans="1:25" outlineLevel="1">
      <c r="A361" s="194"/>
      <c r="B361" s="194"/>
      <c r="C361" s="194"/>
      <c r="D361" s="194"/>
      <c r="E361" s="19"/>
      <c r="F361" s="19"/>
      <c r="G361" s="19"/>
      <c r="H361" s="19"/>
      <c r="I361" s="19"/>
      <c r="J361" s="19"/>
      <c r="K361" s="19"/>
      <c r="L361" s="19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</row>
    <row r="362" spans="1:25" outlineLevel="1">
      <c r="A362" s="194"/>
      <c r="B362" s="194"/>
      <c r="C362" s="194"/>
      <c r="D362" s="194"/>
      <c r="E362" s="194"/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</row>
    <row r="363" spans="1:25" outlineLevel="1">
      <c r="A363" s="212"/>
      <c r="B363" s="194"/>
      <c r="C363" s="194"/>
      <c r="D363" s="194"/>
      <c r="E363" s="194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</row>
    <row r="364" spans="1:25" outlineLevel="1">
      <c r="A364" s="194"/>
      <c r="B364" s="194"/>
      <c r="C364" s="194"/>
      <c r="D364" s="194"/>
      <c r="E364" s="194"/>
      <c r="F364" s="194"/>
      <c r="G364" s="214"/>
      <c r="H364" s="214"/>
      <c r="I364" s="214"/>
      <c r="J364" s="214"/>
      <c r="K364" s="214"/>
      <c r="L364" s="21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</row>
    <row r="365" spans="1:25" outlineLevel="1">
      <c r="A365" s="55"/>
      <c r="B365" s="194"/>
      <c r="C365" s="194"/>
      <c r="D365" s="194"/>
      <c r="E365" s="194"/>
      <c r="F365" s="194"/>
      <c r="G365" s="214"/>
      <c r="H365" s="214"/>
      <c r="I365" s="214"/>
      <c r="J365" s="214"/>
      <c r="K365" s="214"/>
      <c r="L365" s="21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</row>
    <row r="366" spans="1:25" outlineLevel="1">
      <c r="A366" s="55"/>
      <c r="B366" s="194"/>
      <c r="C366" s="194"/>
      <c r="D366" s="194"/>
      <c r="E366" s="194"/>
      <c r="F366" s="194"/>
      <c r="G366" s="214"/>
      <c r="H366" s="214"/>
      <c r="I366" s="214"/>
      <c r="J366" s="214"/>
      <c r="K366" s="214"/>
      <c r="L366" s="21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</row>
    <row r="367" spans="1:25" outlineLevel="1">
      <c r="A367" s="55"/>
      <c r="B367" s="194"/>
      <c r="C367" s="194"/>
      <c r="D367" s="194"/>
      <c r="E367" s="19"/>
      <c r="F367" s="19"/>
      <c r="G367" s="214"/>
      <c r="H367" s="214"/>
      <c r="I367" s="214"/>
      <c r="J367" s="214"/>
      <c r="K367" s="214"/>
      <c r="L367" s="21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</row>
    <row r="368" spans="1:25" outlineLevel="1">
      <c r="A368" s="194"/>
      <c r="B368" s="194"/>
      <c r="C368" s="194"/>
      <c r="D368" s="194"/>
      <c r="E368" s="194"/>
      <c r="F368" s="194"/>
      <c r="G368" s="214"/>
      <c r="H368" s="214"/>
      <c r="I368" s="214"/>
      <c r="J368" s="214"/>
      <c r="K368" s="214"/>
      <c r="L368" s="21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</row>
    <row r="369" spans="1:25" outlineLevel="1">
      <c r="A369" s="194"/>
      <c r="B369" s="194"/>
      <c r="C369" s="194"/>
      <c r="D369" s="194"/>
      <c r="E369" s="194"/>
      <c r="F369" s="194"/>
      <c r="G369" s="214"/>
      <c r="H369" s="214"/>
      <c r="I369" s="214"/>
      <c r="J369" s="214"/>
      <c r="K369" s="214"/>
      <c r="L369" s="21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</row>
    <row r="370" spans="1:25" outlineLevel="1">
      <c r="A370" s="194"/>
      <c r="B370" s="194"/>
      <c r="C370" s="194"/>
      <c r="D370" s="194"/>
      <c r="E370" s="194"/>
      <c r="F370" s="194"/>
      <c r="G370" s="214"/>
      <c r="H370" s="214"/>
      <c r="I370" s="214"/>
      <c r="J370" s="214"/>
      <c r="K370" s="214"/>
      <c r="L370" s="21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</row>
    <row r="371" spans="1:25" outlineLevel="1">
      <c r="A371" s="194"/>
      <c r="B371" s="194"/>
      <c r="C371" s="194"/>
      <c r="D371" s="194"/>
      <c r="E371" s="194"/>
      <c r="F371" s="194"/>
      <c r="G371" s="214"/>
      <c r="H371" s="214"/>
      <c r="I371" s="214"/>
      <c r="J371" s="214"/>
      <c r="K371" s="214"/>
      <c r="L371" s="21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</row>
    <row r="372" spans="1:25" outlineLevel="1">
      <c r="A372" s="194"/>
      <c r="B372" s="194"/>
      <c r="C372" s="194"/>
      <c r="D372" s="194"/>
      <c r="E372" s="194"/>
      <c r="F372" s="194"/>
      <c r="G372" s="214"/>
      <c r="H372" s="214"/>
      <c r="I372" s="214"/>
      <c r="J372" s="214"/>
      <c r="K372" s="214"/>
      <c r="L372" s="21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</row>
    <row r="373" spans="1:25" outlineLevel="1">
      <c r="A373" s="194"/>
      <c r="B373" s="194"/>
      <c r="C373" s="194"/>
      <c r="D373" s="194"/>
      <c r="E373" s="194"/>
      <c r="F373" s="194"/>
      <c r="G373" s="214"/>
      <c r="H373" s="214"/>
      <c r="I373" s="214"/>
      <c r="J373" s="214"/>
      <c r="K373" s="214"/>
      <c r="L373" s="21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</row>
    <row r="374" spans="1:25" outlineLevel="1">
      <c r="A374" s="194"/>
      <c r="B374" s="194"/>
      <c r="C374" s="194"/>
      <c r="D374" s="194"/>
      <c r="E374" s="194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</row>
    <row r="375" spans="1:25" outlineLevel="1">
      <c r="A375" s="212"/>
      <c r="B375" s="194"/>
      <c r="C375" s="194"/>
      <c r="D375" s="194"/>
      <c r="E375" s="304"/>
      <c r="F375" s="304"/>
      <c r="G375" s="304"/>
      <c r="H375" s="304"/>
      <c r="I375" s="304"/>
      <c r="J375" s="304"/>
      <c r="K375" s="304"/>
      <c r="L375" s="30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</row>
    <row r="376" spans="1:25" outlineLevel="1">
      <c r="A376" s="212"/>
      <c r="B376" s="194"/>
      <c r="C376" s="194"/>
      <c r="D376" s="303"/>
      <c r="E376" s="19"/>
      <c r="F376" s="19"/>
      <c r="G376" s="304"/>
      <c r="H376" s="304"/>
      <c r="I376" s="304"/>
      <c r="J376" s="304"/>
      <c r="K376" s="304"/>
      <c r="L376" s="30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</row>
    <row r="377" spans="1:25" outlineLevel="1">
      <c r="A377" s="212"/>
      <c r="B377" s="194"/>
      <c r="C377" s="194"/>
      <c r="D377" s="194"/>
      <c r="E377" s="304"/>
      <c r="F377" s="304"/>
      <c r="G377" s="304"/>
      <c r="H377" s="304"/>
      <c r="I377" s="304"/>
      <c r="J377" s="304"/>
      <c r="K377" s="304"/>
      <c r="L377" s="30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</row>
    <row r="378" spans="1:25" outlineLevel="1">
      <c r="A378" s="212"/>
      <c r="B378" s="194"/>
      <c r="C378" s="194"/>
      <c r="D378" s="194"/>
      <c r="E378" s="194"/>
      <c r="F378" s="194"/>
      <c r="G378" s="304"/>
      <c r="H378" s="304"/>
      <c r="I378" s="304"/>
      <c r="J378" s="304"/>
      <c r="K378" s="304"/>
      <c r="L378" s="30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</row>
    <row r="379" spans="1:25" outlineLevel="1">
      <c r="A379" s="194"/>
      <c r="B379" s="194"/>
      <c r="C379" s="194"/>
      <c r="D379" s="194"/>
      <c r="E379" s="194"/>
      <c r="F379" s="194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</row>
    <row r="380" spans="1:25" outlineLevel="1">
      <c r="A380" s="212"/>
      <c r="B380" s="194"/>
      <c r="C380" s="194"/>
      <c r="D380" s="194"/>
      <c r="E380" s="194"/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</row>
    <row r="381" spans="1:25" outlineLevel="1">
      <c r="A381" s="212"/>
      <c r="B381" s="194"/>
      <c r="C381" s="194"/>
      <c r="D381" s="194"/>
      <c r="E381" s="194"/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</row>
    <row r="382" spans="1:25" outlineLevel="1">
      <c r="A382" s="194"/>
      <c r="B382" s="194"/>
      <c r="C382" s="194"/>
      <c r="D382" s="194"/>
      <c r="E382" s="194"/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</row>
    <row r="383" spans="1:25" outlineLevel="1">
      <c r="A383" s="194"/>
      <c r="B383" s="194"/>
      <c r="C383" s="194"/>
      <c r="D383" s="194"/>
      <c r="E383" s="194"/>
      <c r="F383" s="194"/>
      <c r="G383" s="62"/>
      <c r="H383" s="62"/>
      <c r="I383" s="62"/>
      <c r="J383" s="62"/>
      <c r="K383" s="62"/>
      <c r="L383" s="62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</row>
    <row r="384" spans="1:25" outlineLevel="1">
      <c r="A384" s="194"/>
      <c r="B384" s="194"/>
      <c r="C384" s="194"/>
      <c r="D384" s="194"/>
      <c r="E384" s="194"/>
      <c r="F384" s="194"/>
      <c r="G384" s="304"/>
      <c r="H384" s="304"/>
      <c r="I384" s="304"/>
      <c r="J384" s="304"/>
      <c r="K384" s="304"/>
      <c r="L384" s="30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</row>
    <row r="385" spans="1:30" outlineLevel="1">
      <c r="A385" s="194"/>
      <c r="B385" s="194"/>
      <c r="C385" s="194"/>
      <c r="D385" s="194"/>
      <c r="E385" s="194"/>
      <c r="F385" s="194"/>
      <c r="G385" s="62"/>
      <c r="H385" s="62"/>
      <c r="I385" s="62"/>
      <c r="J385" s="62"/>
      <c r="K385" s="62"/>
      <c r="L385" s="62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</row>
    <row r="386" spans="1:30" outlineLevel="1">
      <c r="A386" s="194"/>
      <c r="B386" s="194"/>
      <c r="C386" s="194"/>
      <c r="D386" s="194"/>
      <c r="E386" s="194"/>
      <c r="F386" s="194"/>
      <c r="G386" s="62"/>
      <c r="H386" s="62"/>
      <c r="I386" s="62"/>
      <c r="J386" s="62"/>
      <c r="K386" s="62"/>
      <c r="L386" s="62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</row>
    <row r="387" spans="1:30" outlineLevel="1">
      <c r="A387" s="194"/>
      <c r="B387" s="194"/>
      <c r="C387" s="194"/>
      <c r="D387" s="194"/>
      <c r="E387" s="194"/>
      <c r="F387" s="194"/>
      <c r="G387" s="62"/>
      <c r="H387" s="62"/>
      <c r="I387" s="62"/>
      <c r="J387" s="62"/>
      <c r="K387" s="62"/>
      <c r="L387" s="62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</row>
    <row r="388" spans="1:30" outlineLevel="1">
      <c r="A388" s="194"/>
      <c r="B388" s="194"/>
      <c r="C388" s="194"/>
      <c r="D388" s="194"/>
      <c r="E388" s="194"/>
      <c r="F388" s="194"/>
      <c r="G388" s="305"/>
      <c r="H388" s="305"/>
      <c r="I388" s="305"/>
      <c r="J388" s="305"/>
      <c r="K388" s="305"/>
      <c r="L388" s="305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</row>
    <row r="389" spans="1:30" outlineLevel="1">
      <c r="A389" s="194"/>
      <c r="B389" s="194"/>
      <c r="C389" s="194"/>
      <c r="D389" s="194"/>
      <c r="E389" s="194"/>
      <c r="F389" s="194"/>
      <c r="G389" s="305"/>
      <c r="H389" s="305"/>
      <c r="I389" s="305"/>
      <c r="J389" s="305"/>
      <c r="K389" s="305"/>
      <c r="L389" s="305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</row>
    <row r="390" spans="1:30" hidden="1" outlineLevel="2">
      <c r="A390" s="212"/>
      <c r="B390" s="194"/>
      <c r="C390" s="194"/>
      <c r="D390" s="194"/>
      <c r="E390" s="194"/>
      <c r="F390" s="194"/>
      <c r="G390" s="305"/>
      <c r="H390" s="305"/>
      <c r="I390" s="305"/>
      <c r="J390" s="305"/>
      <c r="K390" s="305"/>
      <c r="L390" s="305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</row>
    <row r="391" spans="1:30" hidden="1" outlineLevel="2">
      <c r="A391" s="212"/>
      <c r="B391" s="194"/>
      <c r="C391" s="194"/>
      <c r="D391" s="194"/>
      <c r="E391" s="194"/>
      <c r="F391" s="194"/>
      <c r="G391" s="305"/>
      <c r="H391" s="305"/>
      <c r="I391" s="305"/>
      <c r="J391" s="305"/>
      <c r="K391" s="305"/>
      <c r="L391" s="305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</row>
    <row r="392" spans="1:30" hidden="1" outlineLevel="2">
      <c r="A392" s="194"/>
      <c r="B392" s="194"/>
      <c r="C392" s="194"/>
      <c r="D392" s="194"/>
      <c r="E392" s="194"/>
      <c r="F392" s="194"/>
      <c r="G392" s="305"/>
      <c r="H392" s="305"/>
      <c r="I392" s="305"/>
      <c r="J392" s="305"/>
      <c r="K392" s="305"/>
      <c r="L392" s="305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</row>
    <row r="393" spans="1:30" hidden="1" outlineLevel="2">
      <c r="A393" s="212"/>
      <c r="B393" s="201"/>
      <c r="C393" s="201"/>
      <c r="D393" s="201"/>
      <c r="E393" s="202"/>
      <c r="F393" s="202"/>
      <c r="G393" s="202"/>
      <c r="H393" s="201"/>
      <c r="I393" s="201"/>
      <c r="J393" s="202"/>
      <c r="K393" s="202"/>
      <c r="L393" s="201"/>
      <c r="M393" s="202"/>
      <c r="N393" s="202"/>
      <c r="O393" s="202"/>
      <c r="P393" s="201"/>
      <c r="Q393" s="202"/>
      <c r="R393" s="202"/>
      <c r="S393" s="194"/>
      <c r="T393" s="194"/>
      <c r="U393" s="194"/>
      <c r="V393" s="194"/>
      <c r="W393" s="194"/>
      <c r="X393" s="202"/>
      <c r="Y393" s="194"/>
    </row>
    <row r="394" spans="1:30" hidden="1" outlineLevel="2">
      <c r="A394" s="212"/>
      <c r="B394" s="194"/>
      <c r="C394" s="194"/>
      <c r="D394" s="194"/>
      <c r="E394" s="194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</row>
    <row r="395" spans="1:30" hidden="1" outlineLevel="2">
      <c r="A395" s="194"/>
      <c r="B395" s="194"/>
      <c r="C395" s="194"/>
      <c r="D395" s="194"/>
      <c r="E395" s="194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</row>
    <row r="396" spans="1:30" hidden="1" outlineLevel="2">
      <c r="A396" s="194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194"/>
      <c r="T396" s="194"/>
      <c r="U396" s="194"/>
      <c r="V396" s="194"/>
      <c r="W396" s="194"/>
      <c r="X396" s="62"/>
      <c r="Y396" s="194"/>
    </row>
    <row r="397" spans="1:30" hidden="1" outlineLevel="2">
      <c r="A397" s="194"/>
      <c r="B397" s="194"/>
      <c r="C397" s="194"/>
      <c r="D397" s="194"/>
      <c r="E397" s="194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</row>
    <row r="398" spans="1:30" hidden="1" outlineLevel="2">
      <c r="A398" s="194"/>
      <c r="B398" s="304"/>
      <c r="C398" s="304"/>
      <c r="D398" s="304"/>
      <c r="E398" s="304"/>
      <c r="F398" s="304"/>
      <c r="G398" s="304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194"/>
      <c r="T398" s="194"/>
      <c r="U398" s="194"/>
      <c r="V398" s="194"/>
      <c r="W398" s="194"/>
      <c r="X398" s="62"/>
      <c r="Y398" s="194"/>
    </row>
    <row r="399" spans="1:30" hidden="1" outlineLevel="2">
      <c r="A399" s="194"/>
      <c r="B399" s="194"/>
      <c r="C399" s="194"/>
      <c r="D399" s="194"/>
      <c r="E399" s="194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</row>
    <row r="400" spans="1:30" hidden="1" outlineLevel="2">
      <c r="A400" s="194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194"/>
      <c r="T400" s="194"/>
      <c r="U400" s="194"/>
      <c r="V400" s="194"/>
      <c r="W400" s="194"/>
      <c r="X400" s="62"/>
      <c r="Y400" s="62"/>
      <c r="Z400" s="62"/>
      <c r="AA400" s="62"/>
      <c r="AB400" s="62"/>
      <c r="AC400" s="62"/>
      <c r="AD400" s="62"/>
    </row>
    <row r="401" spans="1:25" hidden="1" outlineLevel="2">
      <c r="A401" s="194"/>
      <c r="B401" s="194"/>
      <c r="C401" s="194"/>
      <c r="D401" s="194"/>
      <c r="E401" s="194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</row>
    <row r="402" spans="1:25" hidden="1" outlineLevel="2">
      <c r="A402" s="194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194"/>
      <c r="T402" s="194"/>
      <c r="U402" s="194"/>
      <c r="V402" s="194"/>
      <c r="W402" s="194"/>
      <c r="X402" s="62"/>
      <c r="Y402" s="194"/>
    </row>
    <row r="403" spans="1:25" hidden="1" outlineLevel="2">
      <c r="A403" s="194"/>
      <c r="B403" s="194"/>
      <c r="C403" s="194"/>
      <c r="D403" s="194"/>
      <c r="E403" s="194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</row>
    <row r="404" spans="1:25" hidden="1" outlineLevel="2">
      <c r="A404" s="194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194"/>
      <c r="T404" s="194"/>
      <c r="U404" s="194"/>
      <c r="V404" s="194"/>
      <c r="W404" s="194"/>
      <c r="X404" s="62"/>
      <c r="Y404" s="62"/>
    </row>
    <row r="405" spans="1:25" hidden="1" outlineLevel="2">
      <c r="A405" s="194"/>
      <c r="B405" s="194"/>
      <c r="C405" s="194"/>
      <c r="D405" s="194"/>
      <c r="E405" s="194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</row>
    <row r="406" spans="1:25" hidden="1" outlineLevel="2">
      <c r="A406" s="194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194"/>
      <c r="T406" s="194"/>
      <c r="U406" s="194"/>
      <c r="V406" s="194"/>
      <c r="W406" s="194"/>
      <c r="X406" s="62"/>
      <c r="Y406" s="62"/>
    </row>
    <row r="407" spans="1:25" hidden="1" outlineLevel="2">
      <c r="A407" s="194"/>
      <c r="B407" s="194"/>
      <c r="C407" s="194"/>
      <c r="D407" s="194"/>
      <c r="E407" s="194"/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</row>
    <row r="408" spans="1:25" outlineLevel="1" collapsed="1">
      <c r="A408" s="194"/>
      <c r="B408" s="194"/>
      <c r="C408" s="194"/>
      <c r="D408" s="194"/>
      <c r="E408" s="194"/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</row>
    <row r="409" spans="1:25" outlineLevel="1">
      <c r="A409" s="194"/>
      <c r="B409" s="194"/>
      <c r="C409" s="194"/>
      <c r="D409" s="194"/>
      <c r="E409" s="194"/>
      <c r="F409" s="194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</row>
    <row r="410" spans="1:25" outlineLevel="1">
      <c r="A410" s="194"/>
      <c r="B410" s="194"/>
      <c r="C410" s="194"/>
      <c r="D410" s="194"/>
      <c r="E410" s="194"/>
      <c r="F410" s="194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</row>
    <row r="411" spans="1:25" outlineLevel="1">
      <c r="A411" s="198"/>
      <c r="B411" s="198"/>
      <c r="C411" s="198"/>
      <c r="D411" s="194"/>
      <c r="E411" s="194"/>
      <c r="F411" s="194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</row>
    <row r="412" spans="1:25" outlineLevel="1">
      <c r="A412" s="212"/>
      <c r="B412" s="212"/>
      <c r="C412" s="212"/>
      <c r="D412" s="194"/>
      <c r="E412" s="194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</row>
    <row r="413" spans="1:25" outlineLevel="1">
      <c r="A413" s="212"/>
      <c r="B413" s="296"/>
      <c r="C413" s="296"/>
      <c r="D413" s="194"/>
      <c r="E413" s="194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</row>
    <row r="414" spans="1:25" outlineLevel="1">
      <c r="A414" s="194"/>
      <c r="B414" s="194"/>
      <c r="C414" s="194"/>
      <c r="D414" s="194"/>
      <c r="E414" s="194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</row>
    <row r="415" spans="1:25" outlineLevel="1">
      <c r="A415" s="198"/>
      <c r="B415" s="200"/>
      <c r="C415" s="200"/>
      <c r="D415" s="200"/>
      <c r="E415" s="200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</row>
    <row r="416" spans="1:25" outlineLevel="1">
      <c r="A416" s="212"/>
      <c r="B416" s="212"/>
      <c r="C416" s="212"/>
      <c r="D416" s="194"/>
      <c r="E416" s="194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</row>
    <row r="417" spans="1:25" outlineLevel="1">
      <c r="A417" s="84"/>
      <c r="B417" s="212"/>
      <c r="C417" s="21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</row>
    <row r="418" spans="1:25" outlineLevel="1">
      <c r="A418" s="84"/>
      <c r="B418" s="212"/>
      <c r="C418" s="21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</row>
    <row r="419" spans="1:25" outlineLevel="1">
      <c r="A419" s="84"/>
      <c r="B419" s="84"/>
      <c r="C419" s="8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</row>
    <row r="420" spans="1:25" outlineLevel="1">
      <c r="A420" s="84"/>
      <c r="B420" s="84"/>
      <c r="C420" s="84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</row>
    <row r="421" spans="1:25" outlineLevel="1">
      <c r="A421" s="84"/>
      <c r="B421" s="198"/>
      <c r="C421" s="198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</row>
    <row r="422" spans="1:25" outlineLevel="1">
      <c r="A422" s="194"/>
      <c r="B422" s="194"/>
      <c r="C422" s="194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</row>
    <row r="423" spans="1:25" outlineLevel="1">
      <c r="A423" s="212"/>
      <c r="B423" s="212"/>
      <c r="C423" s="21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</row>
    <row r="424" spans="1:25" outlineLevel="1">
      <c r="A424" s="84"/>
      <c r="B424" s="212"/>
      <c r="C424" s="21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</row>
    <row r="425" spans="1:25" outlineLevel="1">
      <c r="A425" s="84"/>
      <c r="B425" s="212"/>
      <c r="C425" s="21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</row>
    <row r="426" spans="1:25" outlineLevel="1">
      <c r="A426" s="84"/>
      <c r="B426" s="212"/>
      <c r="C426" s="21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</row>
    <row r="427" spans="1:25" outlineLevel="1">
      <c r="A427" s="84"/>
      <c r="B427" s="212"/>
      <c r="C427" s="21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</row>
    <row r="428" spans="1:25" outlineLevel="1">
      <c r="A428" s="84"/>
      <c r="B428" s="212"/>
      <c r="C428" s="21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</row>
    <row r="429" spans="1:25" outlineLevel="1">
      <c r="A429" s="84"/>
      <c r="B429" s="212"/>
      <c r="C429" s="21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</row>
    <row r="430" spans="1:25" outlineLevel="1">
      <c r="A430" s="84"/>
      <c r="B430" s="212"/>
      <c r="C430" s="21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</row>
    <row r="431" spans="1:25" outlineLevel="1">
      <c r="A431" s="84"/>
      <c r="B431" s="212"/>
      <c r="C431" s="21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</row>
    <row r="432" spans="1:25" outlineLevel="1">
      <c r="A432" s="84"/>
      <c r="B432" s="212"/>
      <c r="C432" s="21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</row>
    <row r="433" spans="1:25" outlineLevel="1">
      <c r="A433" s="84"/>
      <c r="B433" s="84"/>
      <c r="C433" s="84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</row>
    <row r="434" spans="1:25" outlineLevel="1">
      <c r="A434" s="84"/>
      <c r="B434" s="84"/>
      <c r="C434" s="84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</row>
    <row r="435" spans="1:25" outlineLevel="1">
      <c r="A435" s="212"/>
      <c r="B435" s="212"/>
      <c r="C435" s="21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</row>
    <row r="436" spans="1:25" outlineLevel="1">
      <c r="A436" s="84"/>
      <c r="B436" s="84"/>
      <c r="C436" s="84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</row>
    <row r="437" spans="1:25" outlineLevel="1">
      <c r="A437" s="212"/>
      <c r="B437" s="212"/>
      <c r="C437" s="21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</row>
    <row r="438" spans="1:25" outlineLevel="1">
      <c r="A438" s="84"/>
      <c r="B438" s="297"/>
      <c r="C438" s="297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</row>
    <row r="439" spans="1:25" outlineLevel="1">
      <c r="A439" s="212"/>
      <c r="B439" s="212"/>
      <c r="C439" s="21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</row>
    <row r="440" spans="1:25" outlineLevel="1">
      <c r="A440" s="194"/>
      <c r="B440" s="194"/>
      <c r="C440" s="194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</row>
    <row r="441" spans="1:25" outlineLevel="1">
      <c r="A441" s="212"/>
      <c r="B441" s="212"/>
      <c r="C441" s="21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</row>
    <row r="442" spans="1:25" outlineLevel="1">
      <c r="A442" s="84"/>
      <c r="B442" s="84"/>
      <c r="C442" s="84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</row>
    <row r="443" spans="1:25" outlineLevel="1">
      <c r="A443" s="84"/>
      <c r="B443" s="84"/>
      <c r="C443" s="8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</row>
    <row r="444" spans="1:25" outlineLevel="1">
      <c r="A444" s="84"/>
      <c r="B444" s="84"/>
      <c r="C444" s="84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</row>
    <row r="445" spans="1:25" outlineLevel="1">
      <c r="A445" s="84"/>
      <c r="B445" s="194"/>
      <c r="C445" s="194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</row>
    <row r="446" spans="1:25" outlineLevel="1">
      <c r="A446" s="212"/>
      <c r="B446" s="212"/>
      <c r="C446" s="21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</row>
    <row r="447" spans="1:25" outlineLevel="1">
      <c r="A447" s="212"/>
      <c r="B447" s="212"/>
      <c r="C447" s="21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</row>
    <row r="448" spans="1:25" outlineLevel="1">
      <c r="A448" s="84"/>
      <c r="B448" s="212"/>
      <c r="C448" s="21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</row>
    <row r="449" spans="1:25" outlineLevel="1">
      <c r="A449" s="84"/>
      <c r="B449" s="212"/>
      <c r="C449" s="21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</row>
    <row r="450" spans="1:25" outlineLevel="1">
      <c r="A450" s="84"/>
      <c r="B450" s="212"/>
      <c r="C450" s="21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</row>
    <row r="451" spans="1:25" outlineLevel="1">
      <c r="A451" s="84"/>
      <c r="B451" s="212"/>
      <c r="C451" s="21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</row>
    <row r="452" spans="1:25" outlineLevel="1">
      <c r="A452" s="84"/>
      <c r="B452" s="212"/>
      <c r="C452" s="21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</row>
    <row r="453" spans="1:25" outlineLevel="1">
      <c r="A453" s="198"/>
      <c r="B453" s="297"/>
      <c r="C453" s="297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</row>
    <row r="454" spans="1:25" outlineLevel="1">
      <c r="A454" s="212"/>
      <c r="B454" s="212"/>
      <c r="C454" s="21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</row>
    <row r="455" spans="1:25" outlineLevel="1">
      <c r="A455" s="194"/>
      <c r="B455" s="194"/>
      <c r="C455" s="19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</row>
    <row r="456" spans="1:25" outlineLevel="1">
      <c r="A456" s="212"/>
      <c r="B456" s="296"/>
      <c r="C456" s="296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</row>
    <row r="457" spans="1:25" outlineLevel="1">
      <c r="A457" s="212"/>
      <c r="B457" s="296"/>
      <c r="C457" s="296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</row>
    <row r="458" spans="1:25" outlineLevel="1">
      <c r="A458" s="212"/>
      <c r="B458" s="296"/>
      <c r="C458" s="29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</row>
    <row r="459" spans="1:25" outlineLevel="1">
      <c r="A459" s="194"/>
      <c r="B459" s="194"/>
      <c r="C459" s="194"/>
      <c r="D459" s="194"/>
      <c r="E459" s="194"/>
      <c r="F459" s="194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</row>
    <row r="460" spans="1:25" outlineLevel="1">
      <c r="A460" s="194"/>
      <c r="B460" s="194"/>
      <c r="C460" s="194"/>
      <c r="D460" s="194"/>
      <c r="E460" s="194"/>
      <c r="F460" s="194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</row>
    <row r="461" spans="1:25" outlineLevel="1">
      <c r="A461" s="198"/>
      <c r="B461" s="198"/>
      <c r="C461" s="198"/>
      <c r="D461" s="194"/>
      <c r="E461" s="194"/>
      <c r="F461" s="194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</row>
    <row r="462" spans="1:25" outlineLevel="1">
      <c r="A462" s="212"/>
      <c r="B462" s="212"/>
      <c r="C462" s="212"/>
      <c r="D462" s="194"/>
      <c r="E462" s="194"/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</row>
    <row r="463" spans="1:25" outlineLevel="1">
      <c r="A463" s="212"/>
      <c r="B463" s="296"/>
      <c r="C463" s="296"/>
      <c r="D463" s="194"/>
      <c r="E463" s="194"/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</row>
    <row r="464" spans="1:25" outlineLevel="1">
      <c r="A464" s="194"/>
      <c r="B464" s="194"/>
      <c r="C464" s="194"/>
      <c r="D464" s="194"/>
      <c r="E464" s="194"/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</row>
    <row r="465" spans="1:25" outlineLevel="1">
      <c r="A465" s="198"/>
      <c r="B465" s="200"/>
      <c r="C465" s="200"/>
      <c r="D465" s="200"/>
      <c r="E465" s="200"/>
      <c r="F465" s="200"/>
      <c r="G465" s="200"/>
      <c r="H465" s="200"/>
      <c r="I465" s="200"/>
      <c r="J465" s="200"/>
      <c r="K465" s="200"/>
      <c r="L465" s="200"/>
      <c r="M465" s="200"/>
      <c r="N465" s="200"/>
      <c r="O465" s="200"/>
      <c r="P465" s="200"/>
      <c r="Q465" s="200"/>
      <c r="R465" s="200"/>
      <c r="S465" s="194"/>
      <c r="T465" s="194"/>
      <c r="U465" s="194"/>
      <c r="V465" s="194"/>
      <c r="W465" s="194"/>
      <c r="X465" s="194"/>
      <c r="Y465" s="194"/>
    </row>
    <row r="466" spans="1:25" outlineLevel="1">
      <c r="A466" s="212"/>
      <c r="B466" s="212"/>
      <c r="C466" s="212"/>
      <c r="D466" s="212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</row>
    <row r="467" spans="1:25" outlineLevel="1">
      <c r="A467" s="84"/>
      <c r="B467" s="212"/>
      <c r="C467" s="212"/>
      <c r="D467" s="21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194"/>
      <c r="T467" s="194"/>
      <c r="U467" s="194"/>
      <c r="V467" s="194"/>
      <c r="W467" s="194"/>
      <c r="X467" s="194"/>
      <c r="Y467" s="194"/>
    </row>
    <row r="468" spans="1:25" outlineLevel="1">
      <c r="A468" s="84"/>
      <c r="B468" s="212"/>
      <c r="C468" s="212"/>
      <c r="D468" s="21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194"/>
      <c r="T468" s="194"/>
      <c r="U468" s="194"/>
      <c r="V468" s="194"/>
      <c r="W468" s="194"/>
      <c r="X468" s="194"/>
      <c r="Y468" s="194"/>
    </row>
    <row r="469" spans="1:25" outlineLevel="1">
      <c r="A469" s="84"/>
      <c r="B469" s="84"/>
      <c r="C469" s="84"/>
      <c r="D469" s="84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194"/>
      <c r="T469" s="194"/>
      <c r="U469" s="194"/>
      <c r="V469" s="194"/>
      <c r="W469" s="194"/>
      <c r="X469" s="194"/>
      <c r="Y469" s="194"/>
    </row>
    <row r="470" spans="1:25" outlineLevel="1">
      <c r="A470" s="84"/>
      <c r="B470" s="84"/>
      <c r="C470" s="84"/>
      <c r="D470" s="84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194"/>
      <c r="T470" s="194"/>
      <c r="U470" s="194"/>
      <c r="V470" s="194"/>
      <c r="W470" s="194"/>
      <c r="X470" s="194"/>
      <c r="Y470" s="194"/>
    </row>
    <row r="471" spans="1:25" outlineLevel="1">
      <c r="A471" s="84"/>
      <c r="B471" s="198"/>
      <c r="C471" s="198"/>
      <c r="D471" s="198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194"/>
      <c r="T471" s="194"/>
      <c r="U471" s="194"/>
      <c r="V471" s="194"/>
      <c r="W471" s="194"/>
      <c r="X471" s="194"/>
      <c r="Y471" s="194"/>
    </row>
    <row r="472" spans="1:25" outlineLevel="1">
      <c r="A472" s="84"/>
      <c r="B472" s="198"/>
      <c r="C472" s="198"/>
      <c r="D472" s="198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194"/>
      <c r="T472" s="194"/>
      <c r="U472" s="194"/>
      <c r="V472" s="194"/>
      <c r="W472" s="194"/>
      <c r="X472" s="194"/>
      <c r="Y472" s="194"/>
    </row>
    <row r="473" spans="1:25" outlineLevel="1">
      <c r="A473" s="212"/>
      <c r="B473" s="212"/>
      <c r="C473" s="212"/>
      <c r="D473" s="21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194"/>
      <c r="T473" s="194"/>
      <c r="U473" s="194"/>
      <c r="V473" s="194"/>
      <c r="W473" s="194"/>
      <c r="X473" s="194"/>
      <c r="Y473" s="194"/>
    </row>
    <row r="474" spans="1:25" outlineLevel="1">
      <c r="A474" s="84"/>
      <c r="B474" s="212"/>
      <c r="C474" s="212"/>
      <c r="D474" s="21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194"/>
      <c r="T474" s="194"/>
      <c r="U474" s="194"/>
      <c r="V474" s="194"/>
      <c r="W474" s="194"/>
      <c r="X474" s="194"/>
      <c r="Y474" s="194"/>
    </row>
    <row r="475" spans="1:25" outlineLevel="1">
      <c r="A475" s="84"/>
      <c r="B475" s="212"/>
      <c r="C475" s="212"/>
      <c r="D475" s="21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194"/>
      <c r="T475" s="194"/>
      <c r="U475" s="194"/>
      <c r="V475" s="194"/>
      <c r="W475" s="194"/>
      <c r="X475" s="194"/>
      <c r="Y475" s="194"/>
    </row>
    <row r="476" spans="1:25" outlineLevel="1">
      <c r="A476" s="84"/>
      <c r="B476" s="212"/>
      <c r="C476" s="212"/>
      <c r="D476" s="21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194"/>
      <c r="T476" s="194"/>
      <c r="U476" s="194"/>
      <c r="V476" s="194"/>
      <c r="W476" s="194"/>
      <c r="X476" s="194"/>
      <c r="Y476" s="194"/>
    </row>
    <row r="477" spans="1:25" outlineLevel="1">
      <c r="A477" s="84"/>
      <c r="B477" s="212"/>
      <c r="C477" s="212"/>
      <c r="D477" s="21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194"/>
      <c r="T477" s="194"/>
      <c r="U477" s="194"/>
      <c r="V477" s="194"/>
      <c r="W477" s="194"/>
      <c r="X477" s="194"/>
      <c r="Y477" s="194"/>
    </row>
    <row r="478" spans="1:25" outlineLevel="1">
      <c r="A478" s="84"/>
      <c r="B478" s="212"/>
      <c r="C478" s="212"/>
      <c r="D478" s="21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194"/>
      <c r="T478" s="194"/>
      <c r="U478" s="194"/>
      <c r="V478" s="194"/>
      <c r="W478" s="194"/>
      <c r="X478" s="194"/>
      <c r="Y478" s="194"/>
    </row>
    <row r="479" spans="1:25" outlineLevel="1">
      <c r="A479" s="84"/>
      <c r="B479" s="212"/>
      <c r="C479" s="212"/>
      <c r="D479" s="21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194"/>
      <c r="T479" s="194"/>
      <c r="U479" s="194"/>
      <c r="V479" s="194"/>
      <c r="W479" s="194"/>
      <c r="X479" s="194"/>
      <c r="Y479" s="194"/>
    </row>
    <row r="480" spans="1:25" outlineLevel="1">
      <c r="A480" s="84"/>
      <c r="B480" s="212"/>
      <c r="C480" s="212"/>
      <c r="D480" s="21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194"/>
      <c r="T480" s="194"/>
      <c r="U480" s="194"/>
      <c r="V480" s="194"/>
      <c r="W480" s="194"/>
      <c r="X480" s="194"/>
      <c r="Y480" s="194"/>
    </row>
    <row r="481" spans="1:25" outlineLevel="1">
      <c r="A481" s="84"/>
      <c r="B481" s="212"/>
      <c r="C481" s="212"/>
      <c r="D481" s="21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194"/>
      <c r="T481" s="194"/>
      <c r="U481" s="194"/>
      <c r="V481" s="194"/>
      <c r="W481" s="194"/>
      <c r="X481" s="194"/>
      <c r="Y481" s="194"/>
    </row>
    <row r="482" spans="1:25" outlineLevel="1">
      <c r="A482" s="84"/>
      <c r="B482" s="212"/>
      <c r="C482" s="212"/>
      <c r="D482" s="21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194"/>
      <c r="T482" s="194"/>
      <c r="U482" s="194"/>
      <c r="V482" s="194"/>
      <c r="W482" s="194"/>
      <c r="X482" s="194"/>
      <c r="Y482" s="194"/>
    </row>
    <row r="483" spans="1:25" outlineLevel="1">
      <c r="A483" s="84"/>
      <c r="B483" s="212"/>
      <c r="C483" s="212"/>
      <c r="D483" s="21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194"/>
      <c r="T483" s="194"/>
      <c r="U483" s="194"/>
      <c r="V483" s="194"/>
      <c r="W483" s="194"/>
      <c r="X483" s="194"/>
      <c r="Y483" s="194"/>
    </row>
    <row r="484" spans="1:25" outlineLevel="1">
      <c r="A484" s="84"/>
      <c r="B484" s="84"/>
      <c r="C484" s="84"/>
      <c r="D484" s="84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194"/>
      <c r="T484" s="194"/>
      <c r="U484" s="194"/>
      <c r="V484" s="194"/>
      <c r="W484" s="194"/>
      <c r="X484" s="194"/>
      <c r="Y484" s="194"/>
    </row>
    <row r="485" spans="1:25" outlineLevel="1">
      <c r="A485" s="84"/>
      <c r="B485" s="84"/>
      <c r="C485" s="84"/>
      <c r="D485" s="84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194"/>
      <c r="T485" s="194"/>
      <c r="U485" s="194"/>
      <c r="V485" s="194"/>
      <c r="W485" s="194"/>
      <c r="X485" s="194"/>
      <c r="Y485" s="194"/>
    </row>
    <row r="486" spans="1:25" outlineLevel="1">
      <c r="A486" s="212"/>
      <c r="B486" s="212"/>
      <c r="C486" s="212"/>
      <c r="D486" s="21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194"/>
      <c r="T486" s="194"/>
      <c r="U486" s="194"/>
      <c r="V486" s="194"/>
      <c r="W486" s="194"/>
      <c r="X486" s="194"/>
      <c r="Y486" s="194"/>
    </row>
    <row r="487" spans="1:25" outlineLevel="1">
      <c r="A487" s="194"/>
      <c r="B487" s="212"/>
      <c r="C487" s="212"/>
      <c r="D487" s="21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194"/>
      <c r="T487" s="194"/>
      <c r="U487" s="194"/>
      <c r="V487" s="194"/>
      <c r="W487" s="194"/>
      <c r="X487" s="194"/>
      <c r="Y487" s="194"/>
    </row>
    <row r="488" spans="1:25" outlineLevel="1">
      <c r="A488" s="84"/>
      <c r="B488" s="84"/>
      <c r="C488" s="84"/>
      <c r="D488" s="84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194"/>
      <c r="T488" s="194"/>
      <c r="U488" s="194"/>
      <c r="V488" s="194"/>
      <c r="W488" s="194"/>
      <c r="X488" s="194"/>
      <c r="Y488" s="194"/>
    </row>
    <row r="489" spans="1:25" outlineLevel="1">
      <c r="A489" s="212"/>
      <c r="B489" s="212"/>
      <c r="C489" s="212"/>
      <c r="D489" s="21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194"/>
      <c r="T489" s="194"/>
      <c r="U489" s="194"/>
      <c r="V489" s="194"/>
      <c r="W489" s="194"/>
      <c r="X489" s="194"/>
      <c r="Y489" s="194"/>
    </row>
    <row r="490" spans="1:25" outlineLevel="1">
      <c r="A490" s="84"/>
      <c r="B490" s="297"/>
      <c r="C490" s="297"/>
      <c r="D490" s="297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194"/>
      <c r="T490" s="194"/>
      <c r="U490" s="194"/>
      <c r="V490" s="194"/>
      <c r="W490" s="194"/>
      <c r="X490" s="194"/>
      <c r="Y490" s="194"/>
    </row>
    <row r="491" spans="1:25" outlineLevel="1">
      <c r="A491" s="212"/>
      <c r="B491" s="212"/>
      <c r="C491" s="212"/>
      <c r="D491" s="21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194"/>
      <c r="T491" s="194"/>
      <c r="U491" s="194"/>
      <c r="V491" s="194"/>
      <c r="W491" s="194"/>
      <c r="X491" s="194"/>
      <c r="Y491" s="194"/>
    </row>
    <row r="492" spans="1:25" outlineLevel="1">
      <c r="A492" s="212"/>
      <c r="B492" s="212"/>
      <c r="C492" s="212"/>
      <c r="D492" s="21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194"/>
      <c r="T492" s="194"/>
      <c r="U492" s="194"/>
      <c r="V492" s="194"/>
      <c r="W492" s="194"/>
      <c r="X492" s="194"/>
      <c r="Y492" s="194"/>
    </row>
    <row r="493" spans="1:25" outlineLevel="1">
      <c r="A493" s="212"/>
      <c r="B493" s="212"/>
      <c r="C493" s="212"/>
      <c r="D493" s="21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194"/>
      <c r="T493" s="194"/>
      <c r="U493" s="194"/>
      <c r="V493" s="194"/>
      <c r="W493" s="194"/>
      <c r="X493" s="194"/>
      <c r="Y493" s="194"/>
    </row>
    <row r="494" spans="1:25" outlineLevel="1">
      <c r="A494" s="212"/>
      <c r="B494" s="296"/>
      <c r="C494" s="296"/>
      <c r="D494" s="296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194"/>
      <c r="T494" s="194"/>
      <c r="U494" s="194"/>
      <c r="V494" s="194"/>
      <c r="W494" s="194"/>
      <c r="X494" s="194"/>
      <c r="Y494" s="194"/>
    </row>
    <row r="495" spans="1:25" outlineLevel="1">
      <c r="A495" s="212"/>
      <c r="B495" s="296"/>
      <c r="C495" s="296"/>
      <c r="D495" s="296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194"/>
      <c r="T495" s="194"/>
      <c r="U495" s="194"/>
      <c r="V495" s="194"/>
      <c r="W495" s="194"/>
      <c r="X495" s="194"/>
      <c r="Y495" s="194"/>
    </row>
    <row r="496" spans="1:25" outlineLevel="1">
      <c r="A496" s="212"/>
      <c r="B496" s="296"/>
      <c r="C496" s="296"/>
      <c r="D496" s="296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194"/>
      <c r="T496" s="194"/>
      <c r="U496" s="194"/>
      <c r="V496" s="194"/>
      <c r="W496" s="194"/>
      <c r="X496" s="194"/>
      <c r="Y496" s="194"/>
    </row>
    <row r="497" spans="1:25" outlineLevel="1">
      <c r="A497" s="212"/>
      <c r="B497" s="296"/>
      <c r="C497" s="296"/>
      <c r="D497" s="296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194"/>
      <c r="T497" s="194"/>
      <c r="U497" s="194"/>
      <c r="V497" s="194"/>
      <c r="W497" s="194"/>
      <c r="X497" s="194"/>
      <c r="Y497" s="194"/>
    </row>
    <row r="498" spans="1:25" outlineLevel="1">
      <c r="A498" s="212"/>
      <c r="B498" s="296"/>
      <c r="C498" s="296"/>
      <c r="D498" s="296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194"/>
      <c r="T498" s="194"/>
      <c r="U498" s="194"/>
      <c r="V498" s="194"/>
      <c r="W498" s="194"/>
      <c r="X498" s="194"/>
      <c r="Y498" s="194"/>
    </row>
    <row r="499" spans="1:25" outlineLevel="1">
      <c r="A499" s="194"/>
      <c r="B499" s="296"/>
      <c r="C499" s="296"/>
      <c r="D499" s="296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 spans="1:25" outlineLevel="1">
      <c r="A500" s="194"/>
      <c r="B500" s="62"/>
      <c r="C500" s="62"/>
      <c r="D500" s="296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 spans="1:25" outlineLevel="1">
      <c r="A501" s="194"/>
      <c r="B501" s="296"/>
      <c r="C501" s="296"/>
      <c r="D501" s="296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 spans="1:25" outlineLevel="1">
      <c r="A502" s="194"/>
      <c r="B502" s="296"/>
      <c r="C502" s="296"/>
      <c r="D502" s="296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 spans="1:25" outlineLevel="1">
      <c r="A503" s="194"/>
      <c r="B503" s="296"/>
      <c r="C503" s="296"/>
      <c r="D503" s="296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 spans="1:25" outlineLevel="1">
      <c r="A504" s="194"/>
      <c r="B504" s="296"/>
      <c r="C504" s="296"/>
      <c r="D504" s="296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 spans="1:25" outlineLevel="1">
      <c r="A505" s="212"/>
      <c r="B505" s="296"/>
      <c r="C505" s="296"/>
      <c r="D505" s="296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 spans="1:25" outlineLevel="1">
      <c r="A506" s="194"/>
      <c r="B506" s="296"/>
      <c r="C506" s="296"/>
      <c r="D506" s="296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 spans="1:25" outlineLevel="1">
      <c r="A507" s="194"/>
      <c r="B507" s="296"/>
      <c r="C507" s="296"/>
      <c r="D507" s="296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 spans="1:25" outlineLevel="1">
      <c r="A508" s="212"/>
      <c r="B508" s="296"/>
      <c r="C508" s="296"/>
      <c r="D508" s="296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 spans="1:25" outlineLevel="1">
      <c r="A509" s="212"/>
      <c r="B509" s="296"/>
      <c r="C509" s="296"/>
      <c r="D509" s="296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 spans="1:25" outlineLevel="1">
      <c r="A510" s="194"/>
      <c r="B510" s="296"/>
      <c r="C510" s="296"/>
      <c r="D510" s="296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 spans="1:25" outlineLevel="1">
      <c r="A511" s="194"/>
      <c r="B511" s="296"/>
      <c r="C511" s="296"/>
      <c r="D511" s="296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 spans="1:25" outlineLevel="1">
      <c r="A512" s="194"/>
      <c r="B512" s="296"/>
      <c r="C512" s="296"/>
      <c r="D512" s="296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 spans="1:25" outlineLevel="1">
      <c r="A513" s="194"/>
      <c r="B513" s="296"/>
      <c r="C513" s="296"/>
      <c r="D513" s="296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 spans="1:25" outlineLevel="1">
      <c r="A514" s="194"/>
      <c r="B514" s="296"/>
      <c r="C514" s="296"/>
      <c r="D514" s="296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 spans="1:25" outlineLevel="1">
      <c r="A515" s="194"/>
      <c r="B515" s="296"/>
      <c r="C515" s="296"/>
      <c r="D515" s="296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 spans="1:25" outlineLevel="1">
      <c r="A516" s="194"/>
      <c r="B516" s="296"/>
      <c r="C516" s="296"/>
      <c r="D516" s="296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 spans="1:25" outlineLevel="1">
      <c r="A517" s="194"/>
      <c r="B517" s="296"/>
      <c r="C517" s="296"/>
      <c r="D517" s="296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194"/>
      <c r="T517" s="194"/>
      <c r="U517" s="194"/>
      <c r="V517" s="194"/>
      <c r="W517" s="194"/>
      <c r="X517" s="194"/>
      <c r="Y517" s="194"/>
    </row>
    <row r="518" spans="1:25" outlineLevel="1">
      <c r="A518" s="212"/>
      <c r="B518" s="296"/>
      <c r="C518" s="296"/>
      <c r="D518" s="296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194"/>
      <c r="T518" s="194"/>
      <c r="U518" s="194"/>
      <c r="V518" s="194"/>
      <c r="W518" s="194"/>
      <c r="X518" s="194"/>
      <c r="Y518" s="194"/>
    </row>
    <row r="519" spans="1:25" outlineLevel="1">
      <c r="A519" s="212"/>
      <c r="B519" s="296"/>
      <c r="C519" s="296"/>
      <c r="D519" s="296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194"/>
      <c r="T519" s="194"/>
      <c r="U519" s="194"/>
      <c r="V519" s="194"/>
      <c r="W519" s="194"/>
      <c r="X519" s="194"/>
      <c r="Y519" s="194"/>
    </row>
    <row r="520" spans="1:25" outlineLevel="1">
      <c r="A520" s="212"/>
      <c r="B520" s="296"/>
      <c r="C520" s="296"/>
      <c r="D520" s="296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194"/>
      <c r="T520" s="194"/>
      <c r="U520" s="194"/>
      <c r="V520" s="194"/>
      <c r="W520" s="194"/>
      <c r="X520" s="194"/>
      <c r="Y520" s="194"/>
    </row>
    <row r="521" spans="1:25" outlineLevel="1">
      <c r="A521" s="212"/>
      <c r="B521" s="296"/>
      <c r="C521" s="296"/>
      <c r="D521" s="296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194"/>
      <c r="T521" s="194"/>
      <c r="U521" s="194"/>
      <c r="V521" s="194"/>
      <c r="W521" s="194"/>
      <c r="X521" s="194"/>
      <c r="Y521" s="194"/>
    </row>
    <row r="522" spans="1:25" outlineLevel="1">
      <c r="A522" s="212"/>
      <c r="B522" s="296"/>
      <c r="C522" s="296"/>
      <c r="D522" s="296"/>
      <c r="E522" s="194"/>
      <c r="F522" s="194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4"/>
      <c r="T522" s="194"/>
      <c r="U522" s="194"/>
      <c r="V522" s="194"/>
      <c r="W522" s="194"/>
      <c r="X522" s="194"/>
      <c r="Y522" s="194"/>
    </row>
    <row r="523" spans="1:25" outlineLevel="1">
      <c r="A523" s="194"/>
      <c r="B523" s="194"/>
      <c r="C523" s="194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</row>
    <row r="524" spans="1:25" outlineLevel="1">
      <c r="A524" s="212"/>
      <c r="B524" s="194"/>
      <c r="C524" s="194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</row>
    <row r="525" spans="1:25" outlineLevel="1">
      <c r="A525" s="212"/>
      <c r="B525" s="194"/>
      <c r="C525" s="194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</row>
    <row r="526" spans="1:25" outlineLevel="1">
      <c r="A526" s="194"/>
      <c r="B526" s="194"/>
      <c r="C526" s="194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</row>
    <row r="527" spans="1:25" outlineLevel="1">
      <c r="A527" s="194"/>
      <c r="B527" s="194"/>
      <c r="C527" s="194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</row>
    <row r="528" spans="1:25" outlineLevel="1">
      <c r="A528" s="198"/>
      <c r="B528" s="200"/>
      <c r="C528" s="200"/>
      <c r="D528" s="200"/>
      <c r="E528" s="200"/>
      <c r="F528" s="200"/>
      <c r="G528" s="200"/>
      <c r="H528" s="200"/>
      <c r="I528" s="200"/>
      <c r="J528" s="200"/>
      <c r="K528" s="200"/>
      <c r="L528" s="200"/>
      <c r="M528" s="200"/>
      <c r="N528" s="200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</row>
    <row r="529" spans="1:25" outlineLevel="1">
      <c r="A529" s="194"/>
      <c r="B529" s="194"/>
      <c r="C529" s="194"/>
      <c r="D529" s="194"/>
      <c r="E529" s="194"/>
      <c r="F529" s="194"/>
      <c r="G529" s="237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</row>
    <row r="530" spans="1:25" outlineLevel="1">
      <c r="A530" s="212"/>
      <c r="B530" s="194"/>
      <c r="C530" s="194"/>
      <c r="D530" s="194"/>
      <c r="E530" s="194"/>
      <c r="F530" s="194"/>
      <c r="G530" s="237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194"/>
      <c r="T530" s="194"/>
      <c r="U530" s="194"/>
      <c r="V530" s="194"/>
      <c r="W530" s="194"/>
      <c r="X530" s="194"/>
      <c r="Y530" s="194"/>
    </row>
    <row r="531" spans="1:25" outlineLevel="1">
      <c r="A531" s="194"/>
      <c r="B531" s="194"/>
      <c r="C531" s="194"/>
      <c r="D531" s="194"/>
      <c r="E531" s="194"/>
      <c r="F531" s="194"/>
      <c r="G531" s="237"/>
      <c r="H531" s="237"/>
      <c r="I531" s="237"/>
      <c r="J531" s="237"/>
      <c r="K531" s="237"/>
      <c r="L531" s="237"/>
      <c r="M531" s="237"/>
      <c r="N531" s="237"/>
      <c r="O531" s="237"/>
      <c r="P531" s="237"/>
      <c r="Q531" s="237"/>
      <c r="R531" s="237"/>
      <c r="S531" s="194"/>
      <c r="T531" s="194"/>
      <c r="U531" s="194"/>
      <c r="V531" s="194"/>
      <c r="W531" s="194"/>
      <c r="X531" s="194"/>
      <c r="Y531" s="194"/>
    </row>
    <row r="532" spans="1:25" outlineLevel="1">
      <c r="A532" s="194"/>
      <c r="B532" s="194"/>
      <c r="C532" s="194"/>
      <c r="D532" s="194"/>
      <c r="E532" s="194"/>
      <c r="F532" s="194"/>
      <c r="G532" s="237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194"/>
      <c r="T532" s="194"/>
      <c r="U532" s="194"/>
      <c r="V532" s="194"/>
      <c r="W532" s="194"/>
      <c r="X532" s="194"/>
      <c r="Y532" s="194"/>
    </row>
    <row r="533" spans="1:25" outlineLevel="1">
      <c r="A533" s="194"/>
      <c r="B533" s="194"/>
      <c r="C533" s="194"/>
      <c r="D533" s="194"/>
      <c r="E533" s="194"/>
      <c r="F533" s="194"/>
      <c r="G533" s="237"/>
      <c r="H533" s="237"/>
      <c r="I533" s="237"/>
      <c r="J533" s="237"/>
      <c r="K533" s="237"/>
      <c r="L533" s="237"/>
      <c r="M533" s="237"/>
      <c r="N533" s="237"/>
      <c r="O533" s="237"/>
      <c r="P533" s="237"/>
      <c r="Q533" s="237"/>
      <c r="R533" s="237"/>
      <c r="S533" s="194"/>
      <c r="T533" s="194"/>
      <c r="U533" s="194"/>
      <c r="V533" s="194"/>
      <c r="W533" s="194"/>
      <c r="X533" s="194"/>
      <c r="Y533" s="194"/>
    </row>
    <row r="534" spans="1:25" outlineLevel="1">
      <c r="A534" s="194"/>
      <c r="B534" s="194"/>
      <c r="C534" s="194"/>
      <c r="D534" s="194"/>
      <c r="E534" s="194"/>
      <c r="F534" s="194"/>
      <c r="G534" s="237"/>
      <c r="H534" s="237"/>
      <c r="I534" s="237"/>
      <c r="J534" s="237"/>
      <c r="K534" s="237"/>
      <c r="L534" s="237"/>
      <c r="M534" s="237"/>
      <c r="N534" s="237"/>
      <c r="O534" s="237"/>
      <c r="P534" s="237"/>
      <c r="Q534" s="237"/>
      <c r="R534" s="237"/>
      <c r="S534" s="194"/>
      <c r="T534" s="194"/>
      <c r="U534" s="194"/>
      <c r="V534" s="194"/>
      <c r="W534" s="194"/>
      <c r="X534" s="194"/>
      <c r="Y534" s="194"/>
    </row>
    <row r="535" spans="1:25" outlineLevel="1">
      <c r="A535" s="55"/>
      <c r="B535" s="194"/>
      <c r="C535" s="194"/>
      <c r="D535" s="194"/>
      <c r="E535" s="194"/>
      <c r="F535" s="194"/>
      <c r="G535" s="237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4"/>
      <c r="T535" s="194"/>
      <c r="U535" s="194"/>
      <c r="V535" s="194"/>
      <c r="W535" s="194"/>
      <c r="X535" s="194"/>
      <c r="Y535" s="194"/>
    </row>
    <row r="536" spans="1:25" outlineLevel="1">
      <c r="A536" s="55"/>
      <c r="B536" s="194"/>
      <c r="C536" s="194"/>
      <c r="D536" s="194"/>
      <c r="E536" s="194"/>
      <c r="F536" s="194"/>
      <c r="G536" s="237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4"/>
      <c r="T536" s="194"/>
      <c r="U536" s="194"/>
      <c r="V536" s="194"/>
      <c r="W536" s="194"/>
      <c r="X536" s="194"/>
      <c r="Y536" s="194"/>
    </row>
    <row r="537" spans="1:25" outlineLevel="1">
      <c r="A537" s="212"/>
      <c r="B537" s="194"/>
      <c r="C537" s="194"/>
      <c r="D537" s="194"/>
      <c r="E537" s="194"/>
      <c r="F537" s="194"/>
      <c r="G537" s="237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</row>
    <row r="538" spans="1:25" outlineLevel="1">
      <c r="A538" s="194"/>
      <c r="B538" s="194"/>
      <c r="C538" s="194"/>
      <c r="D538" s="194"/>
      <c r="E538" s="194"/>
      <c r="F538" s="194"/>
      <c r="G538" s="237"/>
      <c r="H538" s="237"/>
      <c r="I538" s="237"/>
      <c r="J538" s="237"/>
      <c r="K538" s="237"/>
      <c r="L538" s="237"/>
      <c r="M538" s="237"/>
      <c r="N538" s="237"/>
      <c r="O538" s="237"/>
      <c r="P538" s="237"/>
      <c r="Q538" s="237"/>
      <c r="R538" s="237"/>
      <c r="S538" s="194"/>
      <c r="T538" s="194"/>
      <c r="U538" s="194"/>
      <c r="V538" s="194"/>
      <c r="W538" s="194"/>
      <c r="X538" s="194"/>
      <c r="Y538" s="194"/>
    </row>
    <row r="539" spans="1:25" outlineLevel="1">
      <c r="A539" s="194"/>
      <c r="B539" s="194"/>
      <c r="C539" s="194"/>
      <c r="D539" s="194"/>
      <c r="E539" s="194"/>
      <c r="F539" s="194"/>
      <c r="G539" s="237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</row>
    <row r="540" spans="1:25" outlineLevel="1">
      <c r="A540" s="212"/>
      <c r="B540" s="194"/>
      <c r="C540" s="194"/>
      <c r="D540" s="194"/>
      <c r="E540" s="194"/>
      <c r="F540" s="194"/>
      <c r="G540" s="237"/>
      <c r="H540" s="304"/>
      <c r="I540" s="304"/>
      <c r="J540" s="304"/>
      <c r="K540" s="304"/>
      <c r="L540" s="304"/>
      <c r="M540" s="304"/>
      <c r="N540" s="304"/>
      <c r="O540" s="304"/>
      <c r="P540" s="304"/>
      <c r="Q540" s="304"/>
      <c r="R540" s="304"/>
      <c r="S540" s="194"/>
      <c r="T540" s="194"/>
      <c r="U540" s="194"/>
      <c r="V540" s="194"/>
      <c r="W540" s="194"/>
      <c r="X540" s="194"/>
      <c r="Y540" s="194"/>
    </row>
    <row r="541" spans="1:25" outlineLevel="1">
      <c r="A541" s="194"/>
      <c r="B541" s="303"/>
      <c r="C541" s="303"/>
      <c r="D541" s="194"/>
      <c r="E541" s="194"/>
      <c r="F541" s="194"/>
      <c r="G541" s="237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4"/>
      <c r="T541" s="194"/>
      <c r="U541" s="194"/>
      <c r="V541" s="194"/>
      <c r="W541" s="194"/>
      <c r="X541" s="194"/>
      <c r="Y541" s="194"/>
    </row>
    <row r="542" spans="1:25" outlineLevel="1">
      <c r="A542" s="212"/>
      <c r="B542" s="194"/>
      <c r="C542" s="194"/>
      <c r="D542" s="194"/>
      <c r="E542" s="194"/>
      <c r="F542" s="194"/>
      <c r="G542" s="237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4"/>
      <c r="T542" s="194"/>
      <c r="U542" s="194"/>
      <c r="V542" s="194"/>
      <c r="W542" s="194"/>
      <c r="X542" s="194"/>
      <c r="Y542" s="194"/>
    </row>
    <row r="543" spans="1:25" outlineLevel="1">
      <c r="A543" s="194"/>
      <c r="B543" s="194"/>
      <c r="C543" s="194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</row>
    <row r="544" spans="1:25" outlineLevel="1">
      <c r="A544" s="194"/>
      <c r="B544" s="194"/>
      <c r="C544" s="194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</row>
    <row r="545" spans="1:25" s="307" customFormat="1" outlineLevel="1">
      <c r="A545" s="306"/>
      <c r="B545" s="306"/>
      <c r="C545" s="306"/>
      <c r="D545" s="306"/>
      <c r="E545" s="306"/>
      <c r="F545" s="306"/>
      <c r="G545" s="306"/>
    </row>
    <row r="546" spans="1:25" s="307" customFormat="1" outlineLevel="1">
      <c r="A546" s="306"/>
      <c r="B546" s="306"/>
      <c r="C546" s="306"/>
      <c r="D546" s="306"/>
      <c r="E546" s="306"/>
      <c r="F546" s="308"/>
      <c r="G546" s="309"/>
      <c r="H546" s="306"/>
      <c r="I546" s="310"/>
    </row>
    <row r="547" spans="1:25" s="307" customFormat="1" outlineLevel="1">
      <c r="A547" s="306"/>
      <c r="B547" s="309"/>
      <c r="C547" s="309"/>
      <c r="D547" s="309"/>
      <c r="E547" s="309"/>
      <c r="F547" s="311"/>
      <c r="G547" s="298"/>
      <c r="H547" s="298"/>
      <c r="I547" s="310"/>
    </row>
    <row r="548" spans="1:25" s="307" customFormat="1" outlineLevel="1">
      <c r="A548" s="306"/>
      <c r="B548" s="298"/>
      <c r="C548" s="298"/>
      <c r="D548" s="298"/>
      <c r="E548" s="298"/>
      <c r="F548" s="298"/>
      <c r="G548" s="310"/>
      <c r="H548" s="298"/>
      <c r="I548" s="311"/>
    </row>
    <row r="549" spans="1:25" s="307" customFormat="1" outlineLevel="1">
      <c r="A549" s="312"/>
      <c r="B549" s="308"/>
      <c r="C549" s="308"/>
      <c r="D549" s="308"/>
      <c r="E549" s="308"/>
      <c r="F549" s="308"/>
      <c r="G549" s="308"/>
      <c r="H549" s="308"/>
      <c r="I549" s="308"/>
      <c r="J549" s="308"/>
      <c r="K549" s="308"/>
      <c r="L549" s="308"/>
      <c r="M549" s="308"/>
      <c r="N549" s="308"/>
      <c r="O549" s="308"/>
      <c r="P549" s="308"/>
      <c r="Q549" s="308"/>
      <c r="R549" s="308"/>
      <c r="S549" s="308"/>
      <c r="T549" s="308"/>
      <c r="U549" s="308"/>
      <c r="V549" s="308"/>
      <c r="W549" s="308"/>
      <c r="X549" s="308"/>
      <c r="Y549" s="308"/>
    </row>
    <row r="550" spans="1:25" s="307" customFormat="1" outlineLevel="1">
      <c r="A550" s="294"/>
      <c r="B550" s="306"/>
      <c r="C550" s="306"/>
      <c r="D550" s="306"/>
      <c r="E550" s="306"/>
      <c r="F550" s="306"/>
      <c r="G550" s="313"/>
      <c r="H550" s="313"/>
      <c r="I550" s="313"/>
      <c r="J550" s="313"/>
      <c r="K550" s="313"/>
      <c r="L550" s="313"/>
      <c r="M550" s="313"/>
      <c r="N550" s="313"/>
      <c r="O550" s="313"/>
      <c r="P550" s="313"/>
      <c r="Q550" s="313"/>
      <c r="R550" s="313"/>
      <c r="S550" s="313"/>
      <c r="T550" s="313"/>
      <c r="U550" s="313"/>
      <c r="V550" s="313"/>
      <c r="W550" s="313"/>
      <c r="X550" s="313"/>
      <c r="Y550" s="313"/>
    </row>
    <row r="551" spans="1:25" s="307" customFormat="1" outlineLevel="1">
      <c r="A551" s="41"/>
      <c r="B551" s="306"/>
      <c r="C551" s="306"/>
      <c r="D551" s="313"/>
      <c r="E551" s="313"/>
      <c r="F551" s="313"/>
      <c r="G551" s="313"/>
      <c r="H551" s="313"/>
      <c r="I551" s="313"/>
      <c r="J551" s="313"/>
      <c r="K551" s="313"/>
      <c r="L551" s="313"/>
      <c r="M551" s="313"/>
      <c r="N551" s="313"/>
      <c r="O551" s="313"/>
      <c r="P551" s="313"/>
      <c r="Q551" s="313"/>
      <c r="R551" s="313"/>
      <c r="S551" s="313"/>
      <c r="T551" s="313"/>
      <c r="U551" s="313"/>
      <c r="V551" s="313"/>
      <c r="W551" s="313"/>
      <c r="X551" s="313"/>
      <c r="Y551" s="313"/>
    </row>
    <row r="552" spans="1:25" s="307" customFormat="1" outlineLevel="1">
      <c r="A552" s="41"/>
      <c r="B552" s="81"/>
      <c r="C552" s="81"/>
      <c r="D552" s="313"/>
      <c r="E552" s="313"/>
      <c r="F552" s="313"/>
      <c r="G552" s="313"/>
      <c r="H552" s="313"/>
      <c r="I552" s="313"/>
      <c r="J552" s="313"/>
      <c r="K552" s="313"/>
      <c r="L552" s="313"/>
      <c r="M552" s="313"/>
      <c r="N552" s="313"/>
      <c r="O552" s="313"/>
      <c r="P552" s="313"/>
      <c r="Q552" s="313"/>
      <c r="R552" s="313"/>
      <c r="S552" s="313"/>
      <c r="T552" s="313"/>
      <c r="U552" s="313"/>
      <c r="V552" s="313"/>
      <c r="W552" s="313"/>
      <c r="X552" s="313"/>
      <c r="Y552" s="313"/>
    </row>
    <row r="553" spans="1:25" s="307" customFormat="1" outlineLevel="1">
      <c r="A553" s="41"/>
      <c r="B553" s="314"/>
      <c r="C553" s="314"/>
      <c r="D553" s="313"/>
      <c r="E553" s="313"/>
      <c r="F553" s="313"/>
      <c r="G553" s="313"/>
      <c r="H553" s="313"/>
      <c r="I553" s="313"/>
      <c r="J553" s="313"/>
      <c r="K553" s="313"/>
      <c r="L553" s="313"/>
      <c r="M553" s="313"/>
      <c r="N553" s="313"/>
      <c r="O553" s="313"/>
      <c r="P553" s="313"/>
      <c r="Q553" s="313"/>
      <c r="R553" s="313"/>
      <c r="S553" s="313"/>
      <c r="T553" s="313"/>
      <c r="U553" s="313"/>
      <c r="V553" s="313"/>
      <c r="W553" s="313"/>
      <c r="X553" s="313"/>
      <c r="Y553" s="313"/>
    </row>
    <row r="554" spans="1:25" s="307" customFormat="1" outlineLevel="1">
      <c r="A554" s="293"/>
      <c r="B554" s="312"/>
      <c r="C554" s="312"/>
      <c r="D554" s="313"/>
      <c r="E554" s="313"/>
      <c r="F554" s="313"/>
      <c r="G554" s="313"/>
      <c r="H554" s="313"/>
      <c r="I554" s="313"/>
      <c r="J554" s="313"/>
      <c r="K554" s="313"/>
      <c r="L554" s="313"/>
      <c r="M554" s="313"/>
      <c r="N554" s="313"/>
      <c r="O554" s="313"/>
      <c r="P554" s="313"/>
      <c r="Q554" s="313"/>
      <c r="R554" s="313"/>
      <c r="S554" s="313"/>
      <c r="T554" s="313"/>
      <c r="U554" s="313"/>
      <c r="V554" s="313"/>
      <c r="W554" s="313"/>
      <c r="X554" s="313"/>
      <c r="Y554" s="313"/>
    </row>
    <row r="555" spans="1:25" s="307" customFormat="1" outlineLevel="1">
      <c r="A555" s="232"/>
      <c r="D555" s="313"/>
      <c r="E555" s="313"/>
      <c r="F555" s="313"/>
      <c r="G555" s="313"/>
      <c r="H555" s="313"/>
      <c r="I555" s="313"/>
      <c r="J555" s="313"/>
      <c r="K555" s="313"/>
      <c r="L555" s="313"/>
      <c r="M555" s="313"/>
      <c r="N555" s="313"/>
      <c r="O555" s="313"/>
      <c r="P555" s="313"/>
      <c r="Q555" s="313"/>
      <c r="R555" s="313"/>
      <c r="S555" s="313"/>
      <c r="T555" s="313"/>
      <c r="U555" s="313"/>
      <c r="V555" s="313"/>
      <c r="W555" s="313"/>
      <c r="X555" s="313"/>
      <c r="Y555" s="313"/>
    </row>
    <row r="556" spans="1:25" s="307" customFormat="1" outlineLevel="1">
      <c r="A556" s="294"/>
      <c r="B556" s="306"/>
      <c r="C556" s="306"/>
      <c r="D556" s="313"/>
      <c r="E556" s="313"/>
      <c r="F556" s="313"/>
      <c r="G556" s="313"/>
      <c r="H556" s="313"/>
      <c r="I556" s="313"/>
      <c r="J556" s="313"/>
      <c r="K556" s="313"/>
      <c r="L556" s="313"/>
      <c r="M556" s="313"/>
      <c r="N556" s="313"/>
      <c r="O556" s="313"/>
      <c r="P556" s="313"/>
      <c r="Q556" s="313"/>
      <c r="R556" s="313"/>
      <c r="S556" s="313"/>
      <c r="T556" s="313"/>
      <c r="U556" s="313"/>
      <c r="V556" s="313"/>
      <c r="W556" s="313"/>
      <c r="X556" s="313"/>
      <c r="Y556" s="313"/>
    </row>
    <row r="557" spans="1:25" s="307" customFormat="1" outlineLevel="1">
      <c r="A557" s="315"/>
      <c r="B557" s="316"/>
      <c r="C557" s="316"/>
      <c r="D557" s="313"/>
      <c r="E557" s="313"/>
      <c r="F557" s="313"/>
      <c r="G557" s="313"/>
      <c r="H557" s="313"/>
      <c r="I557" s="313"/>
      <c r="J557" s="313"/>
      <c r="K557" s="313"/>
      <c r="L557" s="313"/>
      <c r="M557" s="313"/>
      <c r="N557" s="313"/>
      <c r="O557" s="313"/>
      <c r="P557" s="313"/>
      <c r="Q557" s="313"/>
      <c r="R557" s="313"/>
      <c r="S557" s="313"/>
      <c r="T557" s="313"/>
      <c r="U557" s="313"/>
      <c r="V557" s="313"/>
      <c r="W557" s="313"/>
      <c r="X557" s="313"/>
      <c r="Y557" s="313"/>
    </row>
    <row r="558" spans="1:25" s="307" customFormat="1" outlineLevel="1">
      <c r="A558" s="315"/>
      <c r="B558" s="316"/>
      <c r="C558" s="316"/>
      <c r="D558" s="313"/>
      <c r="E558" s="313"/>
      <c r="F558" s="313"/>
      <c r="G558" s="313"/>
      <c r="H558" s="313"/>
      <c r="I558" s="313"/>
      <c r="J558" s="313"/>
      <c r="K558" s="313"/>
      <c r="L558" s="313"/>
      <c r="M558" s="313"/>
      <c r="N558" s="313"/>
      <c r="O558" s="313"/>
      <c r="P558" s="313"/>
      <c r="Q558" s="313"/>
      <c r="R558" s="313"/>
      <c r="S558" s="313"/>
      <c r="T558" s="313"/>
      <c r="U558" s="313"/>
      <c r="V558" s="313"/>
      <c r="W558" s="313"/>
      <c r="X558" s="313"/>
      <c r="Y558" s="313"/>
    </row>
    <row r="559" spans="1:25" s="307" customFormat="1" outlineLevel="1">
      <c r="A559" s="315"/>
      <c r="B559" s="316"/>
      <c r="C559" s="316"/>
      <c r="D559" s="313"/>
      <c r="E559" s="313"/>
      <c r="F559" s="313"/>
      <c r="G559" s="313"/>
      <c r="H559" s="313"/>
      <c r="I559" s="313"/>
      <c r="J559" s="313"/>
      <c r="K559" s="313"/>
      <c r="L559" s="313"/>
      <c r="M559" s="313"/>
      <c r="N559" s="313"/>
      <c r="O559" s="313"/>
      <c r="P559" s="313"/>
      <c r="Q559" s="313"/>
      <c r="R559" s="313"/>
      <c r="S559" s="313"/>
      <c r="T559" s="313"/>
      <c r="U559" s="313"/>
      <c r="V559" s="313"/>
      <c r="W559" s="313"/>
      <c r="X559" s="313"/>
      <c r="Y559" s="313"/>
    </row>
    <row r="560" spans="1:25" s="307" customFormat="1" outlineLevel="1">
      <c r="A560" s="315"/>
      <c r="B560" s="316"/>
      <c r="C560" s="316"/>
      <c r="D560" s="313"/>
      <c r="E560" s="313"/>
      <c r="F560" s="313"/>
      <c r="G560" s="313"/>
      <c r="H560" s="313"/>
      <c r="I560" s="313"/>
      <c r="J560" s="313"/>
      <c r="K560" s="313"/>
      <c r="L560" s="313"/>
      <c r="M560" s="313"/>
      <c r="N560" s="313"/>
      <c r="O560" s="313"/>
      <c r="P560" s="313"/>
      <c r="Q560" s="313"/>
      <c r="R560" s="313"/>
      <c r="S560" s="313"/>
      <c r="T560" s="313"/>
      <c r="U560" s="313"/>
      <c r="V560" s="313"/>
      <c r="W560" s="313"/>
      <c r="X560" s="313"/>
      <c r="Y560" s="313"/>
    </row>
    <row r="561" spans="1:25" s="307" customFormat="1" outlineLevel="1">
      <c r="A561" s="315"/>
      <c r="B561" s="316"/>
      <c r="C561" s="316"/>
      <c r="D561" s="313"/>
      <c r="E561" s="313"/>
      <c r="F561" s="313"/>
      <c r="G561" s="313"/>
      <c r="H561" s="313"/>
      <c r="I561" s="313"/>
      <c r="J561" s="313"/>
      <c r="K561" s="313"/>
      <c r="L561" s="313"/>
      <c r="M561" s="313"/>
      <c r="N561" s="313"/>
      <c r="O561" s="313"/>
      <c r="P561" s="313"/>
      <c r="Q561" s="313"/>
      <c r="R561" s="313"/>
      <c r="S561" s="313"/>
      <c r="T561" s="313"/>
      <c r="U561" s="313"/>
      <c r="V561" s="313"/>
      <c r="W561" s="313"/>
      <c r="X561" s="313"/>
      <c r="Y561" s="313"/>
    </row>
    <row r="562" spans="1:25" s="307" customFormat="1" outlineLevel="1">
      <c r="A562" s="295"/>
      <c r="B562" s="316"/>
      <c r="C562" s="316"/>
      <c r="D562" s="313"/>
      <c r="E562" s="313"/>
      <c r="F562" s="313"/>
      <c r="G562" s="313"/>
      <c r="H562" s="313"/>
      <c r="I562" s="313"/>
      <c r="J562" s="313"/>
      <c r="K562" s="313"/>
      <c r="L562" s="313"/>
      <c r="M562" s="313"/>
      <c r="N562" s="313"/>
      <c r="O562" s="313"/>
      <c r="P562" s="313"/>
      <c r="Q562" s="313"/>
      <c r="R562" s="313"/>
      <c r="S562" s="313"/>
      <c r="T562" s="313"/>
      <c r="U562" s="313"/>
      <c r="V562" s="313"/>
      <c r="W562" s="313"/>
      <c r="X562" s="313"/>
      <c r="Y562" s="313"/>
    </row>
    <row r="563" spans="1:25" s="307" customFormat="1" outlineLevel="1">
      <c r="A563" s="315"/>
      <c r="B563" s="316"/>
      <c r="C563" s="316"/>
      <c r="D563" s="313"/>
      <c r="E563" s="313"/>
      <c r="F563" s="313"/>
      <c r="G563" s="313"/>
      <c r="H563" s="313"/>
      <c r="I563" s="313"/>
      <c r="J563" s="313"/>
      <c r="K563" s="313"/>
      <c r="L563" s="313"/>
      <c r="M563" s="313"/>
      <c r="N563" s="313"/>
      <c r="O563" s="313"/>
      <c r="P563" s="313"/>
      <c r="Q563" s="313"/>
      <c r="R563" s="313"/>
      <c r="S563" s="313"/>
      <c r="T563" s="313"/>
      <c r="U563" s="313"/>
      <c r="V563" s="313"/>
      <c r="W563" s="313"/>
      <c r="X563" s="313"/>
      <c r="Y563" s="313"/>
    </row>
    <row r="564" spans="1:25" s="307" customFormat="1" outlineLevel="1">
      <c r="A564" s="315"/>
      <c r="B564" s="316"/>
      <c r="C564" s="316"/>
      <c r="D564" s="313"/>
      <c r="E564" s="313"/>
      <c r="F564" s="313"/>
      <c r="G564" s="313"/>
      <c r="H564" s="313"/>
      <c r="I564" s="313"/>
      <c r="J564" s="313"/>
      <c r="K564" s="313"/>
      <c r="L564" s="313"/>
      <c r="M564" s="313"/>
      <c r="N564" s="313"/>
      <c r="O564" s="313"/>
      <c r="P564" s="313"/>
      <c r="Q564" s="313"/>
      <c r="R564" s="313"/>
      <c r="S564" s="313"/>
      <c r="T564" s="313"/>
      <c r="U564" s="313"/>
      <c r="V564" s="313"/>
      <c r="W564" s="313"/>
      <c r="X564" s="313"/>
      <c r="Y564" s="313"/>
    </row>
    <row r="565" spans="1:25" s="307" customFormat="1" outlineLevel="1">
      <c r="A565" s="315"/>
      <c r="B565" s="316"/>
      <c r="C565" s="316"/>
      <c r="D565" s="313"/>
      <c r="E565" s="313"/>
      <c r="F565" s="313"/>
      <c r="G565" s="313"/>
      <c r="H565" s="313"/>
      <c r="I565" s="313"/>
      <c r="J565" s="313"/>
      <c r="K565" s="313"/>
      <c r="L565" s="313"/>
      <c r="M565" s="313"/>
      <c r="N565" s="313"/>
      <c r="O565" s="313"/>
      <c r="P565" s="313"/>
      <c r="Q565" s="313"/>
      <c r="R565" s="313"/>
      <c r="S565" s="313"/>
      <c r="T565" s="313"/>
      <c r="U565" s="313"/>
      <c r="V565" s="313"/>
      <c r="W565" s="313"/>
      <c r="X565" s="313"/>
      <c r="Y565" s="313"/>
    </row>
    <row r="566" spans="1:25" s="307" customFormat="1" outlineLevel="1">
      <c r="A566" s="315"/>
      <c r="B566" s="316"/>
      <c r="C566" s="316"/>
      <c r="D566" s="313"/>
      <c r="E566" s="313"/>
      <c r="F566" s="313"/>
      <c r="G566" s="313"/>
      <c r="H566" s="313"/>
      <c r="I566" s="313"/>
      <c r="J566" s="313"/>
      <c r="K566" s="313"/>
      <c r="L566" s="313"/>
      <c r="M566" s="313"/>
      <c r="N566" s="313"/>
      <c r="O566" s="313"/>
      <c r="P566" s="313"/>
      <c r="Q566" s="313"/>
      <c r="R566" s="313"/>
      <c r="S566" s="313"/>
      <c r="T566" s="313"/>
      <c r="U566" s="313"/>
      <c r="V566" s="313"/>
      <c r="W566" s="313"/>
      <c r="X566" s="313"/>
      <c r="Y566" s="313"/>
    </row>
    <row r="567" spans="1:25" s="307" customFormat="1" outlineLevel="1">
      <c r="A567" s="315"/>
      <c r="B567" s="316"/>
      <c r="C567" s="316"/>
      <c r="D567" s="313"/>
      <c r="E567" s="313"/>
      <c r="F567" s="313"/>
      <c r="G567" s="313"/>
      <c r="H567" s="313"/>
      <c r="I567" s="313"/>
      <c r="J567" s="313"/>
      <c r="K567" s="313"/>
      <c r="L567" s="313"/>
      <c r="M567" s="313"/>
      <c r="N567" s="313"/>
      <c r="O567" s="313"/>
      <c r="P567" s="313"/>
      <c r="Q567" s="313"/>
      <c r="R567" s="313"/>
      <c r="S567" s="313"/>
      <c r="T567" s="313"/>
      <c r="U567" s="313"/>
      <c r="V567" s="313"/>
      <c r="W567" s="313"/>
      <c r="X567" s="313"/>
      <c r="Y567" s="313"/>
    </row>
    <row r="568" spans="1:25" s="307" customFormat="1" outlineLevel="1">
      <c r="A568" s="294"/>
      <c r="B568" s="316"/>
      <c r="C568" s="316"/>
      <c r="D568" s="313"/>
      <c r="E568" s="313"/>
      <c r="F568" s="313"/>
      <c r="G568" s="313"/>
      <c r="H568" s="313"/>
      <c r="I568" s="313"/>
      <c r="J568" s="313"/>
      <c r="K568" s="313"/>
      <c r="L568" s="313"/>
      <c r="M568" s="313"/>
      <c r="N568" s="313"/>
      <c r="O568" s="313"/>
      <c r="P568" s="313"/>
      <c r="Q568" s="313"/>
      <c r="R568" s="313"/>
      <c r="S568" s="313"/>
      <c r="T568" s="313"/>
      <c r="U568" s="313"/>
      <c r="V568" s="313"/>
      <c r="W568" s="313"/>
      <c r="X568" s="313"/>
      <c r="Y568" s="313"/>
    </row>
    <row r="569" spans="1:25" s="307" customFormat="1" outlineLevel="1">
      <c r="A569" s="294"/>
      <c r="B569" s="316"/>
      <c r="C569" s="316"/>
      <c r="D569" s="313"/>
      <c r="E569" s="313"/>
      <c r="F569" s="313"/>
      <c r="G569" s="313"/>
      <c r="H569" s="313"/>
      <c r="I569" s="313"/>
      <c r="J569" s="313"/>
      <c r="K569" s="313"/>
      <c r="L569" s="313"/>
      <c r="M569" s="313"/>
      <c r="N569" s="313"/>
      <c r="O569" s="313"/>
      <c r="P569" s="313"/>
      <c r="Q569" s="313"/>
      <c r="R569" s="313"/>
      <c r="S569" s="313"/>
      <c r="T569" s="313"/>
      <c r="U569" s="313"/>
      <c r="V569" s="313"/>
      <c r="W569" s="313"/>
      <c r="X569" s="313"/>
      <c r="Y569" s="313"/>
    </row>
    <row r="570" spans="1:25" s="307" customFormat="1" outlineLevel="1">
      <c r="A570" s="294"/>
      <c r="B570" s="316"/>
      <c r="C570" s="316"/>
      <c r="D570" s="313"/>
      <c r="E570" s="313"/>
      <c r="F570" s="313"/>
      <c r="G570" s="313"/>
      <c r="H570" s="313"/>
      <c r="I570" s="313"/>
      <c r="J570" s="313"/>
      <c r="K570" s="313"/>
      <c r="L570" s="313"/>
      <c r="M570" s="313"/>
      <c r="N570" s="313"/>
      <c r="O570" s="313"/>
      <c r="P570" s="313"/>
      <c r="Q570" s="313"/>
      <c r="R570" s="313"/>
      <c r="S570" s="313"/>
      <c r="T570" s="313"/>
      <c r="U570" s="313"/>
      <c r="V570" s="313"/>
      <c r="W570" s="313"/>
      <c r="X570" s="313"/>
      <c r="Y570" s="313"/>
    </row>
    <row r="571" spans="1:25" s="307" customFormat="1" outlineLevel="1">
      <c r="A571" s="294"/>
      <c r="B571" s="316"/>
      <c r="C571" s="316"/>
      <c r="D571" s="313"/>
      <c r="E571" s="313"/>
      <c r="F571" s="313"/>
      <c r="G571" s="313"/>
      <c r="H571" s="313"/>
      <c r="I571" s="313"/>
      <c r="J571" s="313"/>
      <c r="K571" s="313"/>
      <c r="L571" s="313"/>
      <c r="M571" s="313"/>
      <c r="N571" s="313"/>
      <c r="O571" s="313"/>
      <c r="P571" s="313"/>
      <c r="Q571" s="313"/>
      <c r="R571" s="313"/>
      <c r="S571" s="313"/>
      <c r="T571" s="313"/>
      <c r="U571" s="313"/>
      <c r="V571" s="313"/>
      <c r="W571" s="313"/>
      <c r="X571" s="313"/>
      <c r="Y571" s="313"/>
    </row>
    <row r="572" spans="1:25" s="307" customFormat="1" outlineLevel="1">
      <c r="A572" s="41"/>
      <c r="B572" s="316"/>
      <c r="C572" s="316"/>
      <c r="D572" s="313"/>
      <c r="E572" s="313"/>
      <c r="F572" s="313"/>
      <c r="G572" s="313"/>
      <c r="H572" s="313"/>
      <c r="I572" s="313"/>
      <c r="J572" s="313"/>
      <c r="K572" s="313"/>
      <c r="L572" s="313"/>
      <c r="M572" s="313"/>
      <c r="N572" s="313"/>
      <c r="O572" s="313"/>
      <c r="P572" s="313"/>
      <c r="Q572" s="313"/>
      <c r="R572" s="313"/>
      <c r="S572" s="313"/>
      <c r="T572" s="313"/>
      <c r="U572" s="313"/>
      <c r="V572" s="313"/>
      <c r="W572" s="313"/>
      <c r="X572" s="313"/>
      <c r="Y572" s="313"/>
    </row>
    <row r="573" spans="1:25" s="307" customFormat="1" outlineLevel="1">
      <c r="A573" s="41"/>
      <c r="B573" s="316"/>
      <c r="C573" s="316"/>
      <c r="D573" s="313"/>
      <c r="E573" s="313"/>
      <c r="F573" s="313"/>
      <c r="G573" s="313"/>
      <c r="H573" s="313"/>
      <c r="I573" s="313"/>
      <c r="J573" s="313"/>
      <c r="K573" s="313"/>
      <c r="L573" s="313"/>
      <c r="M573" s="313"/>
      <c r="N573" s="313"/>
      <c r="O573" s="313"/>
      <c r="P573" s="313"/>
      <c r="Q573" s="313"/>
      <c r="R573" s="313"/>
      <c r="S573" s="313"/>
      <c r="T573" s="313"/>
      <c r="U573" s="313"/>
      <c r="V573" s="313"/>
      <c r="W573" s="313"/>
      <c r="X573" s="313"/>
      <c r="Y573" s="313"/>
    </row>
    <row r="574" spans="1:25" s="307" customFormat="1" outlineLevel="1">
      <c r="A574" s="294"/>
      <c r="B574" s="316"/>
      <c r="C574" s="316"/>
      <c r="D574" s="313"/>
      <c r="E574" s="313"/>
      <c r="F574" s="313"/>
      <c r="G574" s="313"/>
      <c r="H574" s="313"/>
      <c r="I574" s="313"/>
      <c r="J574" s="313"/>
      <c r="K574" s="313"/>
      <c r="L574" s="313"/>
      <c r="M574" s="313"/>
      <c r="N574" s="313"/>
      <c r="O574" s="313"/>
      <c r="P574" s="313"/>
      <c r="Q574" s="313"/>
      <c r="R574" s="313"/>
      <c r="S574" s="313"/>
      <c r="T574" s="313"/>
      <c r="U574" s="313"/>
      <c r="V574" s="313"/>
      <c r="W574" s="313"/>
      <c r="X574" s="313"/>
      <c r="Y574" s="313"/>
    </row>
    <row r="575" spans="1:25" s="307" customFormat="1" outlineLevel="1">
      <c r="A575" s="41"/>
      <c r="B575" s="316"/>
      <c r="C575" s="316"/>
      <c r="D575" s="317"/>
      <c r="E575" s="317"/>
      <c r="F575" s="317"/>
      <c r="G575" s="317"/>
      <c r="H575" s="317"/>
      <c r="I575" s="317"/>
      <c r="J575" s="317"/>
      <c r="K575" s="317"/>
      <c r="L575" s="317"/>
      <c r="M575" s="317"/>
      <c r="N575" s="317"/>
      <c r="O575" s="317"/>
      <c r="P575" s="317"/>
      <c r="Q575" s="317"/>
      <c r="R575" s="317"/>
      <c r="S575" s="317"/>
      <c r="T575" s="317"/>
      <c r="U575" s="317"/>
      <c r="V575" s="317"/>
      <c r="W575" s="317"/>
      <c r="X575" s="317"/>
      <c r="Y575" s="317"/>
    </row>
    <row r="576" spans="1:25" s="307" customFormat="1" outlineLevel="1">
      <c r="A576" s="41"/>
      <c r="B576" s="318"/>
      <c r="C576" s="318"/>
      <c r="D576" s="313"/>
      <c r="E576" s="313"/>
      <c r="F576" s="313"/>
      <c r="G576" s="313"/>
      <c r="H576" s="313"/>
      <c r="I576" s="313"/>
      <c r="J576" s="313"/>
      <c r="K576" s="313"/>
      <c r="L576" s="313"/>
      <c r="M576" s="313"/>
      <c r="N576" s="313"/>
      <c r="O576" s="313"/>
      <c r="P576" s="313"/>
      <c r="Q576" s="313"/>
      <c r="R576" s="313"/>
      <c r="S576" s="313"/>
      <c r="T576" s="313"/>
      <c r="U576" s="313"/>
      <c r="V576" s="313"/>
      <c r="W576" s="313"/>
      <c r="X576" s="313"/>
      <c r="Y576" s="313"/>
    </row>
    <row r="577" spans="1:25" s="307" customFormat="1" ht="13.9" customHeight="1" outlineLevel="1">
      <c r="A577" s="293"/>
      <c r="B577" s="318"/>
      <c r="C577" s="318"/>
      <c r="D577" s="313"/>
      <c r="E577" s="313"/>
      <c r="F577" s="313"/>
      <c r="G577" s="313"/>
      <c r="H577" s="313"/>
      <c r="I577" s="313"/>
      <c r="J577" s="313"/>
      <c r="K577" s="313"/>
      <c r="L577" s="313"/>
      <c r="M577" s="313"/>
      <c r="N577" s="313"/>
      <c r="O577" s="313"/>
      <c r="P577" s="313"/>
      <c r="Q577" s="313"/>
      <c r="R577" s="313"/>
      <c r="S577" s="313"/>
      <c r="T577" s="313"/>
      <c r="U577" s="313"/>
      <c r="V577" s="313"/>
      <c r="W577" s="313"/>
      <c r="X577" s="313"/>
      <c r="Y577" s="313"/>
    </row>
    <row r="578" spans="1:25" s="307" customFormat="1" outlineLevel="1">
      <c r="A578" s="41"/>
      <c r="B578" s="81"/>
      <c r="C578" s="81"/>
      <c r="D578" s="313"/>
      <c r="E578" s="313"/>
      <c r="F578" s="313"/>
      <c r="G578" s="313"/>
      <c r="H578" s="313"/>
      <c r="I578" s="313"/>
      <c r="J578" s="313"/>
      <c r="K578" s="313"/>
      <c r="L578" s="313"/>
      <c r="M578" s="313"/>
      <c r="N578" s="313"/>
      <c r="O578" s="313"/>
      <c r="P578" s="313"/>
      <c r="Q578" s="313"/>
      <c r="R578" s="313"/>
      <c r="S578" s="313"/>
      <c r="T578" s="313"/>
      <c r="U578" s="313"/>
      <c r="V578" s="313"/>
      <c r="W578" s="313"/>
      <c r="X578" s="313"/>
      <c r="Y578" s="313"/>
    </row>
    <row r="579" spans="1:25" s="307" customFormat="1" outlineLevel="1">
      <c r="A579" s="293"/>
      <c r="B579" s="81"/>
      <c r="C579" s="81"/>
      <c r="D579" s="313"/>
      <c r="E579" s="313"/>
      <c r="F579" s="313"/>
      <c r="G579" s="313"/>
      <c r="H579" s="313"/>
      <c r="I579" s="313"/>
      <c r="J579" s="313"/>
      <c r="K579" s="313"/>
      <c r="L579" s="313"/>
      <c r="M579" s="313"/>
      <c r="N579" s="313"/>
      <c r="O579" s="313"/>
      <c r="P579" s="313"/>
      <c r="Q579" s="313"/>
      <c r="R579" s="313"/>
      <c r="S579" s="313"/>
      <c r="T579" s="313"/>
      <c r="U579" s="313"/>
      <c r="V579" s="313"/>
      <c r="W579" s="313"/>
      <c r="X579" s="313"/>
      <c r="Y579" s="313"/>
    </row>
    <row r="580" spans="1:25" s="307" customFormat="1" outlineLevel="1">
      <c r="A580" s="41"/>
      <c r="B580" s="81"/>
      <c r="C580" s="81"/>
      <c r="D580" s="313"/>
      <c r="E580" s="313"/>
      <c r="F580" s="313"/>
      <c r="G580" s="313"/>
      <c r="H580" s="313"/>
      <c r="I580" s="313"/>
      <c r="J580" s="313"/>
      <c r="K580" s="313"/>
      <c r="L580" s="313"/>
      <c r="M580" s="313"/>
      <c r="N580" s="313"/>
      <c r="O580" s="313"/>
      <c r="P580" s="313"/>
      <c r="Q580" s="313"/>
      <c r="R580" s="313"/>
      <c r="S580" s="313"/>
      <c r="T580" s="313"/>
      <c r="U580" s="313"/>
      <c r="V580" s="313"/>
      <c r="W580" s="313"/>
      <c r="X580" s="313"/>
      <c r="Y580" s="313"/>
    </row>
    <row r="581" spans="1:25" s="307" customFormat="1" outlineLevel="1">
      <c r="A581" s="41"/>
      <c r="B581" s="81"/>
      <c r="C581" s="81"/>
      <c r="D581" s="313"/>
      <c r="E581" s="313"/>
      <c r="F581" s="313"/>
      <c r="G581" s="313"/>
      <c r="H581" s="313"/>
      <c r="I581" s="313"/>
      <c r="J581" s="313"/>
      <c r="K581" s="313"/>
      <c r="L581" s="313"/>
      <c r="M581" s="313"/>
      <c r="N581" s="313"/>
      <c r="O581" s="313"/>
      <c r="P581" s="313"/>
      <c r="Q581" s="313"/>
      <c r="R581" s="313"/>
      <c r="S581" s="313"/>
      <c r="T581" s="313"/>
      <c r="U581" s="313"/>
      <c r="V581" s="313"/>
      <c r="W581" s="313"/>
      <c r="X581" s="313"/>
      <c r="Y581" s="313"/>
    </row>
    <row r="582" spans="1:25" s="307" customFormat="1" outlineLevel="1">
      <c r="A582" s="41"/>
      <c r="B582" s="81"/>
      <c r="C582" s="81"/>
      <c r="D582" s="313"/>
      <c r="E582" s="313"/>
      <c r="F582" s="313"/>
      <c r="G582" s="313"/>
      <c r="H582" s="313"/>
      <c r="I582" s="313"/>
      <c r="J582" s="313"/>
      <c r="K582" s="313"/>
      <c r="L582" s="313"/>
      <c r="M582" s="313"/>
      <c r="N582" s="313"/>
      <c r="O582" s="313"/>
      <c r="P582" s="313"/>
      <c r="Q582" s="313"/>
      <c r="R582" s="313"/>
      <c r="S582" s="313"/>
      <c r="T582" s="313"/>
      <c r="U582" s="313"/>
      <c r="V582" s="313"/>
      <c r="W582" s="313"/>
      <c r="X582" s="313"/>
      <c r="Y582" s="313"/>
    </row>
    <row r="583" spans="1:25" s="307" customFormat="1" outlineLevel="1">
      <c r="A583" s="41"/>
      <c r="B583" s="81"/>
      <c r="C583" s="81"/>
      <c r="D583" s="313"/>
      <c r="E583" s="313"/>
      <c r="F583" s="313"/>
      <c r="G583" s="313"/>
      <c r="H583" s="313"/>
      <c r="I583" s="313"/>
      <c r="J583" s="313"/>
      <c r="K583" s="313"/>
      <c r="L583" s="313"/>
      <c r="M583" s="313"/>
      <c r="N583" s="313"/>
      <c r="O583" s="313"/>
      <c r="P583" s="313"/>
      <c r="Q583" s="313"/>
      <c r="R583" s="313"/>
      <c r="S583" s="313"/>
      <c r="T583" s="313"/>
      <c r="U583" s="313"/>
      <c r="V583" s="313"/>
      <c r="W583" s="313"/>
      <c r="X583" s="313"/>
      <c r="Y583" s="313"/>
    </row>
    <row r="584" spans="1:25" s="307" customFormat="1" outlineLevel="1">
      <c r="A584" s="294"/>
      <c r="D584" s="313"/>
      <c r="E584" s="313"/>
      <c r="F584" s="313"/>
      <c r="G584" s="313"/>
      <c r="H584" s="313"/>
      <c r="I584" s="313"/>
      <c r="J584" s="313"/>
      <c r="K584" s="313"/>
      <c r="L584" s="313"/>
      <c r="M584" s="313"/>
      <c r="N584" s="313"/>
      <c r="O584" s="313"/>
      <c r="P584" s="313"/>
      <c r="Q584" s="313"/>
      <c r="R584" s="313"/>
      <c r="S584" s="313"/>
      <c r="T584" s="313"/>
      <c r="U584" s="313"/>
      <c r="V584" s="313"/>
      <c r="W584" s="313"/>
      <c r="X584" s="313"/>
      <c r="Y584" s="313"/>
    </row>
    <row r="585" spans="1:25" s="307" customFormat="1" outlineLevel="1">
      <c r="A585" s="294"/>
      <c r="B585" s="306"/>
      <c r="C585" s="306"/>
      <c r="D585" s="313"/>
      <c r="E585" s="313"/>
      <c r="F585" s="313"/>
      <c r="G585" s="313"/>
      <c r="H585" s="313"/>
      <c r="I585" s="313"/>
      <c r="J585" s="313"/>
      <c r="K585" s="313"/>
      <c r="L585" s="313"/>
      <c r="M585" s="313"/>
      <c r="N585" s="313"/>
      <c r="O585" s="313"/>
      <c r="P585" s="313"/>
      <c r="Q585" s="313"/>
      <c r="R585" s="313"/>
      <c r="S585" s="313"/>
      <c r="T585" s="313"/>
      <c r="U585" s="313"/>
      <c r="V585" s="313"/>
      <c r="W585" s="313"/>
      <c r="X585" s="313"/>
      <c r="Y585" s="313"/>
    </row>
    <row r="586" spans="1:25" s="307" customFormat="1" outlineLevel="1">
      <c r="A586" s="41"/>
      <c r="B586" s="306"/>
      <c r="C586" s="306"/>
      <c r="D586" s="313"/>
      <c r="E586" s="313"/>
      <c r="F586" s="313"/>
      <c r="G586" s="313"/>
      <c r="H586" s="313"/>
      <c r="I586" s="313"/>
      <c r="J586" s="313"/>
      <c r="K586" s="313"/>
      <c r="L586" s="313"/>
      <c r="M586" s="313"/>
      <c r="N586" s="313"/>
      <c r="O586" s="313"/>
      <c r="P586" s="313"/>
      <c r="Q586" s="313"/>
      <c r="R586" s="313"/>
      <c r="S586" s="313"/>
      <c r="T586" s="313"/>
      <c r="U586" s="313"/>
      <c r="V586" s="313"/>
      <c r="W586" s="313"/>
      <c r="X586" s="313"/>
      <c r="Y586" s="313"/>
    </row>
    <row r="587" spans="1:25" s="307" customFormat="1" outlineLevel="1">
      <c r="A587" s="41"/>
      <c r="B587" s="306"/>
      <c r="C587" s="306"/>
      <c r="D587" s="313"/>
      <c r="E587" s="313"/>
      <c r="F587" s="313"/>
      <c r="G587" s="313"/>
      <c r="H587" s="313"/>
      <c r="I587" s="313"/>
      <c r="J587" s="313"/>
      <c r="K587" s="313"/>
      <c r="L587" s="313"/>
      <c r="M587" s="313"/>
      <c r="N587" s="313"/>
      <c r="O587" s="313"/>
      <c r="P587" s="313"/>
      <c r="Q587" s="313"/>
      <c r="R587" s="313"/>
      <c r="S587" s="313"/>
      <c r="T587" s="313"/>
      <c r="U587" s="313"/>
      <c r="V587" s="313"/>
      <c r="W587" s="313"/>
      <c r="X587" s="313"/>
      <c r="Y587" s="313"/>
    </row>
    <row r="588" spans="1:25" s="307" customFormat="1" outlineLevel="1">
      <c r="A588" s="41"/>
      <c r="B588" s="306"/>
      <c r="C588" s="306"/>
      <c r="D588" s="313"/>
      <c r="E588" s="313"/>
      <c r="F588" s="313"/>
      <c r="G588" s="313"/>
      <c r="H588" s="313"/>
      <c r="I588" s="313"/>
      <c r="J588" s="313"/>
      <c r="K588" s="313"/>
      <c r="L588" s="313"/>
      <c r="M588" s="313"/>
      <c r="N588" s="313"/>
      <c r="O588" s="313"/>
      <c r="P588" s="313"/>
      <c r="Q588" s="313"/>
      <c r="R588" s="313"/>
      <c r="S588" s="313"/>
      <c r="T588" s="313"/>
      <c r="U588" s="313"/>
      <c r="V588" s="313"/>
      <c r="W588" s="313"/>
      <c r="X588" s="313"/>
      <c r="Y588" s="313"/>
    </row>
    <row r="589" spans="1:25" s="307" customFormat="1" outlineLevel="1">
      <c r="A589" s="41"/>
      <c r="B589" s="306"/>
      <c r="C589" s="306"/>
      <c r="D589" s="313"/>
      <c r="E589" s="313"/>
      <c r="F589" s="313"/>
      <c r="G589" s="313"/>
      <c r="H589" s="313"/>
      <c r="I589" s="313"/>
      <c r="J589" s="313"/>
      <c r="K589" s="313"/>
      <c r="L589" s="313"/>
      <c r="M589" s="313"/>
      <c r="N589" s="313"/>
      <c r="O589" s="313"/>
      <c r="P589" s="313"/>
      <c r="Q589" s="313"/>
      <c r="R589" s="313"/>
      <c r="S589" s="313"/>
      <c r="T589" s="313"/>
      <c r="U589" s="313"/>
      <c r="V589" s="313"/>
      <c r="W589" s="313"/>
      <c r="X589" s="313"/>
      <c r="Y589" s="313"/>
    </row>
    <row r="590" spans="1:25" s="307" customFormat="1" outlineLevel="1">
      <c r="A590" s="41"/>
      <c r="B590" s="306"/>
      <c r="C590" s="306"/>
      <c r="D590" s="313"/>
      <c r="E590" s="313"/>
      <c r="F590" s="313"/>
      <c r="G590" s="313"/>
      <c r="H590" s="313"/>
      <c r="I590" s="313"/>
      <c r="J590" s="313"/>
      <c r="K590" s="313"/>
      <c r="L590" s="313"/>
      <c r="M590" s="313"/>
      <c r="N590" s="313"/>
      <c r="O590" s="313"/>
      <c r="P590" s="313"/>
      <c r="Q590" s="313"/>
      <c r="R590" s="313"/>
      <c r="S590" s="313"/>
      <c r="T590" s="313"/>
      <c r="U590" s="313"/>
      <c r="V590" s="313"/>
      <c r="W590" s="313"/>
      <c r="X590" s="313"/>
      <c r="Y590" s="313"/>
    </row>
    <row r="591" spans="1:25" s="307" customFormat="1" outlineLevel="1">
      <c r="A591" s="41"/>
      <c r="B591" s="306"/>
      <c r="C591" s="306"/>
      <c r="D591" s="313"/>
      <c r="E591" s="313"/>
      <c r="F591" s="313"/>
      <c r="G591" s="313"/>
      <c r="H591" s="313"/>
      <c r="I591" s="313"/>
      <c r="J591" s="313"/>
      <c r="K591" s="313"/>
      <c r="L591" s="313"/>
      <c r="M591" s="313"/>
      <c r="N591" s="313"/>
      <c r="O591" s="313"/>
      <c r="P591" s="313"/>
      <c r="Q591" s="313"/>
      <c r="R591" s="313"/>
      <c r="S591" s="313"/>
      <c r="T591" s="313"/>
      <c r="U591" s="313"/>
      <c r="V591" s="313"/>
      <c r="W591" s="313"/>
      <c r="X591" s="313"/>
      <c r="Y591" s="313"/>
    </row>
    <row r="592" spans="1:25" s="307" customFormat="1" outlineLevel="1">
      <c r="A592" s="41"/>
      <c r="B592" s="319"/>
      <c r="C592" s="319"/>
      <c r="D592" s="313"/>
      <c r="E592" s="313"/>
      <c r="F592" s="313"/>
      <c r="G592" s="313"/>
      <c r="H592" s="313"/>
      <c r="I592" s="313"/>
      <c r="J592" s="313"/>
      <c r="K592" s="313"/>
      <c r="L592" s="313"/>
      <c r="M592" s="313"/>
      <c r="N592" s="313"/>
      <c r="O592" s="313"/>
      <c r="P592" s="313"/>
      <c r="Q592" s="313"/>
      <c r="R592" s="313"/>
      <c r="S592" s="313"/>
      <c r="T592" s="313"/>
      <c r="U592" s="313"/>
      <c r="V592" s="313"/>
      <c r="W592" s="313"/>
      <c r="X592" s="313"/>
      <c r="Y592" s="313"/>
    </row>
    <row r="593" spans="1:25" s="307" customFormat="1" outlineLevel="1">
      <c r="A593" s="41"/>
      <c r="B593" s="319"/>
      <c r="C593" s="319"/>
      <c r="D593" s="313"/>
      <c r="E593" s="313"/>
      <c r="F593" s="313"/>
      <c r="G593" s="313"/>
      <c r="H593" s="313"/>
      <c r="I593" s="313"/>
      <c r="J593" s="313"/>
      <c r="K593" s="313"/>
      <c r="L593" s="313"/>
      <c r="M593" s="313"/>
      <c r="N593" s="313"/>
      <c r="O593" s="313"/>
      <c r="P593" s="313"/>
      <c r="Q593" s="313"/>
      <c r="R593" s="313"/>
      <c r="S593" s="313"/>
      <c r="T593" s="313"/>
      <c r="U593" s="313"/>
      <c r="V593" s="313"/>
      <c r="W593" s="313"/>
      <c r="X593" s="313"/>
      <c r="Y593" s="313"/>
    </row>
    <row r="594" spans="1:25" s="307" customFormat="1" outlineLevel="1">
      <c r="A594" s="293"/>
      <c r="B594" s="318"/>
      <c r="C594" s="318"/>
      <c r="D594" s="313"/>
      <c r="E594" s="313"/>
      <c r="F594" s="313"/>
      <c r="G594" s="313"/>
      <c r="H594" s="313"/>
      <c r="I594" s="313"/>
      <c r="J594" s="313"/>
      <c r="K594" s="313"/>
      <c r="L594" s="313"/>
      <c r="M594" s="313"/>
      <c r="N594" s="313"/>
      <c r="O594" s="313"/>
      <c r="P594" s="313"/>
      <c r="Q594" s="313"/>
      <c r="R594" s="313"/>
      <c r="S594" s="313"/>
      <c r="T594" s="313"/>
      <c r="U594" s="313"/>
      <c r="V594" s="313"/>
      <c r="W594" s="313"/>
      <c r="X594" s="313"/>
      <c r="Y594" s="313"/>
    </row>
    <row r="595" spans="1:25" s="307" customFormat="1" outlineLevel="1">
      <c r="A595" s="294"/>
      <c r="B595" s="306"/>
      <c r="C595" s="306"/>
      <c r="D595" s="313"/>
      <c r="E595" s="313"/>
      <c r="F595" s="313"/>
      <c r="G595" s="313"/>
      <c r="H595" s="313"/>
      <c r="I595" s="313"/>
      <c r="J595" s="313"/>
      <c r="K595" s="313"/>
      <c r="L595" s="313"/>
      <c r="M595" s="313"/>
      <c r="N595" s="313"/>
      <c r="O595" s="313"/>
      <c r="P595" s="313"/>
      <c r="Q595" s="313"/>
      <c r="R595" s="313"/>
      <c r="S595" s="313"/>
      <c r="T595" s="313"/>
      <c r="U595" s="313"/>
      <c r="V595" s="313"/>
      <c r="W595" s="313"/>
      <c r="X595" s="313"/>
      <c r="Y595" s="313"/>
    </row>
    <row r="596" spans="1:25" s="307" customFormat="1" outlineLevel="1">
      <c r="A596" s="294"/>
      <c r="B596" s="306"/>
      <c r="C596" s="306"/>
      <c r="D596" s="313"/>
      <c r="E596" s="313"/>
      <c r="F596" s="313"/>
      <c r="G596" s="313"/>
      <c r="H596" s="313"/>
      <c r="I596" s="313"/>
      <c r="J596" s="313"/>
      <c r="K596" s="313"/>
      <c r="L596" s="313"/>
      <c r="M596" s="313"/>
      <c r="N596" s="313"/>
      <c r="O596" s="313"/>
      <c r="P596" s="313"/>
      <c r="Q596" s="313"/>
      <c r="R596" s="313"/>
      <c r="S596" s="313"/>
      <c r="T596" s="313"/>
      <c r="U596" s="313"/>
      <c r="V596" s="313"/>
      <c r="W596" s="313"/>
      <c r="X596" s="313"/>
      <c r="Y596" s="313"/>
    </row>
    <row r="597" spans="1:25" s="307" customFormat="1" outlineLevel="1">
      <c r="A597" s="294"/>
      <c r="B597" s="306"/>
      <c r="C597" s="306"/>
      <c r="D597" s="313"/>
      <c r="E597" s="313"/>
      <c r="F597" s="313"/>
      <c r="G597" s="313"/>
      <c r="H597" s="313"/>
      <c r="I597" s="313"/>
      <c r="J597" s="313"/>
      <c r="K597" s="313"/>
      <c r="L597" s="313"/>
      <c r="M597" s="313"/>
      <c r="N597" s="313"/>
      <c r="O597" s="313"/>
      <c r="P597" s="313"/>
      <c r="Q597" s="313"/>
      <c r="R597" s="313"/>
      <c r="S597" s="313"/>
      <c r="T597" s="313"/>
      <c r="U597" s="313"/>
      <c r="V597" s="313"/>
      <c r="W597" s="313"/>
      <c r="X597" s="313"/>
      <c r="Y597" s="313"/>
    </row>
    <row r="598" spans="1:25" s="307" customFormat="1" outlineLevel="1">
      <c r="A598" s="294"/>
      <c r="B598" s="318"/>
      <c r="C598" s="318"/>
      <c r="D598" s="313"/>
      <c r="E598" s="313"/>
      <c r="F598" s="313"/>
      <c r="G598" s="313"/>
      <c r="H598" s="313"/>
      <c r="I598" s="313"/>
      <c r="J598" s="313"/>
      <c r="K598" s="313"/>
      <c r="L598" s="313"/>
      <c r="M598" s="313"/>
      <c r="N598" s="313"/>
      <c r="O598" s="313"/>
      <c r="P598" s="313"/>
      <c r="Q598" s="313"/>
      <c r="R598" s="313"/>
      <c r="S598" s="313"/>
      <c r="T598" s="313"/>
      <c r="U598" s="313"/>
      <c r="V598" s="313"/>
      <c r="W598" s="313"/>
      <c r="X598" s="313"/>
      <c r="Y598" s="313"/>
    </row>
    <row r="599" spans="1:25" s="307" customFormat="1" outlineLevel="1">
      <c r="A599" s="294"/>
      <c r="B599" s="318"/>
      <c r="C599" s="318"/>
      <c r="D599" s="313"/>
      <c r="E599" s="313"/>
      <c r="F599" s="313"/>
      <c r="G599" s="313"/>
      <c r="H599" s="313"/>
      <c r="I599" s="313"/>
      <c r="J599" s="313"/>
      <c r="K599" s="313"/>
      <c r="L599" s="313"/>
      <c r="M599" s="313"/>
      <c r="N599" s="313"/>
      <c r="O599" s="313"/>
      <c r="P599" s="313"/>
      <c r="Q599" s="313"/>
      <c r="R599" s="313"/>
      <c r="S599" s="313"/>
      <c r="T599" s="313"/>
      <c r="U599" s="313"/>
      <c r="V599" s="313"/>
      <c r="W599" s="313"/>
      <c r="X599" s="313"/>
      <c r="Y599" s="313"/>
    </row>
    <row r="600" spans="1:25" s="307" customFormat="1" outlineLevel="1">
      <c r="A600" s="294"/>
      <c r="B600" s="318"/>
      <c r="C600" s="318"/>
      <c r="D600" s="313"/>
      <c r="E600" s="313"/>
      <c r="F600" s="313"/>
      <c r="G600" s="313"/>
      <c r="H600" s="313"/>
      <c r="I600" s="313"/>
      <c r="J600" s="313"/>
      <c r="K600" s="313"/>
      <c r="L600" s="313"/>
      <c r="M600" s="313"/>
      <c r="N600" s="313"/>
      <c r="O600" s="313"/>
      <c r="P600" s="313"/>
      <c r="Q600" s="313"/>
      <c r="R600" s="313"/>
      <c r="S600" s="313"/>
      <c r="T600" s="313"/>
      <c r="U600" s="313"/>
      <c r="V600" s="313"/>
      <c r="W600" s="313"/>
      <c r="X600" s="313"/>
      <c r="Y600" s="313"/>
    </row>
    <row r="601" spans="1:25" outlineLevel="1">
      <c r="A601" s="194"/>
      <c r="B601" s="194"/>
      <c r="C601" s="194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</row>
    <row r="602" spans="1:25" outlineLevel="1">
      <c r="A602" s="194"/>
      <c r="B602" s="194"/>
      <c r="C602" s="194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</row>
    <row r="603" spans="1:25" outlineLevel="1">
      <c r="A603" s="194"/>
      <c r="B603" s="194"/>
      <c r="C603" s="194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</row>
    <row r="604" spans="1:25" outlineLevel="1">
      <c r="A604" s="198"/>
      <c r="B604" s="194"/>
      <c r="C604" s="194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</row>
    <row r="605" spans="1:25" outlineLevel="1">
      <c r="A605" s="212"/>
      <c r="B605" s="194"/>
      <c r="C605" s="194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</row>
    <row r="606" spans="1:25" outlineLevel="1">
      <c r="A606" s="320"/>
      <c r="B606" s="194"/>
      <c r="C606" s="194"/>
      <c r="D606" s="194"/>
      <c r="E606" s="300"/>
      <c r="F606" s="300"/>
      <c r="G606" s="300"/>
      <c r="H606" s="300"/>
      <c r="I606" s="300"/>
      <c r="J606" s="300"/>
      <c r="K606" s="300"/>
      <c r="L606" s="300"/>
      <c r="M606" s="300"/>
      <c r="N606" s="300"/>
      <c r="O606" s="300"/>
      <c r="P606" s="300"/>
      <c r="Q606" s="194"/>
      <c r="R606" s="194"/>
      <c r="S606" s="194"/>
      <c r="T606" s="194"/>
      <c r="U606" s="194"/>
      <c r="V606" s="194"/>
      <c r="W606" s="194"/>
      <c r="X606" s="194"/>
      <c r="Y606" s="194"/>
    </row>
    <row r="607" spans="1:25" outlineLevel="1">
      <c r="A607" s="194"/>
      <c r="B607" s="194"/>
      <c r="C607" s="194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</row>
    <row r="608" spans="1:25" outlineLevel="1">
      <c r="A608" s="198"/>
      <c r="B608" s="198"/>
      <c r="C608" s="198"/>
      <c r="D608" s="200"/>
      <c r="E608" s="200"/>
      <c r="F608" s="200"/>
      <c r="G608" s="200"/>
      <c r="H608" s="200"/>
      <c r="I608" s="200"/>
      <c r="J608" s="200"/>
      <c r="K608" s="200"/>
      <c r="L608" s="200"/>
      <c r="M608" s="200"/>
      <c r="N608" s="200"/>
      <c r="O608" s="200"/>
      <c r="P608" s="200"/>
      <c r="Q608" s="194"/>
      <c r="R608" s="194"/>
      <c r="S608" s="194"/>
      <c r="T608" s="194"/>
      <c r="U608" s="194"/>
      <c r="V608" s="194"/>
      <c r="W608" s="194"/>
      <c r="X608" s="194"/>
      <c r="Y608" s="194"/>
    </row>
    <row r="609" spans="1:25" hidden="1" outlineLevel="2">
      <c r="A609" s="212"/>
      <c r="B609" s="194"/>
      <c r="C609" s="194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</row>
    <row r="610" spans="1:25" hidden="1" outlineLevel="2">
      <c r="A610" s="84"/>
      <c r="B610" s="194"/>
      <c r="C610" s="194"/>
      <c r="D610" s="194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194"/>
      <c r="R610" s="194"/>
      <c r="S610" s="194"/>
      <c r="T610" s="194"/>
      <c r="U610" s="194"/>
      <c r="V610" s="194"/>
      <c r="W610" s="194"/>
      <c r="X610" s="194"/>
      <c r="Y610" s="194"/>
    </row>
    <row r="611" spans="1:25" hidden="1" outlineLevel="2">
      <c r="A611" s="84"/>
      <c r="B611" s="194"/>
      <c r="C611" s="194"/>
      <c r="D611" s="194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194"/>
      <c r="R611" s="194"/>
      <c r="S611" s="194"/>
      <c r="T611" s="194"/>
      <c r="U611" s="194"/>
      <c r="V611" s="194"/>
      <c r="W611" s="194"/>
      <c r="X611" s="194"/>
      <c r="Y611" s="194"/>
    </row>
    <row r="612" spans="1:25" hidden="1" outlineLevel="2">
      <c r="A612" s="84"/>
      <c r="B612" s="194"/>
      <c r="C612" s="194"/>
      <c r="D612" s="194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194"/>
      <c r="R612" s="194"/>
      <c r="S612" s="194"/>
      <c r="T612" s="194"/>
      <c r="U612" s="194"/>
      <c r="V612" s="194"/>
      <c r="W612" s="194"/>
      <c r="X612" s="194"/>
      <c r="Y612" s="194"/>
    </row>
    <row r="613" spans="1:25" hidden="1" outlineLevel="2">
      <c r="A613" s="84"/>
      <c r="B613" s="194"/>
      <c r="C613" s="194"/>
      <c r="D613" s="194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194"/>
      <c r="R613" s="194"/>
      <c r="S613" s="194"/>
      <c r="T613" s="194"/>
      <c r="U613" s="194"/>
      <c r="V613" s="194"/>
      <c r="W613" s="194"/>
      <c r="X613" s="194"/>
      <c r="Y613" s="194"/>
    </row>
    <row r="614" spans="1:25" hidden="1" outlineLevel="2">
      <c r="A614" s="194"/>
      <c r="B614" s="194"/>
      <c r="C614" s="194"/>
      <c r="D614" s="194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194"/>
      <c r="R614" s="194"/>
      <c r="S614" s="194"/>
      <c r="T614" s="194"/>
      <c r="U614" s="194"/>
      <c r="V614" s="194"/>
      <c r="W614" s="194"/>
      <c r="X614" s="194"/>
      <c r="Y614" s="194"/>
    </row>
    <row r="615" spans="1:25" hidden="1" outlineLevel="2">
      <c r="A615" s="212"/>
      <c r="B615" s="194"/>
      <c r="C615" s="194"/>
      <c r="D615" s="194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194"/>
      <c r="R615" s="194"/>
      <c r="S615" s="194"/>
      <c r="T615" s="194"/>
      <c r="U615" s="194"/>
      <c r="V615" s="194"/>
      <c r="W615" s="194"/>
      <c r="X615" s="194"/>
      <c r="Y615" s="194"/>
    </row>
    <row r="616" spans="1:25" hidden="1" outlineLevel="2">
      <c r="A616" s="84"/>
      <c r="B616" s="194"/>
      <c r="C616" s="194"/>
      <c r="D616" s="194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194"/>
      <c r="R616" s="194"/>
      <c r="S616" s="194"/>
      <c r="T616" s="194"/>
      <c r="U616" s="194"/>
      <c r="V616" s="194"/>
      <c r="W616" s="194"/>
      <c r="X616" s="194"/>
      <c r="Y616" s="194"/>
    </row>
    <row r="617" spans="1:25" hidden="1" outlineLevel="2">
      <c r="A617" s="84"/>
      <c r="B617" s="194"/>
      <c r="C617" s="194"/>
      <c r="D617" s="194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194"/>
      <c r="R617" s="194"/>
      <c r="S617" s="194"/>
      <c r="T617" s="194"/>
      <c r="U617" s="194"/>
      <c r="V617" s="194"/>
      <c r="W617" s="194"/>
      <c r="X617" s="194"/>
      <c r="Y617" s="194"/>
    </row>
    <row r="618" spans="1:25" hidden="1" outlineLevel="2">
      <c r="A618" s="84"/>
      <c r="B618" s="194"/>
      <c r="C618" s="194"/>
      <c r="D618" s="194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194"/>
      <c r="R618" s="194"/>
      <c r="S618" s="194"/>
      <c r="T618" s="194"/>
      <c r="U618" s="194"/>
      <c r="V618" s="194"/>
      <c r="W618" s="194"/>
      <c r="X618" s="194"/>
      <c r="Y618" s="194"/>
    </row>
    <row r="619" spans="1:25" hidden="1" outlineLevel="2">
      <c r="A619" s="84"/>
      <c r="B619" s="194"/>
      <c r="C619" s="194"/>
      <c r="D619" s="194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194"/>
      <c r="R619" s="194"/>
      <c r="S619" s="194"/>
      <c r="T619" s="194"/>
      <c r="U619" s="194"/>
      <c r="V619" s="194"/>
      <c r="W619" s="194"/>
      <c r="X619" s="194"/>
      <c r="Y619" s="194"/>
    </row>
    <row r="620" spans="1:25" hidden="1" outlineLevel="2">
      <c r="A620" s="84"/>
      <c r="B620" s="194"/>
      <c r="C620" s="194"/>
      <c r="D620" s="194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194"/>
      <c r="R620" s="194"/>
      <c r="S620" s="194"/>
      <c r="T620" s="194"/>
      <c r="U620" s="194"/>
      <c r="V620" s="194"/>
      <c r="W620" s="194"/>
      <c r="X620" s="194"/>
      <c r="Y620" s="194"/>
    </row>
    <row r="621" spans="1:25" hidden="1" outlineLevel="2">
      <c r="A621" s="84"/>
      <c r="B621" s="194"/>
      <c r="C621" s="194"/>
      <c r="D621" s="194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194"/>
      <c r="R621" s="194"/>
      <c r="S621" s="194"/>
      <c r="T621" s="194"/>
      <c r="U621" s="194"/>
      <c r="V621" s="194"/>
      <c r="W621" s="194"/>
      <c r="X621" s="194"/>
      <c r="Y621" s="194"/>
    </row>
    <row r="622" spans="1:25" hidden="1" outlineLevel="2">
      <c r="A622" s="84"/>
      <c r="B622" s="194"/>
      <c r="C622" s="194"/>
      <c r="D622" s="194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194"/>
      <c r="R622" s="194"/>
      <c r="S622" s="194"/>
      <c r="T622" s="194"/>
      <c r="U622" s="194"/>
      <c r="V622" s="194"/>
      <c r="W622" s="194"/>
      <c r="X622" s="194"/>
      <c r="Y622" s="194"/>
    </row>
    <row r="623" spans="1:25" hidden="1" outlineLevel="2">
      <c r="A623" s="84"/>
      <c r="B623" s="194"/>
      <c r="C623" s="194"/>
      <c r="D623" s="194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194"/>
      <c r="R623" s="194"/>
      <c r="S623" s="194"/>
      <c r="T623" s="194"/>
      <c r="U623" s="194"/>
      <c r="V623" s="194"/>
      <c r="W623" s="194"/>
      <c r="X623" s="194"/>
      <c r="Y623" s="194"/>
    </row>
    <row r="624" spans="1:25" hidden="1" outlineLevel="2">
      <c r="A624" s="84"/>
      <c r="B624" s="194"/>
      <c r="C624" s="194"/>
      <c r="D624" s="194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194"/>
      <c r="R624" s="194"/>
      <c r="S624" s="194"/>
      <c r="T624" s="194"/>
      <c r="U624" s="194"/>
      <c r="V624" s="194"/>
      <c r="W624" s="194"/>
      <c r="X624" s="194"/>
      <c r="Y624" s="194"/>
    </row>
    <row r="625" spans="1:25" hidden="1" outlineLevel="2">
      <c r="A625" s="84"/>
      <c r="B625" s="194"/>
      <c r="C625" s="194"/>
      <c r="D625" s="194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194"/>
      <c r="R625" s="194"/>
      <c r="S625" s="194"/>
      <c r="T625" s="194"/>
      <c r="U625" s="194"/>
      <c r="V625" s="194"/>
      <c r="W625" s="194"/>
      <c r="X625" s="194"/>
      <c r="Y625" s="194"/>
    </row>
    <row r="626" spans="1:25" hidden="1" outlineLevel="2">
      <c r="A626" s="194"/>
      <c r="B626" s="194"/>
      <c r="C626" s="194"/>
      <c r="D626" s="194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194"/>
      <c r="R626" s="194"/>
      <c r="S626" s="194"/>
      <c r="T626" s="194"/>
      <c r="U626" s="194"/>
      <c r="V626" s="194"/>
      <c r="W626" s="194"/>
      <c r="X626" s="194"/>
      <c r="Y626" s="194"/>
    </row>
    <row r="627" spans="1:25" hidden="1" outlineLevel="2">
      <c r="A627" s="194"/>
      <c r="B627" s="194"/>
      <c r="C627" s="194"/>
      <c r="D627" s="194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194"/>
      <c r="R627" s="194"/>
      <c r="S627" s="194"/>
      <c r="T627" s="194"/>
      <c r="U627" s="194"/>
      <c r="V627" s="194"/>
      <c r="W627" s="194"/>
      <c r="X627" s="194"/>
      <c r="Y627" s="194"/>
    </row>
    <row r="628" spans="1:25" hidden="1" outlineLevel="2">
      <c r="A628" s="194"/>
      <c r="B628" s="194"/>
      <c r="C628" s="194"/>
      <c r="D628" s="194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194"/>
      <c r="R628" s="194"/>
      <c r="S628" s="194"/>
      <c r="T628" s="194"/>
      <c r="U628" s="194"/>
      <c r="V628" s="194"/>
      <c r="W628" s="194"/>
      <c r="X628" s="194"/>
      <c r="Y628" s="194"/>
    </row>
    <row r="629" spans="1:25" hidden="1" outlineLevel="2">
      <c r="A629" s="84"/>
      <c r="B629" s="194"/>
      <c r="C629" s="194"/>
      <c r="D629" s="194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194"/>
      <c r="R629" s="194"/>
      <c r="S629" s="194"/>
      <c r="T629" s="194"/>
      <c r="U629" s="194"/>
      <c r="V629" s="194"/>
      <c r="W629" s="194"/>
      <c r="X629" s="194"/>
      <c r="Y629" s="194"/>
    </row>
    <row r="630" spans="1:25" hidden="1" outlineLevel="2">
      <c r="A630" s="194"/>
      <c r="B630" s="194"/>
      <c r="C630" s="194"/>
      <c r="D630" s="194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194"/>
      <c r="R630" s="194"/>
      <c r="S630" s="194"/>
      <c r="T630" s="194"/>
      <c r="U630" s="194"/>
      <c r="V630" s="194"/>
      <c r="W630" s="194"/>
      <c r="X630" s="194"/>
      <c r="Y630" s="194"/>
    </row>
    <row r="631" spans="1:25" hidden="1" outlineLevel="2">
      <c r="A631" s="194"/>
      <c r="B631" s="194"/>
      <c r="C631" s="194"/>
      <c r="D631" s="194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194"/>
      <c r="R631" s="194"/>
      <c r="S631" s="194"/>
      <c r="T631" s="194"/>
      <c r="U631" s="194"/>
      <c r="V631" s="194"/>
      <c r="W631" s="194"/>
      <c r="X631" s="194"/>
      <c r="Y631" s="194"/>
    </row>
    <row r="632" spans="1:25" hidden="1" outlineLevel="2">
      <c r="A632" s="212"/>
      <c r="B632" s="194"/>
      <c r="C632" s="194"/>
      <c r="D632" s="194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194"/>
      <c r="R632" s="194"/>
      <c r="S632" s="194"/>
      <c r="T632" s="194"/>
      <c r="U632" s="194"/>
      <c r="V632" s="194"/>
      <c r="W632" s="194"/>
      <c r="X632" s="194"/>
      <c r="Y632" s="194"/>
    </row>
    <row r="633" spans="1:25" hidden="1" outlineLevel="2">
      <c r="A633" s="84"/>
      <c r="B633" s="194"/>
      <c r="C633" s="194"/>
      <c r="D633" s="194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194"/>
      <c r="R633" s="194"/>
      <c r="S633" s="194"/>
      <c r="T633" s="194"/>
      <c r="U633" s="194"/>
      <c r="V633" s="194"/>
      <c r="W633" s="194"/>
      <c r="X633" s="194"/>
      <c r="Y633" s="194"/>
    </row>
    <row r="634" spans="1:25" outlineLevel="1" collapsed="1">
      <c r="A634" s="212"/>
      <c r="B634" s="194"/>
      <c r="C634" s="194"/>
      <c r="D634" s="194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194"/>
      <c r="R634" s="194"/>
      <c r="S634" s="194"/>
      <c r="T634" s="194"/>
      <c r="U634" s="194"/>
      <c r="V634" s="194"/>
      <c r="W634" s="194"/>
      <c r="X634" s="194"/>
      <c r="Y634" s="194"/>
    </row>
    <row r="635" spans="1:25" outlineLevel="1">
      <c r="A635" s="212"/>
      <c r="B635" s="194"/>
      <c r="C635" s="194"/>
      <c r="D635" s="194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194"/>
      <c r="R635" s="194"/>
      <c r="S635" s="194"/>
      <c r="T635" s="194"/>
      <c r="U635" s="194"/>
      <c r="V635" s="194"/>
      <c r="W635" s="194"/>
      <c r="X635" s="194"/>
      <c r="Y635" s="194"/>
    </row>
    <row r="636" spans="1:25" outlineLevel="1">
      <c r="A636" s="212"/>
      <c r="B636" s="194"/>
      <c r="C636" s="194"/>
      <c r="D636" s="194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194"/>
      <c r="R636" s="194"/>
      <c r="S636" s="194"/>
      <c r="T636" s="194"/>
      <c r="U636" s="194"/>
      <c r="V636" s="194"/>
      <c r="W636" s="194"/>
      <c r="X636" s="194"/>
      <c r="Y636" s="194"/>
    </row>
    <row r="637" spans="1:25" outlineLevel="1">
      <c r="A637" s="194"/>
      <c r="B637" s="194"/>
      <c r="C637" s="194"/>
      <c r="D637" s="194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194"/>
      <c r="R637" s="194"/>
      <c r="S637" s="194"/>
      <c r="T637" s="194"/>
      <c r="U637" s="194"/>
      <c r="V637" s="194"/>
      <c r="W637" s="194"/>
      <c r="X637" s="194"/>
      <c r="Y637" s="194"/>
    </row>
    <row r="638" spans="1:25" outlineLevel="1">
      <c r="A638" s="194"/>
      <c r="B638" s="194"/>
      <c r="C638" s="194"/>
      <c r="D638" s="194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194"/>
      <c r="R638" s="194"/>
      <c r="S638" s="194"/>
      <c r="T638" s="194"/>
      <c r="U638" s="194"/>
      <c r="V638" s="194"/>
      <c r="W638" s="194"/>
      <c r="X638" s="194"/>
      <c r="Y638" s="194"/>
    </row>
    <row r="639" spans="1:25" outlineLevel="1">
      <c r="A639" s="212"/>
      <c r="B639" s="194"/>
      <c r="C639" s="194"/>
      <c r="D639" s="194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194"/>
      <c r="R639" s="194"/>
      <c r="S639" s="194"/>
      <c r="T639" s="194"/>
      <c r="U639" s="194"/>
      <c r="V639" s="194"/>
      <c r="W639" s="194"/>
      <c r="X639" s="194"/>
      <c r="Y639" s="194"/>
    </row>
    <row r="640" spans="1:25" outlineLevel="1">
      <c r="A640" s="212"/>
      <c r="B640" s="194"/>
      <c r="C640" s="194"/>
      <c r="D640" s="194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194"/>
      <c r="R640" s="194"/>
      <c r="S640" s="194"/>
      <c r="T640" s="194"/>
      <c r="U640" s="194"/>
      <c r="V640" s="194"/>
      <c r="W640" s="194"/>
      <c r="X640" s="194"/>
      <c r="Y640" s="194"/>
    </row>
    <row r="641" spans="1:25" outlineLevel="1">
      <c r="A641" s="212"/>
      <c r="B641" s="194"/>
      <c r="C641" s="194"/>
      <c r="D641" s="194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194"/>
      <c r="R641" s="194"/>
      <c r="S641" s="194"/>
      <c r="T641" s="194"/>
      <c r="U641" s="194"/>
      <c r="V641" s="194"/>
      <c r="W641" s="194"/>
      <c r="X641" s="194"/>
      <c r="Y641" s="194"/>
    </row>
    <row r="642" spans="1:25" outlineLevel="1">
      <c r="A642" s="212"/>
      <c r="B642" s="194"/>
      <c r="C642" s="194"/>
      <c r="D642" s="194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194"/>
      <c r="R642" s="194"/>
      <c r="S642" s="194"/>
      <c r="T642" s="194"/>
      <c r="U642" s="194"/>
      <c r="V642" s="194"/>
      <c r="W642" s="194"/>
      <c r="X642" s="194"/>
      <c r="Y642" s="194"/>
    </row>
    <row r="643" spans="1:25">
      <c r="A643" s="194"/>
      <c r="B643" s="194"/>
      <c r="C643" s="194"/>
      <c r="D643" s="194"/>
      <c r="E643" s="194"/>
      <c r="F643" s="194"/>
      <c r="G643" s="194"/>
      <c r="H643" s="62"/>
      <c r="I643" s="62"/>
      <c r="J643" s="62"/>
      <c r="K643" s="62"/>
      <c r="L643" s="62"/>
      <c r="M643" s="62"/>
      <c r="N643" s="62"/>
      <c r="O643" s="62"/>
      <c r="P643" s="62"/>
      <c r="Q643" s="194"/>
      <c r="R643" s="194"/>
      <c r="S643" s="194"/>
      <c r="T643" s="194"/>
      <c r="U643" s="194"/>
      <c r="V643" s="194"/>
      <c r="W643" s="194"/>
      <c r="X643" s="194"/>
      <c r="Y643" s="194"/>
    </row>
    <row r="644" spans="1:25">
      <c r="A644" s="194"/>
      <c r="B644" s="194"/>
      <c r="C644" s="194"/>
      <c r="D644" s="194"/>
      <c r="E644" s="194"/>
      <c r="F644" s="194"/>
      <c r="G644" s="194"/>
      <c r="H644" s="62"/>
      <c r="I644" s="62"/>
      <c r="J644" s="62"/>
      <c r="K644" s="62"/>
      <c r="L644" s="62"/>
      <c r="M644" s="62"/>
      <c r="N644" s="62"/>
      <c r="O644" s="62"/>
      <c r="P644" s="62"/>
      <c r="Q644" s="194"/>
      <c r="R644" s="194"/>
      <c r="S644" s="194"/>
      <c r="T644" s="194"/>
      <c r="U644" s="194"/>
      <c r="V644" s="194"/>
      <c r="W644" s="194"/>
      <c r="X644" s="194"/>
      <c r="Y644" s="194"/>
    </row>
    <row r="645" spans="1:25">
      <c r="A645" s="194"/>
      <c r="B645" s="194"/>
      <c r="C645" s="194"/>
      <c r="D645" s="194"/>
      <c r="E645" s="194"/>
      <c r="F645" s="194"/>
      <c r="G645" s="194"/>
      <c r="H645" s="62"/>
      <c r="I645" s="62"/>
      <c r="J645" s="62"/>
      <c r="K645" s="62"/>
      <c r="L645" s="62"/>
      <c r="M645" s="62"/>
      <c r="N645" s="62"/>
      <c r="O645" s="62"/>
      <c r="P645" s="62"/>
      <c r="Q645" s="194"/>
      <c r="R645" s="194"/>
      <c r="S645" s="194"/>
      <c r="T645" s="194"/>
      <c r="U645" s="194"/>
      <c r="V645" s="194"/>
      <c r="W645" s="194"/>
      <c r="X645" s="194"/>
      <c r="Y645" s="194"/>
    </row>
    <row r="646" spans="1:25">
      <c r="A646" s="194"/>
      <c r="B646" s="194"/>
      <c r="C646" s="194"/>
      <c r="D646" s="194"/>
      <c r="E646" s="194"/>
      <c r="F646" s="194"/>
      <c r="G646" s="194"/>
      <c r="H646" s="62"/>
      <c r="I646" s="62"/>
      <c r="J646" s="62"/>
      <c r="K646" s="62"/>
      <c r="L646" s="62"/>
      <c r="M646" s="62"/>
      <c r="N646" s="62"/>
      <c r="O646" s="62"/>
      <c r="P646" s="62"/>
      <c r="Q646" s="194"/>
      <c r="R646" s="194"/>
      <c r="S646" s="194"/>
      <c r="T646" s="194"/>
      <c r="U646" s="194"/>
      <c r="V646" s="194"/>
      <c r="W646" s="194"/>
      <c r="X646" s="194"/>
      <c r="Y646" s="194"/>
    </row>
    <row r="647" spans="1:25">
      <c r="A647" s="194"/>
      <c r="B647" s="194"/>
      <c r="C647" s="194"/>
      <c r="D647" s="194"/>
      <c r="E647" s="194"/>
      <c r="F647" s="194"/>
      <c r="G647" s="194"/>
      <c r="H647" s="62"/>
      <c r="I647" s="62"/>
      <c r="J647" s="62"/>
      <c r="K647" s="62"/>
      <c r="L647" s="62"/>
      <c r="M647" s="62"/>
      <c r="N647" s="62"/>
      <c r="O647" s="62"/>
      <c r="P647" s="62"/>
      <c r="Q647" s="194"/>
      <c r="R647" s="194"/>
      <c r="S647" s="194"/>
      <c r="T647" s="194"/>
      <c r="U647" s="194"/>
      <c r="V647" s="194"/>
      <c r="W647" s="194"/>
      <c r="X647" s="194"/>
      <c r="Y647" s="194"/>
    </row>
    <row r="648" spans="1:25">
      <c r="A648" s="194"/>
      <c r="B648" s="194"/>
      <c r="C648" s="194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</row>
    <row r="649" spans="1:25">
      <c r="A649" s="194"/>
      <c r="B649" s="194"/>
      <c r="C649" s="194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</row>
    <row r="650" spans="1:25">
      <c r="A650" s="194"/>
      <c r="B650" s="194"/>
      <c r="C650" s="194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</row>
    <row r="651" spans="1:25">
      <c r="A651" s="194"/>
      <c r="B651" s="194"/>
      <c r="C651" s="194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</row>
    <row r="652" spans="1:25">
      <c r="A652" s="194"/>
      <c r="B652" s="194"/>
      <c r="C652" s="194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</row>
    <row r="653" spans="1:25">
      <c r="A653" s="194"/>
      <c r="B653" s="194"/>
      <c r="C653" s="194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</row>
    <row r="654" spans="1:25">
      <c r="A654" s="194"/>
      <c r="B654" s="194"/>
      <c r="C654" s="194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</row>
    <row r="655" spans="1:25">
      <c r="A655" s="194"/>
      <c r="B655" s="194"/>
      <c r="C655" s="194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</row>
    <row r="656" spans="1:25">
      <c r="A656" s="194"/>
      <c r="B656" s="194"/>
      <c r="C656" s="194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</row>
    <row r="657" s="194" customFormat="1"/>
    <row r="658" s="194" customFormat="1"/>
    <row r="659" s="194" customFormat="1"/>
    <row r="660" s="194" customFormat="1"/>
    <row r="661" s="194" customFormat="1"/>
    <row r="662" s="194" customFormat="1"/>
    <row r="663" s="194" customFormat="1"/>
    <row r="664" s="194" customFormat="1"/>
    <row r="665" s="194" customFormat="1"/>
    <row r="666" s="194" customFormat="1"/>
    <row r="667" s="194" customFormat="1"/>
    <row r="668" s="194" customFormat="1"/>
    <row r="669" s="194" customFormat="1"/>
    <row r="670" s="194" customFormat="1"/>
    <row r="671" s="194" customFormat="1"/>
    <row r="672" s="194" customFormat="1"/>
    <row r="673" s="194" customFormat="1"/>
    <row r="674" s="194" customFormat="1"/>
    <row r="675" s="194" customFormat="1"/>
    <row r="676" s="194" customFormat="1"/>
    <row r="677" s="194" customFormat="1"/>
    <row r="678" s="194" customFormat="1"/>
    <row r="679" s="194" customFormat="1"/>
    <row r="680" s="194" customFormat="1"/>
    <row r="681" s="194" customFormat="1"/>
    <row r="682" s="194" customFormat="1"/>
    <row r="683" s="194" customFormat="1"/>
    <row r="684" s="194" customFormat="1"/>
    <row r="685" s="194" customFormat="1"/>
    <row r="686" s="194" customFormat="1"/>
    <row r="687" s="194" customFormat="1"/>
    <row r="688" s="194" customFormat="1"/>
    <row r="689" s="194" customFormat="1"/>
    <row r="690" s="194" customFormat="1"/>
    <row r="691" s="194" customFormat="1"/>
    <row r="692" s="194" customFormat="1"/>
    <row r="693" s="194" customFormat="1"/>
    <row r="694" s="194" customFormat="1"/>
    <row r="695" s="194" customFormat="1"/>
    <row r="696" s="194" customFormat="1"/>
    <row r="697" s="194" customFormat="1"/>
    <row r="698" s="194" customFormat="1"/>
    <row r="699" s="194" customFormat="1"/>
    <row r="700" s="194" customFormat="1"/>
    <row r="701" s="194" customFormat="1"/>
    <row r="702" s="194" customFormat="1"/>
    <row r="703" s="194" customFormat="1"/>
    <row r="704" s="194" customFormat="1"/>
    <row r="705" s="194" customFormat="1"/>
    <row r="706" s="194" customFormat="1"/>
    <row r="707" s="194" customFormat="1"/>
    <row r="708" s="194" customFormat="1"/>
    <row r="709" s="194" customFormat="1"/>
    <row r="710" s="194" customFormat="1"/>
    <row r="711" s="194" customFormat="1"/>
    <row r="712" s="194" customFormat="1"/>
    <row r="713" s="194" customFormat="1"/>
    <row r="714" s="194" customFormat="1"/>
    <row r="715" s="194" customFormat="1"/>
    <row r="716" s="194" customFormat="1"/>
    <row r="717" s="194" customFormat="1"/>
    <row r="718" s="194" customFormat="1"/>
    <row r="719" s="194" customFormat="1"/>
    <row r="720" s="194" customFormat="1"/>
    <row r="721" s="194" customFormat="1"/>
    <row r="722" s="194" customFormat="1"/>
    <row r="723" s="194" customFormat="1"/>
    <row r="724" s="194" customFormat="1"/>
    <row r="725" s="194" customFormat="1"/>
    <row r="726" s="194" customFormat="1"/>
    <row r="727" s="194" customFormat="1"/>
    <row r="728" s="194" customFormat="1"/>
    <row r="729" s="194" customFormat="1"/>
    <row r="730" s="194" customFormat="1"/>
    <row r="731" s="194" customFormat="1"/>
    <row r="732" s="194" customFormat="1"/>
    <row r="733" s="194" customFormat="1"/>
    <row r="734" s="194" customFormat="1"/>
    <row r="735" s="194" customFormat="1"/>
    <row r="736" s="194" customFormat="1"/>
    <row r="737" s="194" customFormat="1"/>
    <row r="738" s="194" customFormat="1"/>
    <row r="739" s="194" customFormat="1"/>
    <row r="740" s="194" customFormat="1"/>
    <row r="741" s="194" customFormat="1"/>
    <row r="742" s="194" customFormat="1"/>
    <row r="743" s="194" customFormat="1"/>
    <row r="744" s="194" customFormat="1"/>
    <row r="745" s="194" customFormat="1"/>
    <row r="746" s="194" customFormat="1"/>
    <row r="747" s="194" customFormat="1"/>
    <row r="748" s="194" customFormat="1"/>
    <row r="749" s="194" customFormat="1"/>
    <row r="750" s="194" customFormat="1"/>
    <row r="751" s="194" customFormat="1"/>
    <row r="752" s="194" customFormat="1"/>
    <row r="753" s="194" customFormat="1"/>
    <row r="754" s="194" customFormat="1"/>
    <row r="755" s="194" customFormat="1"/>
    <row r="756" s="194" customFormat="1"/>
    <row r="757" s="194" customFormat="1"/>
    <row r="758" s="194" customFormat="1"/>
    <row r="759" s="194" customFormat="1"/>
    <row r="760" s="194" customFormat="1"/>
    <row r="761" s="194" customFormat="1"/>
    <row r="762" s="194" customFormat="1"/>
    <row r="763" s="194" customFormat="1"/>
    <row r="764" s="194" customFormat="1"/>
    <row r="765" s="194" customFormat="1"/>
    <row r="766" s="194" customFormat="1"/>
    <row r="767" s="194" customFormat="1"/>
    <row r="768" s="194" customFormat="1"/>
    <row r="769" s="194" customFormat="1"/>
    <row r="770" s="194" customFormat="1"/>
    <row r="771" s="194" customFormat="1"/>
    <row r="772" s="194" customFormat="1"/>
    <row r="773" s="194" customFormat="1"/>
    <row r="774" s="194" customFormat="1"/>
    <row r="775" s="194" customFormat="1"/>
    <row r="776" s="194" customFormat="1"/>
    <row r="777" s="194" customFormat="1"/>
    <row r="778" s="194" customFormat="1"/>
    <row r="779" s="194" customFormat="1"/>
    <row r="780" s="194" customFormat="1"/>
    <row r="781" s="194" customFormat="1"/>
    <row r="782" s="194" customFormat="1"/>
    <row r="783" s="194" customFormat="1"/>
    <row r="784" s="194" customFormat="1"/>
    <row r="785" s="194" customFormat="1"/>
    <row r="786" s="194" customFormat="1"/>
    <row r="787" s="194" customFormat="1"/>
    <row r="788" s="194" customFormat="1"/>
    <row r="789" s="194" customFormat="1"/>
    <row r="790" s="194" customFormat="1"/>
    <row r="791" s="194" customFormat="1"/>
    <row r="792" s="194" customFormat="1"/>
    <row r="793" s="194" customFormat="1"/>
    <row r="794" s="194" customFormat="1"/>
    <row r="795" s="194" customFormat="1"/>
    <row r="796" s="194" customFormat="1"/>
    <row r="797" s="194" customFormat="1"/>
    <row r="798" s="194" customFormat="1"/>
    <row r="799" s="194" customFormat="1"/>
    <row r="800" s="194" customFormat="1"/>
    <row r="801" s="194" customFormat="1"/>
    <row r="802" s="194" customFormat="1"/>
    <row r="803" s="194" customFormat="1"/>
    <row r="804" s="194" customFormat="1"/>
    <row r="805" s="194" customFormat="1"/>
    <row r="806" s="194" customFormat="1"/>
    <row r="807" s="194" customFormat="1"/>
    <row r="808" s="194" customFormat="1"/>
    <row r="809" s="194" customFormat="1"/>
    <row r="810" s="194" customFormat="1"/>
    <row r="811" s="194" customFormat="1"/>
    <row r="812" s="194" customFormat="1"/>
    <row r="813" s="194" customFormat="1"/>
    <row r="814" s="194" customFormat="1"/>
    <row r="815" s="194" customFormat="1"/>
    <row r="816" s="194" customFormat="1"/>
    <row r="817" s="194" customFormat="1"/>
    <row r="818" s="194" customFormat="1"/>
    <row r="819" s="194" customFormat="1"/>
    <row r="820" s="194" customFormat="1"/>
    <row r="821" s="194" customFormat="1"/>
    <row r="822" s="194" customFormat="1"/>
    <row r="823" s="194" customFormat="1"/>
    <row r="824" s="194" customFormat="1"/>
    <row r="825" s="194" customFormat="1"/>
    <row r="826" s="194" customFormat="1"/>
    <row r="827" s="194" customFormat="1"/>
    <row r="828" s="194" customFormat="1"/>
    <row r="829" s="194" customFormat="1"/>
    <row r="830" s="194" customFormat="1"/>
    <row r="831" s="194" customFormat="1"/>
    <row r="832" s="194" customFormat="1"/>
    <row r="833" s="194" customFormat="1"/>
    <row r="834" s="194" customFormat="1"/>
    <row r="835" s="194" customFormat="1"/>
    <row r="836" s="194" customFormat="1"/>
    <row r="837" s="194" customFormat="1"/>
    <row r="838" s="194" customFormat="1"/>
    <row r="839" s="194" customFormat="1"/>
    <row r="840" s="194" customFormat="1"/>
    <row r="841" s="194" customFormat="1"/>
    <row r="842" s="194" customFormat="1"/>
    <row r="843" s="194" customFormat="1"/>
    <row r="844" s="194" customFormat="1"/>
    <row r="845" s="194" customFormat="1"/>
    <row r="846" s="194" customFormat="1"/>
    <row r="847" s="194" customFormat="1"/>
    <row r="848" s="194" customFormat="1"/>
    <row r="849" s="194" customFormat="1"/>
    <row r="850" s="194" customFormat="1"/>
    <row r="851" s="194" customFormat="1"/>
    <row r="852" s="194" customFormat="1"/>
    <row r="853" s="194" customFormat="1"/>
    <row r="854" s="194" customFormat="1"/>
    <row r="855" s="194" customFormat="1"/>
    <row r="856" s="194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D856"/>
  <sheetViews>
    <sheetView zoomScale="75" zoomScaleNormal="75" workbookViewId="0">
      <selection activeCell="D1" sqref="D1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98</v>
      </c>
      <c r="C1" s="418">
        <v>16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Z8" s="18"/>
      <c r="AA8" s="334"/>
      <c r="AB8" s="337"/>
    </row>
    <row r="9" spans="1:28">
      <c r="A9" s="95" t="s">
        <v>6</v>
      </c>
      <c r="B9" s="9"/>
      <c r="C9" s="9"/>
      <c r="D9" s="9"/>
      <c r="Z9" s="18"/>
      <c r="AA9" s="334"/>
      <c r="AB9" s="337"/>
    </row>
    <row r="10" spans="1:28">
      <c r="A10" s="4" t="s">
        <v>7</v>
      </c>
      <c r="B10" s="9"/>
      <c r="C10" s="9"/>
      <c r="D10" s="123">
        <v>1</v>
      </c>
      <c r="E10" s="321">
        <f>[21]Financials!I$12</f>
        <v>998.92509052597745</v>
      </c>
      <c r="F10" s="321">
        <f>[21]Financials!J$12</f>
        <v>998.92509052597745</v>
      </c>
      <c r="G10" s="321">
        <f>[21]Financials!K$12</f>
        <v>998.92509052597745</v>
      </c>
      <c r="H10" s="321">
        <f>[21]Financials!L$12</f>
        <v>998.92509052597745</v>
      </c>
      <c r="I10" s="321">
        <f>[21]Financials!M$12</f>
        <v>998.92509052597745</v>
      </c>
      <c r="J10" s="321">
        <f>[21]Financials!N$12</f>
        <v>998.92509052597745</v>
      </c>
      <c r="K10" s="321">
        <f>[21]Financials!O$12</f>
        <v>998.92509052597745</v>
      </c>
      <c r="L10" s="321">
        <f>[21]Financials!P$12</f>
        <v>998.92509052597745</v>
      </c>
      <c r="M10" s="321">
        <f>[21]Financials!Q$12</f>
        <v>998.92509052597745</v>
      </c>
      <c r="N10" s="321">
        <f>[21]Financials!R$12</f>
        <v>998.92509052597745</v>
      </c>
      <c r="O10" s="321">
        <f>[21]Financials!S$12</f>
        <v>998.92509052597745</v>
      </c>
      <c r="P10" s="321">
        <f>[21]Financials!T$12</f>
        <v>998.92509052597745</v>
      </c>
      <c r="Q10" s="321">
        <f>[21]Financials!U$12</f>
        <v>998.92509052597745</v>
      </c>
      <c r="R10" s="321">
        <f>[21]Financials!V$12</f>
        <v>998.92509052597745</v>
      </c>
      <c r="S10" s="321">
        <f>[21]Financials!W$12</f>
        <v>998.92509052597745</v>
      </c>
      <c r="T10" s="321">
        <f>[21]Financials!X$12</f>
        <v>998.92509052597745</v>
      </c>
      <c r="U10" s="321">
        <f>[21]Financials!Y$12</f>
        <v>0</v>
      </c>
      <c r="V10" s="321">
        <f>[21]Financials!Z$12</f>
        <v>0</v>
      </c>
      <c r="W10" s="321">
        <f>[21]Financials!AA$12</f>
        <v>0</v>
      </c>
      <c r="X10" s="321">
        <f>[21]Financials!AB$12</f>
        <v>0</v>
      </c>
      <c r="Y10" s="321">
        <f>[21]Financials!AC$12</f>
        <v>0</v>
      </c>
      <c r="Z10" s="18"/>
      <c r="AA10" s="355">
        <f t="shared" ref="AA10:AA38" si="1">SUM(F10:Y10)</f>
        <v>14983.876357889665</v>
      </c>
      <c r="AB10" s="356">
        <f>AA10*$C$60</f>
        <v>7491.9381789448325</v>
      </c>
    </row>
    <row r="11" spans="1:28">
      <c r="A11" s="4" t="s">
        <v>8</v>
      </c>
      <c r="B11" s="9"/>
      <c r="C11" s="9"/>
      <c r="D11" s="123">
        <v>1</v>
      </c>
      <c r="E11" s="321">
        <f>[21]Financials!I$11</f>
        <v>1113.8547403606206</v>
      </c>
      <c r="F11" s="321">
        <f>[21]Financials!J$11</f>
        <v>1149.5497628794933</v>
      </c>
      <c r="G11" s="321">
        <f>[21]Financials!K$11</f>
        <v>1186.4521151667414</v>
      </c>
      <c r="H11" s="321">
        <f>[21]Financials!L$11</f>
        <v>1238.6040851395196</v>
      </c>
      <c r="I11" s="321">
        <f>[21]Financials!M$11</f>
        <v>1280.2654902167205</v>
      </c>
      <c r="J11" s="321">
        <f>[21]Financials!N$11</f>
        <v>1338.5097694145841</v>
      </c>
      <c r="K11" s="321">
        <f>[21]Financials!O$11</f>
        <v>1391.3172466868486</v>
      </c>
      <c r="L11" s="321">
        <f>[21]Financials!P$11</f>
        <v>1445.970516389018</v>
      </c>
      <c r="M11" s="321">
        <f>[21]Financials!Q$11</f>
        <v>1517.1567860397329</v>
      </c>
      <c r="N11" s="321">
        <f>[21]Financials!R$11</f>
        <v>1570.8237684121859</v>
      </c>
      <c r="O11" s="321">
        <f>[21]Financials!S$11</f>
        <v>1626.7031522829116</v>
      </c>
      <c r="P11" s="321">
        <f>[21]Financials!T$11</f>
        <v>1684.0272641785534</v>
      </c>
      <c r="Q11" s="321">
        <f>[21]Financials!U$11</f>
        <v>1767.4786798062516</v>
      </c>
      <c r="R11" s="321">
        <f>[21]Financials!V$11</f>
        <v>1810.5949561583554</v>
      </c>
      <c r="S11" s="321">
        <f>[21]Financials!W$11</f>
        <v>1855.1171151377259</v>
      </c>
      <c r="T11" s="321">
        <f>[21]Financials!X$11</f>
        <v>1900.2254949426429</v>
      </c>
      <c r="U11" s="321">
        <f>[21]Financials!Y$11</f>
        <v>0</v>
      </c>
      <c r="V11" s="321">
        <f>[21]Financials!Z$11</f>
        <v>0</v>
      </c>
      <c r="W11" s="321">
        <f>[21]Financials!AA$11</f>
        <v>0</v>
      </c>
      <c r="X11" s="321">
        <f>[21]Financials!AB$11</f>
        <v>0</v>
      </c>
      <c r="Y11" s="321">
        <f>[21]Financials!AC$11</f>
        <v>0</v>
      </c>
      <c r="Z11" s="18"/>
      <c r="AA11" s="355">
        <f t="shared" si="1"/>
        <v>22762.796202851288</v>
      </c>
      <c r="AB11" s="356">
        <f t="shared" ref="AB11:AB74" si="2">AA11*$C$60</f>
        <v>11381.398101425644</v>
      </c>
    </row>
    <row r="12" spans="1:28">
      <c r="A12" s="4" t="s">
        <v>9</v>
      </c>
      <c r="B12" s="9"/>
      <c r="C12" s="9"/>
      <c r="D12" s="123">
        <v>1</v>
      </c>
      <c r="E12" s="321">
        <f>[21]Financials!I$14</f>
        <v>236.303</v>
      </c>
      <c r="F12" s="321">
        <f>[21]Financials!J$14</f>
        <v>174.95099999999999</v>
      </c>
      <c r="G12" s="321">
        <f>[21]Financials!K$14</f>
        <v>0</v>
      </c>
      <c r="H12" s="321">
        <f>[21]Financials!L$14</f>
        <v>0</v>
      </c>
      <c r="I12" s="321">
        <f>[21]Financials!M$14</f>
        <v>0</v>
      </c>
      <c r="J12" s="321">
        <f>[21]Financials!N$14</f>
        <v>0</v>
      </c>
      <c r="K12" s="321">
        <f>[21]Financials!O$14</f>
        <v>0</v>
      </c>
      <c r="L12" s="321">
        <f>[21]Financials!P$14</f>
        <v>0</v>
      </c>
      <c r="M12" s="321">
        <f>[21]Financials!Q$14</f>
        <v>0</v>
      </c>
      <c r="N12" s="321">
        <f>[21]Financials!R$14</f>
        <v>0</v>
      </c>
      <c r="O12" s="321">
        <f>[21]Financials!S$14</f>
        <v>0</v>
      </c>
      <c r="P12" s="321">
        <f>[21]Financials!T$14</f>
        <v>0</v>
      </c>
      <c r="Q12" s="321">
        <f>[21]Financials!U$14</f>
        <v>0</v>
      </c>
      <c r="R12" s="321">
        <f>[21]Financials!V$14</f>
        <v>0</v>
      </c>
      <c r="S12" s="321">
        <f>[21]Financials!W$14</f>
        <v>0</v>
      </c>
      <c r="T12" s="321">
        <f>[21]Financials!X$14</f>
        <v>0</v>
      </c>
      <c r="U12" s="321">
        <f>[21]Financials!Y$14</f>
        <v>0</v>
      </c>
      <c r="V12" s="321">
        <f>[21]Financials!Z$14</f>
        <v>0</v>
      </c>
      <c r="W12" s="321">
        <f>[21]Financials!AA$14</f>
        <v>0</v>
      </c>
      <c r="X12" s="321">
        <f>[21]Financials!AB$14</f>
        <v>0</v>
      </c>
      <c r="Y12" s="321">
        <f>[21]Financials!AC$14</f>
        <v>0</v>
      </c>
      <c r="Z12" s="18"/>
      <c r="AA12" s="355">
        <f t="shared" si="1"/>
        <v>174.95099999999999</v>
      </c>
      <c r="AB12" s="356">
        <f t="shared" si="2"/>
        <v>87.475499999999997</v>
      </c>
    </row>
    <row r="13" spans="1:28">
      <c r="A13" s="6"/>
      <c r="B13" s="9"/>
      <c r="C13" s="9"/>
      <c r="D13" s="124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18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124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18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123">
        <v>1</v>
      </c>
      <c r="E15" s="321"/>
      <c r="F15" s="321"/>
      <c r="G15" s="321"/>
      <c r="H15" s="321"/>
      <c r="I15" s="321"/>
      <c r="J15" s="321"/>
      <c r="K15" s="321"/>
      <c r="L15" s="321"/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21"/>
      <c r="Z15" s="18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123">
        <v>1</v>
      </c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s="321"/>
      <c r="P16" s="321"/>
      <c r="Q16" s="321"/>
      <c r="R16" s="321"/>
      <c r="S16" s="321"/>
      <c r="T16" s="321"/>
      <c r="U16" s="321"/>
      <c r="V16" s="321"/>
      <c r="W16" s="321"/>
      <c r="X16" s="321"/>
      <c r="Y16" s="321"/>
      <c r="Z16" s="18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123">
        <v>1</v>
      </c>
      <c r="E17" s="321"/>
      <c r="F17" s="321"/>
      <c r="G17" s="321"/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18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124"/>
      <c r="E18" s="323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3"/>
      <c r="S18" s="323"/>
      <c r="T18" s="323"/>
      <c r="U18" s="323"/>
      <c r="V18" s="323"/>
      <c r="W18" s="323"/>
      <c r="X18" s="323"/>
      <c r="Y18" s="323"/>
      <c r="Z18" s="18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125">
        <v>1</v>
      </c>
      <c r="E19" s="324">
        <v>0</v>
      </c>
      <c r="F19" s="324">
        <v>0</v>
      </c>
      <c r="G19" s="324">
        <v>0</v>
      </c>
      <c r="H19" s="324">
        <v>0</v>
      </c>
      <c r="I19" s="324">
        <v>0</v>
      </c>
      <c r="J19" s="324">
        <v>0</v>
      </c>
      <c r="K19" s="324">
        <v>0</v>
      </c>
      <c r="L19" s="324">
        <v>0</v>
      </c>
      <c r="M19" s="324">
        <v>0</v>
      </c>
      <c r="N19" s="324">
        <v>0</v>
      </c>
      <c r="O19" s="324">
        <v>0</v>
      </c>
      <c r="P19" s="324">
        <v>0</v>
      </c>
      <c r="Q19" s="324">
        <v>0</v>
      </c>
      <c r="R19" s="324">
        <v>0</v>
      </c>
      <c r="S19" s="324">
        <v>0</v>
      </c>
      <c r="T19" s="324">
        <v>0</v>
      </c>
      <c r="U19" s="324">
        <v>0</v>
      </c>
      <c r="V19" s="324">
        <v>0</v>
      </c>
      <c r="W19" s="324">
        <v>0</v>
      </c>
      <c r="X19" s="324">
        <v>0</v>
      </c>
      <c r="Y19" s="324">
        <v>0</v>
      </c>
      <c r="Z19" s="18"/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2349.082830886598</v>
      </c>
      <c r="F20" s="86">
        <f t="shared" si="3"/>
        <v>2323.4258534054707</v>
      </c>
      <c r="G20" s="86">
        <f t="shared" si="3"/>
        <v>2185.3772056927187</v>
      </c>
      <c r="H20" s="86">
        <f t="shared" si="3"/>
        <v>2237.529175665497</v>
      </c>
      <c r="I20" s="86">
        <f t="shared" si="3"/>
        <v>2279.1905807426979</v>
      </c>
      <c r="J20" s="86">
        <f t="shared" si="3"/>
        <v>2337.4348599405616</v>
      </c>
      <c r="K20" s="86">
        <f t="shared" si="3"/>
        <v>2390.242337212826</v>
      </c>
      <c r="L20" s="86">
        <f t="shared" si="3"/>
        <v>2444.8956069149954</v>
      </c>
      <c r="M20" s="86">
        <f t="shared" si="3"/>
        <v>2516.0818765657104</v>
      </c>
      <c r="N20" s="86">
        <f t="shared" si="3"/>
        <v>2569.7488589381633</v>
      </c>
      <c r="O20" s="86">
        <f t="shared" si="3"/>
        <v>2625.6282428088889</v>
      </c>
      <c r="P20" s="86">
        <f t="shared" si="3"/>
        <v>2682.952354704531</v>
      </c>
      <c r="Q20" s="86">
        <f t="shared" si="3"/>
        <v>2766.4037703322292</v>
      </c>
      <c r="R20" s="86">
        <f t="shared" si="3"/>
        <v>2809.520046684333</v>
      </c>
      <c r="S20" s="86">
        <f t="shared" si="3"/>
        <v>2854.0422056637035</v>
      </c>
      <c r="T20" s="86">
        <f t="shared" si="3"/>
        <v>2899.1505854686202</v>
      </c>
      <c r="U20" s="86">
        <f t="shared" si="3"/>
        <v>0</v>
      </c>
      <c r="V20" s="86">
        <f t="shared" si="3"/>
        <v>0</v>
      </c>
      <c r="W20" s="86">
        <f t="shared" si="3"/>
        <v>0</v>
      </c>
      <c r="X20" s="86">
        <f t="shared" si="3"/>
        <v>0</v>
      </c>
      <c r="Y20" s="86">
        <f t="shared" si="3"/>
        <v>0</v>
      </c>
      <c r="Z20" s="18"/>
      <c r="AA20" s="355">
        <f t="shared" si="1"/>
        <v>37921.623560740947</v>
      </c>
      <c r="AB20" s="356">
        <f t="shared" si="2"/>
        <v>18960.811780370474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95.958801970126174</v>
      </c>
      <c r="F23" s="417">
        <f>F25/$C$1</f>
        <v>94.449451775238273</v>
      </c>
      <c r="G23" s="417">
        <f>G25/$C$1</f>
        <v>97.840478051872324</v>
      </c>
      <c r="H23" s="417">
        <f>H25/$C$1</f>
        <v>100.46499943748775</v>
      </c>
      <c r="I23" s="417">
        <f t="shared" ref="I23:Y23" si="4">I25/$C$1</f>
        <v>103.07287236333059</v>
      </c>
      <c r="J23" s="417">
        <f t="shared" si="4"/>
        <v>105.82557844894549</v>
      </c>
      <c r="K23" s="417">
        <f t="shared" si="4"/>
        <v>110.91331341834631</v>
      </c>
      <c r="L23" s="417">
        <f t="shared" si="4"/>
        <v>114.345833154584</v>
      </c>
      <c r="M23" s="417">
        <f t="shared" si="4"/>
        <v>117.49317630533172</v>
      </c>
      <c r="N23" s="417">
        <f t="shared" si="4"/>
        <v>120.60766596016866</v>
      </c>
      <c r="O23" s="417">
        <f t="shared" si="4"/>
        <v>123.81481425265257</v>
      </c>
      <c r="P23" s="417">
        <f t="shared" si="4"/>
        <v>127.11207518679851</v>
      </c>
      <c r="Q23" s="417">
        <f t="shared" si="4"/>
        <v>130.69344609632057</v>
      </c>
      <c r="R23" s="417">
        <f t="shared" si="4"/>
        <v>134.11063799977208</v>
      </c>
      <c r="S23" s="417">
        <f t="shared" si="4"/>
        <v>137.6270751814815</v>
      </c>
      <c r="T23" s="417">
        <f t="shared" si="4"/>
        <v>141.24025158397737</v>
      </c>
      <c r="U23" s="417">
        <f t="shared" si="4"/>
        <v>0</v>
      </c>
      <c r="V23" s="417">
        <f t="shared" si="4"/>
        <v>0</v>
      </c>
      <c r="W23" s="417">
        <f t="shared" si="4"/>
        <v>0</v>
      </c>
      <c r="X23" s="417">
        <f t="shared" si="4"/>
        <v>0</v>
      </c>
      <c r="Y23" s="417">
        <f t="shared" si="4"/>
        <v>0</v>
      </c>
      <c r="AA23" s="355">
        <f t="shared" si="1"/>
        <v>1759.6116692163077</v>
      </c>
      <c r="AB23" s="356">
        <f t="shared" si="2"/>
        <v>879.80583460815387</v>
      </c>
    </row>
    <row r="24" spans="1:28">
      <c r="A24" s="4" t="s">
        <v>36</v>
      </c>
      <c r="D24" s="123">
        <v>0</v>
      </c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123">
        <v>0</v>
      </c>
      <c r="E25" s="321">
        <f>[21]Financials!I$29</f>
        <v>1535.3408315220188</v>
      </c>
      <c r="F25" s="321">
        <f>[21]Financials!J$29</f>
        <v>1511.1912284038124</v>
      </c>
      <c r="G25" s="321">
        <f>[21]Financials!K$29</f>
        <v>1565.4476488299572</v>
      </c>
      <c r="H25" s="321">
        <f>[21]Financials!L$29</f>
        <v>1607.439990999804</v>
      </c>
      <c r="I25" s="321">
        <f>[21]Financials!M$29</f>
        <v>1649.1659578132894</v>
      </c>
      <c r="J25" s="321">
        <f>[21]Financials!N$29</f>
        <v>1693.2092551831279</v>
      </c>
      <c r="K25" s="321">
        <f>[21]Financials!O$29</f>
        <v>1774.6130146935409</v>
      </c>
      <c r="L25" s="321">
        <f>[21]Financials!P$29</f>
        <v>1829.533330473344</v>
      </c>
      <c r="M25" s="321">
        <f>[21]Financials!Q$29</f>
        <v>1879.8908208853074</v>
      </c>
      <c r="N25" s="321">
        <f>[21]Financials!R$29</f>
        <v>1929.7226553626986</v>
      </c>
      <c r="O25" s="321">
        <f>[21]Financials!S$29</f>
        <v>1981.0370280424411</v>
      </c>
      <c r="P25" s="321">
        <f>[21]Financials!T$29</f>
        <v>2033.7932029887761</v>
      </c>
      <c r="Q25" s="321">
        <f>[21]Financials!U$29</f>
        <v>2091.0951375411291</v>
      </c>
      <c r="R25" s="321">
        <f>[21]Financials!V$29</f>
        <v>2145.7702079963533</v>
      </c>
      <c r="S25" s="321">
        <f>[21]Financials!W$29</f>
        <v>2202.033202903704</v>
      </c>
      <c r="T25" s="321">
        <f>[21]Financials!X$29</f>
        <v>2259.8440253436379</v>
      </c>
      <c r="U25" s="321">
        <f>[21]Financials!Y$29</f>
        <v>0</v>
      </c>
      <c r="V25" s="321">
        <f>[21]Financials!Z$29</f>
        <v>0</v>
      </c>
      <c r="W25" s="321">
        <f>[21]Financials!AA$29</f>
        <v>0</v>
      </c>
      <c r="X25" s="321">
        <f>[21]Financials!AB$29</f>
        <v>0</v>
      </c>
      <c r="Y25" s="321">
        <f>[21]Financials!AC$29</f>
        <v>0</v>
      </c>
      <c r="AA25" s="355">
        <f t="shared" si="1"/>
        <v>28153.786707460924</v>
      </c>
      <c r="AB25" s="356">
        <f t="shared" si="2"/>
        <v>14076.893353730462</v>
      </c>
    </row>
    <row r="26" spans="1:28">
      <c r="A26" s="4" t="s">
        <v>16</v>
      </c>
      <c r="D26" s="123">
        <v>0</v>
      </c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123">
        <v>0</v>
      </c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123">
        <v>0</v>
      </c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321"/>
      <c r="U28" s="321"/>
      <c r="V28" s="321"/>
      <c r="W28" s="321"/>
      <c r="X28" s="321"/>
      <c r="Y28" s="321"/>
      <c r="AA28" s="355">
        <f t="shared" si="1"/>
        <v>0</v>
      </c>
      <c r="AB28" s="356">
        <f t="shared" si="2"/>
        <v>0</v>
      </c>
    </row>
    <row r="29" spans="1:28">
      <c r="A29" s="4" t="s">
        <v>3</v>
      </c>
      <c r="D29" s="123">
        <v>0</v>
      </c>
      <c r="E29" s="321"/>
      <c r="F29" s="321"/>
      <c r="G29" s="321"/>
      <c r="H29" s="321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321"/>
      <c r="U29" s="321"/>
      <c r="V29" s="321"/>
      <c r="W29" s="321"/>
      <c r="X29" s="321"/>
      <c r="Y29" s="321"/>
      <c r="AA29" s="355">
        <f t="shared" si="1"/>
        <v>0</v>
      </c>
      <c r="AB29" s="356">
        <f t="shared" si="2"/>
        <v>0</v>
      </c>
    </row>
    <row r="30" spans="1:28">
      <c r="A30" s="4" t="s">
        <v>38</v>
      </c>
      <c r="D30" s="123">
        <v>0</v>
      </c>
      <c r="E30" s="321"/>
      <c r="F30" s="321"/>
      <c r="G30" s="321"/>
      <c r="H30" s="321"/>
      <c r="I30" s="321"/>
      <c r="J30" s="321"/>
      <c r="K30" s="321"/>
      <c r="L30" s="321"/>
      <c r="M30" s="321"/>
      <c r="N30" s="321"/>
      <c r="O30" s="321"/>
      <c r="P30" s="321"/>
      <c r="Q30" s="321"/>
      <c r="R30" s="321"/>
      <c r="S30" s="321"/>
      <c r="T30" s="321"/>
      <c r="U30" s="321"/>
      <c r="V30" s="321"/>
      <c r="W30" s="321"/>
      <c r="X30" s="321"/>
      <c r="Y30" s="321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123">
        <v>0</v>
      </c>
      <c r="E31" s="321"/>
      <c r="F31" s="321"/>
      <c r="G31" s="321"/>
      <c r="H31" s="321"/>
      <c r="I31" s="321"/>
      <c r="J31" s="321"/>
      <c r="K31" s="321"/>
      <c r="L31" s="321"/>
      <c r="M31" s="321"/>
      <c r="N31" s="321"/>
      <c r="O31" s="321"/>
      <c r="P31" s="321"/>
      <c r="Q31" s="321"/>
      <c r="R31" s="321"/>
      <c r="S31" s="321"/>
      <c r="T31" s="321"/>
      <c r="U31" s="321"/>
      <c r="V31" s="321"/>
      <c r="W31" s="321"/>
      <c r="X31" s="321"/>
      <c r="Y31" s="321"/>
      <c r="AA31" s="355">
        <f t="shared" si="1"/>
        <v>0</v>
      </c>
      <c r="AB31" s="356">
        <f t="shared" si="2"/>
        <v>0</v>
      </c>
    </row>
    <row r="32" spans="1:28">
      <c r="A32" s="4" t="s">
        <v>34</v>
      </c>
      <c r="D32" s="123">
        <v>0</v>
      </c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1"/>
      <c r="T32" s="321"/>
      <c r="U32" s="321"/>
      <c r="V32" s="321"/>
      <c r="W32" s="321"/>
      <c r="X32" s="321"/>
      <c r="Y32" s="321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123">
        <v>0</v>
      </c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1"/>
      <c r="P33" s="321"/>
      <c r="Q33" s="321"/>
      <c r="R33" s="321"/>
      <c r="S33" s="321"/>
      <c r="T33" s="321"/>
      <c r="U33" s="321"/>
      <c r="V33" s="321"/>
      <c r="W33" s="321"/>
      <c r="X33" s="321"/>
      <c r="Y33" s="321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123">
        <v>0</v>
      </c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AA34" s="355">
        <f t="shared" si="1"/>
        <v>0</v>
      </c>
      <c r="AB34" s="356">
        <f t="shared" si="2"/>
        <v>0</v>
      </c>
    </row>
    <row r="35" spans="1:28">
      <c r="A35" s="4" t="s">
        <v>19</v>
      </c>
      <c r="B35" s="6"/>
      <c r="C35" s="6"/>
      <c r="D35" s="125">
        <v>0</v>
      </c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1535.3408315220188</v>
      </c>
      <c r="F36" s="86">
        <f t="shared" si="5"/>
        <v>1511.1912284038124</v>
      </c>
      <c r="G36" s="86">
        <f t="shared" si="5"/>
        <v>1565.4476488299572</v>
      </c>
      <c r="H36" s="86">
        <f t="shared" si="5"/>
        <v>1607.439990999804</v>
      </c>
      <c r="I36" s="86">
        <f t="shared" si="5"/>
        <v>1649.1659578132894</v>
      </c>
      <c r="J36" s="86">
        <f t="shared" si="5"/>
        <v>1693.2092551831279</v>
      </c>
      <c r="K36" s="86">
        <f t="shared" si="5"/>
        <v>1774.6130146935409</v>
      </c>
      <c r="L36" s="86">
        <f t="shared" si="5"/>
        <v>1829.533330473344</v>
      </c>
      <c r="M36" s="86">
        <f t="shared" si="5"/>
        <v>1879.8908208853074</v>
      </c>
      <c r="N36" s="86">
        <f t="shared" si="5"/>
        <v>1929.7226553626986</v>
      </c>
      <c r="O36" s="86">
        <f t="shared" si="5"/>
        <v>1981.0370280424411</v>
      </c>
      <c r="P36" s="86">
        <f t="shared" si="5"/>
        <v>2033.7932029887761</v>
      </c>
      <c r="Q36" s="86">
        <f t="shared" si="5"/>
        <v>2091.0951375411291</v>
      </c>
      <c r="R36" s="86">
        <f t="shared" si="5"/>
        <v>2145.7702079963533</v>
      </c>
      <c r="S36" s="86">
        <f t="shared" si="5"/>
        <v>2202.033202903704</v>
      </c>
      <c r="T36" s="86">
        <f t="shared" si="5"/>
        <v>2259.8440253436379</v>
      </c>
      <c r="U36" s="86">
        <f t="shared" si="5"/>
        <v>0</v>
      </c>
      <c r="V36" s="86">
        <f t="shared" si="5"/>
        <v>0</v>
      </c>
      <c r="W36" s="86">
        <f t="shared" si="5"/>
        <v>0</v>
      </c>
      <c r="X36" s="86">
        <f t="shared" si="5"/>
        <v>0</v>
      </c>
      <c r="Y36" s="86">
        <f t="shared" si="5"/>
        <v>0</v>
      </c>
      <c r="AA36" s="355">
        <f t="shared" si="1"/>
        <v>28153.786707460924</v>
      </c>
      <c r="AB36" s="356">
        <f t="shared" si="2"/>
        <v>14076.893353730462</v>
      </c>
    </row>
    <row r="37" spans="1:28" outlineLevel="1">
      <c r="A37" s="4"/>
      <c r="B37" s="92"/>
      <c r="C37" s="92"/>
      <c r="D37" s="86"/>
      <c r="E37" s="416">
        <f>E36/E20</f>
        <v>0.65359161087672069</v>
      </c>
      <c r="F37" s="416">
        <f t="shared" ref="F37:Y37" si="6">F36/F20</f>
        <v>0.65041508692383831</v>
      </c>
      <c r="G37" s="416">
        <f t="shared" si="6"/>
        <v>0.71632835043401266</v>
      </c>
      <c r="H37" s="416">
        <f t="shared" si="6"/>
        <v>0.7183995670231702</v>
      </c>
      <c r="I37" s="416">
        <f t="shared" si="6"/>
        <v>0.72357527788478826</v>
      </c>
      <c r="J37" s="416">
        <f t="shared" si="6"/>
        <v>0.72438778260806136</v>
      </c>
      <c r="K37" s="416">
        <f t="shared" si="6"/>
        <v>0.74244062497983032</v>
      </c>
      <c r="L37" s="416">
        <f t="shared" si="6"/>
        <v>0.74830734093464035</v>
      </c>
      <c r="M37" s="416">
        <f t="shared" si="6"/>
        <v>0.74715009809268895</v>
      </c>
      <c r="N37" s="416">
        <f t="shared" si="6"/>
        <v>0.750938228321686</v>
      </c>
      <c r="O37" s="416">
        <f t="shared" si="6"/>
        <v>0.75450019760723397</v>
      </c>
      <c r="P37" s="416">
        <f t="shared" si="6"/>
        <v>0.75804298180045548</v>
      </c>
      <c r="Q37" s="416">
        <f t="shared" si="6"/>
        <v>0.75588934629379878</v>
      </c>
      <c r="R37" s="416">
        <f t="shared" si="6"/>
        <v>0.76374974100245097</v>
      </c>
      <c r="S37" s="416">
        <f t="shared" si="6"/>
        <v>0.77154892752948068</v>
      </c>
      <c r="T37" s="416">
        <f t="shared" si="6"/>
        <v>0.77948487280054668</v>
      </c>
      <c r="U37" s="416" t="e">
        <f t="shared" si="6"/>
        <v>#DIV/0!</v>
      </c>
      <c r="V37" s="416" t="e">
        <f t="shared" si="6"/>
        <v>#DIV/0!</v>
      </c>
      <c r="W37" s="416" t="e">
        <f t="shared" si="6"/>
        <v>#DIV/0!</v>
      </c>
      <c r="X37" s="416" t="e">
        <f t="shared" si="6"/>
        <v>#DIV/0!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813.74199936457921</v>
      </c>
      <c r="F39" s="89">
        <f t="shared" si="7"/>
        <v>812.23462500165829</v>
      </c>
      <c r="G39" s="89">
        <f t="shared" si="7"/>
        <v>619.9295568627615</v>
      </c>
      <c r="H39" s="89">
        <f t="shared" si="7"/>
        <v>630.08918466569298</v>
      </c>
      <c r="I39" s="89">
        <f t="shared" si="7"/>
        <v>630.02462292940845</v>
      </c>
      <c r="J39" s="89">
        <f t="shared" si="7"/>
        <v>644.22560475743376</v>
      </c>
      <c r="K39" s="89">
        <f t="shared" si="7"/>
        <v>615.6293225192851</v>
      </c>
      <c r="L39" s="89">
        <f t="shared" si="7"/>
        <v>615.36227644165137</v>
      </c>
      <c r="M39" s="89">
        <f t="shared" si="7"/>
        <v>636.191055680403</v>
      </c>
      <c r="N39" s="89">
        <f t="shared" si="7"/>
        <v>640.02620357546471</v>
      </c>
      <c r="O39" s="89">
        <f t="shared" si="7"/>
        <v>644.59121476644782</v>
      </c>
      <c r="P39" s="89">
        <f t="shared" si="7"/>
        <v>649.15915171575489</v>
      </c>
      <c r="Q39" s="89">
        <f t="shared" si="7"/>
        <v>675.30863279110008</v>
      </c>
      <c r="R39" s="89">
        <f t="shared" si="7"/>
        <v>663.74983868797972</v>
      </c>
      <c r="S39" s="89">
        <f t="shared" si="7"/>
        <v>652.00900275999948</v>
      </c>
      <c r="T39" s="89">
        <f t="shared" si="7"/>
        <v>639.3065601249823</v>
      </c>
      <c r="U39" s="89">
        <f t="shared" si="7"/>
        <v>0</v>
      </c>
      <c r="V39" s="89">
        <f t="shared" si="7"/>
        <v>0</v>
      </c>
      <c r="W39" s="89">
        <f t="shared" si="7"/>
        <v>0</v>
      </c>
      <c r="X39" s="89">
        <f t="shared" si="7"/>
        <v>0</v>
      </c>
      <c r="Y39" s="89">
        <f t="shared" si="7"/>
        <v>0</v>
      </c>
      <c r="AA39" s="355">
        <f>SUM(F39:Y39)</f>
        <v>9767.8368532800232</v>
      </c>
      <c r="AB39" s="356">
        <f t="shared" si="2"/>
        <v>4883.9184266400116</v>
      </c>
    </row>
    <row r="40" spans="1:28" s="17" customFormat="1">
      <c r="A40" s="1"/>
      <c r="B40" s="1"/>
      <c r="C40" s="1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113">
        <v>0</v>
      </c>
      <c r="F41" s="86">
        <f>+F109</f>
        <v>193</v>
      </c>
      <c r="G41" s="86">
        <f t="shared" ref="G41:Y41" si="9">+G109</f>
        <v>193</v>
      </c>
      <c r="H41" s="86">
        <f t="shared" si="9"/>
        <v>193</v>
      </c>
      <c r="I41" s="86">
        <f t="shared" si="9"/>
        <v>193</v>
      </c>
      <c r="J41" s="86">
        <f t="shared" si="9"/>
        <v>193</v>
      </c>
      <c r="K41" s="86">
        <f t="shared" si="9"/>
        <v>193</v>
      </c>
      <c r="L41" s="86">
        <f t="shared" si="9"/>
        <v>193</v>
      </c>
      <c r="M41" s="86">
        <f t="shared" si="9"/>
        <v>193</v>
      </c>
      <c r="N41" s="86">
        <f t="shared" si="9"/>
        <v>193</v>
      </c>
      <c r="O41" s="86">
        <f t="shared" si="9"/>
        <v>193</v>
      </c>
      <c r="P41" s="86">
        <f t="shared" si="9"/>
        <v>193</v>
      </c>
      <c r="Q41" s="86">
        <f t="shared" si="9"/>
        <v>193</v>
      </c>
      <c r="R41" s="86">
        <f t="shared" si="9"/>
        <v>193</v>
      </c>
      <c r="S41" s="86">
        <f t="shared" si="9"/>
        <v>193</v>
      </c>
      <c r="T41" s="86">
        <f t="shared" si="9"/>
        <v>193</v>
      </c>
      <c r="U41" s="86">
        <f t="shared" si="9"/>
        <v>0</v>
      </c>
      <c r="V41" s="86">
        <f t="shared" si="9"/>
        <v>0</v>
      </c>
      <c r="W41" s="86">
        <f t="shared" si="9"/>
        <v>0</v>
      </c>
      <c r="X41" s="86">
        <f t="shared" si="9"/>
        <v>0</v>
      </c>
      <c r="Y41" s="86">
        <f t="shared" si="9"/>
        <v>0</v>
      </c>
      <c r="AA41" s="355">
        <f t="shared" si="8"/>
        <v>2895</v>
      </c>
      <c r="AB41" s="356">
        <f t="shared" si="2"/>
        <v>1447.5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813.74199936457921</v>
      </c>
      <c r="F44" s="89">
        <f t="shared" si="10"/>
        <v>619.23462500165829</v>
      </c>
      <c r="G44" s="89">
        <f t="shared" si="10"/>
        <v>426.9295568627615</v>
      </c>
      <c r="H44" s="89">
        <f t="shared" si="10"/>
        <v>437.08918466569298</v>
      </c>
      <c r="I44" s="89">
        <f t="shared" si="10"/>
        <v>437.02462292940845</v>
      </c>
      <c r="J44" s="89">
        <f t="shared" si="10"/>
        <v>451.22560475743376</v>
      </c>
      <c r="K44" s="89">
        <f t="shared" si="10"/>
        <v>422.6293225192851</v>
      </c>
      <c r="L44" s="89">
        <f t="shared" si="10"/>
        <v>422.36227644165137</v>
      </c>
      <c r="M44" s="89">
        <f t="shared" si="10"/>
        <v>443.191055680403</v>
      </c>
      <c r="N44" s="89">
        <f t="shared" si="10"/>
        <v>447.02620357546471</v>
      </c>
      <c r="O44" s="89">
        <f t="shared" si="10"/>
        <v>451.59121476644782</v>
      </c>
      <c r="P44" s="89">
        <f t="shared" si="10"/>
        <v>456.15915171575489</v>
      </c>
      <c r="Q44" s="89">
        <f t="shared" si="10"/>
        <v>482.30863279110008</v>
      </c>
      <c r="R44" s="89">
        <f t="shared" si="10"/>
        <v>470.74983868797972</v>
      </c>
      <c r="S44" s="89">
        <f t="shared" si="10"/>
        <v>459.00900275999948</v>
      </c>
      <c r="T44" s="89">
        <f t="shared" si="10"/>
        <v>446.3065601249823</v>
      </c>
      <c r="U44" s="89">
        <f t="shared" si="10"/>
        <v>0</v>
      </c>
      <c r="V44" s="89">
        <f t="shared" si="10"/>
        <v>0</v>
      </c>
      <c r="W44" s="89">
        <f t="shared" si="10"/>
        <v>0</v>
      </c>
      <c r="X44" s="89">
        <f t="shared" si="10"/>
        <v>0</v>
      </c>
      <c r="Y44" s="89">
        <f t="shared" si="10"/>
        <v>0</v>
      </c>
      <c r="AA44" s="355">
        <f t="shared" si="8"/>
        <v>6872.8368532800232</v>
      </c>
      <c r="AB44" s="356">
        <f t="shared" si="2"/>
        <v>3436.4184266400116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205">
        <v>0</v>
      </c>
      <c r="F46" s="325">
        <v>0</v>
      </c>
      <c r="G46" s="325">
        <v>0</v>
      </c>
      <c r="H46" s="325">
        <v>0</v>
      </c>
      <c r="I46" s="325">
        <v>0</v>
      </c>
      <c r="J46" s="325">
        <v>0</v>
      </c>
      <c r="K46" s="325">
        <v>0</v>
      </c>
      <c r="L46" s="325">
        <v>0</v>
      </c>
      <c r="M46" s="325">
        <v>0</v>
      </c>
      <c r="N46" s="325">
        <v>0</v>
      </c>
      <c r="O46" s="325">
        <v>0</v>
      </c>
      <c r="P46" s="325">
        <v>0</v>
      </c>
      <c r="Q46" s="325">
        <v>0</v>
      </c>
      <c r="R46" s="325">
        <v>0</v>
      </c>
      <c r="S46" s="325">
        <v>0</v>
      </c>
      <c r="T46" s="325">
        <v>0</v>
      </c>
      <c r="U46" s="325">
        <v>0</v>
      </c>
      <c r="V46" s="325">
        <v>0</v>
      </c>
      <c r="W46" s="325">
        <v>0</v>
      </c>
      <c r="X46" s="325">
        <v>0</v>
      </c>
      <c r="Y46" s="325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813.74199936457921</v>
      </c>
      <c r="F49" s="89">
        <f t="shared" si="11"/>
        <v>619.23462500165829</v>
      </c>
      <c r="G49" s="89">
        <f t="shared" si="11"/>
        <v>426.9295568627615</v>
      </c>
      <c r="H49" s="89">
        <f t="shared" si="11"/>
        <v>437.08918466569298</v>
      </c>
      <c r="I49" s="89">
        <f t="shared" si="11"/>
        <v>437.02462292940845</v>
      </c>
      <c r="J49" s="89">
        <f t="shared" si="11"/>
        <v>451.22560475743376</v>
      </c>
      <c r="K49" s="89">
        <f t="shared" si="11"/>
        <v>422.6293225192851</v>
      </c>
      <c r="L49" s="89">
        <f t="shared" si="11"/>
        <v>422.36227644165137</v>
      </c>
      <c r="M49" s="89">
        <f t="shared" si="11"/>
        <v>443.191055680403</v>
      </c>
      <c r="N49" s="89">
        <f t="shared" si="11"/>
        <v>447.02620357546471</v>
      </c>
      <c r="O49" s="89">
        <f t="shared" si="11"/>
        <v>451.59121476644782</v>
      </c>
      <c r="P49" s="89">
        <f t="shared" si="11"/>
        <v>456.15915171575489</v>
      </c>
      <c r="Q49" s="89">
        <f t="shared" si="11"/>
        <v>482.30863279110008</v>
      </c>
      <c r="R49" s="89">
        <f t="shared" si="11"/>
        <v>470.74983868797972</v>
      </c>
      <c r="S49" s="89">
        <f t="shared" si="11"/>
        <v>459.00900275999948</v>
      </c>
      <c r="T49" s="89">
        <f t="shared" si="11"/>
        <v>446.3065601249823</v>
      </c>
      <c r="U49" s="89">
        <f t="shared" si="11"/>
        <v>0</v>
      </c>
      <c r="V49" s="89">
        <f t="shared" si="11"/>
        <v>0</v>
      </c>
      <c r="W49" s="89">
        <f t="shared" si="11"/>
        <v>0</v>
      </c>
      <c r="X49" s="89">
        <f t="shared" si="11"/>
        <v>0</v>
      </c>
      <c r="Y49" s="89">
        <f t="shared" si="11"/>
        <v>0</v>
      </c>
      <c r="AA49" s="355">
        <f t="shared" si="8"/>
        <v>6872.8368532800232</v>
      </c>
      <c r="AB49" s="356">
        <f t="shared" si="2"/>
        <v>3436.4184266400116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326">
        <v>0.05</v>
      </c>
      <c r="D51" s="86"/>
      <c r="E51" s="86">
        <f t="shared" ref="E51:Y51" si="12">E49*-$C$51</f>
        <v>-40.687099968228964</v>
      </c>
      <c r="F51" s="86">
        <f t="shared" si="12"/>
        <v>-30.961731250082916</v>
      </c>
      <c r="G51" s="51">
        <f t="shared" si="12"/>
        <v>-21.346477843138075</v>
      </c>
      <c r="H51" s="86">
        <f t="shared" si="12"/>
        <v>-21.854459233284651</v>
      </c>
      <c r="I51" s="86">
        <f t="shared" si="12"/>
        <v>-21.851231146470425</v>
      </c>
      <c r="J51" s="86">
        <f t="shared" si="12"/>
        <v>-22.561280237871689</v>
      </c>
      <c r="K51" s="86">
        <f t="shared" si="12"/>
        <v>-21.131466125964256</v>
      </c>
      <c r="L51" s="86">
        <f t="shared" si="12"/>
        <v>-21.11811382208257</v>
      </c>
      <c r="M51" s="86">
        <f t="shared" si="12"/>
        <v>-22.15955278402015</v>
      </c>
      <c r="N51" s="86">
        <f t="shared" si="12"/>
        <v>-22.351310178773236</v>
      </c>
      <c r="O51" s="86">
        <f t="shared" si="12"/>
        <v>-22.579560738322392</v>
      </c>
      <c r="P51" s="86">
        <f t="shared" si="12"/>
        <v>-22.807957585787747</v>
      </c>
      <c r="Q51" s="86">
        <f t="shared" si="12"/>
        <v>-24.115431639555005</v>
      </c>
      <c r="R51" s="86">
        <f t="shared" si="12"/>
        <v>-23.537491934398986</v>
      </c>
      <c r="S51" s="86">
        <f t="shared" si="12"/>
        <v>-22.950450137999976</v>
      </c>
      <c r="T51" s="86">
        <f t="shared" si="12"/>
        <v>-22.315328006249118</v>
      </c>
      <c r="U51" s="86">
        <f t="shared" si="12"/>
        <v>0</v>
      </c>
      <c r="V51" s="86">
        <f t="shared" si="12"/>
        <v>0</v>
      </c>
      <c r="W51" s="86">
        <f t="shared" si="12"/>
        <v>0</v>
      </c>
      <c r="X51" s="86">
        <f t="shared" si="12"/>
        <v>0</v>
      </c>
      <c r="Y51" s="86">
        <f t="shared" si="12"/>
        <v>0</v>
      </c>
      <c r="AA51" s="355">
        <f t="shared" si="8"/>
        <v>-343.64184266400116</v>
      </c>
      <c r="AB51" s="356">
        <f t="shared" si="2"/>
        <v>-171.82092133200058</v>
      </c>
    </row>
    <row r="52" spans="1:28">
      <c r="A52" s="4" t="s">
        <v>27</v>
      </c>
      <c r="C52" s="114">
        <v>0.35</v>
      </c>
      <c r="D52" s="85"/>
      <c r="E52" s="85">
        <f>((E49+E51)*-$C$52)+E56</f>
        <v>-270.56921478872255</v>
      </c>
      <c r="F52" s="85">
        <f t="shared" ref="F52:Y52" si="13">((F49+F51)*-$C$52)+F56</f>
        <v>-205.89551281305137</v>
      </c>
      <c r="G52" s="85">
        <f t="shared" si="13"/>
        <v>-141.95407765686818</v>
      </c>
      <c r="H52" s="85">
        <f t="shared" si="13"/>
        <v>-145.33215390134291</v>
      </c>
      <c r="I52" s="85">
        <f t="shared" si="13"/>
        <v>-145.31068712402831</v>
      </c>
      <c r="J52" s="85">
        <f t="shared" si="13"/>
        <v>-150.0325135818467</v>
      </c>
      <c r="K52" s="85">
        <f t="shared" si="13"/>
        <v>-140.52424973766227</v>
      </c>
      <c r="L52" s="85">
        <f t="shared" si="13"/>
        <v>-140.43545691684906</v>
      </c>
      <c r="M52" s="85">
        <f t="shared" si="13"/>
        <v>-147.36102601373398</v>
      </c>
      <c r="N52" s="85">
        <f t="shared" si="13"/>
        <v>-148.63621268884199</v>
      </c>
      <c r="O52" s="85">
        <f t="shared" si="13"/>
        <v>-150.15407890984389</v>
      </c>
      <c r="P52" s="85">
        <f t="shared" si="13"/>
        <v>-151.67291794548851</v>
      </c>
      <c r="Q52" s="85">
        <f t="shared" si="13"/>
        <v>-160.36762040304075</v>
      </c>
      <c r="R52" s="85">
        <f t="shared" si="13"/>
        <v>-156.52432136375324</v>
      </c>
      <c r="S52" s="85">
        <f t="shared" si="13"/>
        <v>-152.62049341769983</v>
      </c>
      <c r="T52" s="85">
        <f t="shared" si="13"/>
        <v>-148.39693124155662</v>
      </c>
      <c r="U52" s="85">
        <f t="shared" si="13"/>
        <v>0</v>
      </c>
      <c r="V52" s="85">
        <f t="shared" si="13"/>
        <v>0</v>
      </c>
      <c r="W52" s="85">
        <f t="shared" si="13"/>
        <v>0</v>
      </c>
      <c r="X52" s="85">
        <f t="shared" si="13"/>
        <v>0</v>
      </c>
      <c r="Y52" s="85">
        <f t="shared" si="13"/>
        <v>0</v>
      </c>
      <c r="AA52" s="355">
        <f t="shared" si="8"/>
        <v>-2285.2182537156077</v>
      </c>
      <c r="AB52" s="356">
        <f t="shared" si="2"/>
        <v>-1142.6091268578039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502.48568460762772</v>
      </c>
      <c r="F54" s="89">
        <f t="shared" si="14"/>
        <v>382.37738093852397</v>
      </c>
      <c r="G54" s="89">
        <f t="shared" si="14"/>
        <v>263.62900136275528</v>
      </c>
      <c r="H54" s="89">
        <f t="shared" si="14"/>
        <v>269.9025715310654</v>
      </c>
      <c r="I54" s="89">
        <f t="shared" si="14"/>
        <v>269.86270465890971</v>
      </c>
      <c r="J54" s="89">
        <f t="shared" si="14"/>
        <v>278.63181093771539</v>
      </c>
      <c r="K54" s="89">
        <f t="shared" si="14"/>
        <v>260.97360665565856</v>
      </c>
      <c r="L54" s="89">
        <f t="shared" si="14"/>
        <v>260.80870570271975</v>
      </c>
      <c r="M54" s="89">
        <f t="shared" si="14"/>
        <v>273.67047688264887</v>
      </c>
      <c r="N54" s="89">
        <f t="shared" si="14"/>
        <v>276.03868070784949</v>
      </c>
      <c r="O54" s="89">
        <f t="shared" si="14"/>
        <v>278.85757511828149</v>
      </c>
      <c r="P54" s="89">
        <f t="shared" si="14"/>
        <v>281.67827618447865</v>
      </c>
      <c r="Q54" s="89">
        <f t="shared" si="14"/>
        <v>297.82558074850431</v>
      </c>
      <c r="R54" s="89">
        <f t="shared" si="14"/>
        <v>290.68802538982749</v>
      </c>
      <c r="S54" s="89">
        <f t="shared" si="14"/>
        <v>283.43805920429969</v>
      </c>
      <c r="T54" s="89">
        <f t="shared" si="14"/>
        <v>275.59430087717658</v>
      </c>
      <c r="U54" s="89">
        <f t="shared" si="14"/>
        <v>0</v>
      </c>
      <c r="V54" s="89">
        <f t="shared" si="14"/>
        <v>0</v>
      </c>
      <c r="W54" s="89">
        <f t="shared" si="14"/>
        <v>0</v>
      </c>
      <c r="X54" s="89">
        <f t="shared" si="14"/>
        <v>0</v>
      </c>
      <c r="Y54" s="89">
        <f t="shared" si="14"/>
        <v>0</v>
      </c>
      <c r="AA54" s="355">
        <f t="shared" si="8"/>
        <v>4243.9767569004152</v>
      </c>
      <c r="AB54" s="356">
        <f t="shared" si="2"/>
        <v>2121.9883784502076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v>0</v>
      </c>
      <c r="F56" s="169">
        <v>0</v>
      </c>
      <c r="G56" s="169">
        <v>0</v>
      </c>
      <c r="H56" s="169">
        <v>0</v>
      </c>
      <c r="I56" s="169">
        <v>0</v>
      </c>
      <c r="J56" s="169">
        <v>0</v>
      </c>
      <c r="K56" s="169">
        <v>0</v>
      </c>
      <c r="L56" s="169">
        <v>0</v>
      </c>
      <c r="M56" s="169">
        <v>0</v>
      </c>
      <c r="N56" s="169">
        <v>0</v>
      </c>
      <c r="O56" s="169">
        <v>0</v>
      </c>
      <c r="P56" s="169">
        <v>0</v>
      </c>
      <c r="Q56" s="169">
        <v>0</v>
      </c>
      <c r="R56" s="169">
        <v>0</v>
      </c>
      <c r="S56" s="169">
        <v>0</v>
      </c>
      <c r="T56" s="169">
        <v>0</v>
      </c>
      <c r="U56" s="169">
        <v>0</v>
      </c>
      <c r="V56" s="169">
        <v>0</v>
      </c>
      <c r="W56" s="169">
        <v>0</v>
      </c>
      <c r="X56" s="169">
        <v>0</v>
      </c>
      <c r="Y56" s="169">
        <v>0</v>
      </c>
      <c r="AA56" s="355">
        <f t="shared" si="8"/>
        <v>0</v>
      </c>
      <c r="AB56" s="356">
        <f t="shared" si="2"/>
        <v>0</v>
      </c>
    </row>
    <row r="57" spans="1:28" outlineLevel="1">
      <c r="A57" s="12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327">
        <v>0.5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813.74199936457921</v>
      </c>
      <c r="F64" s="16">
        <f t="shared" si="16"/>
        <v>812.23462500165829</v>
      </c>
      <c r="G64" s="20">
        <f t="shared" si="16"/>
        <v>619.9295568627615</v>
      </c>
      <c r="H64" s="16">
        <f t="shared" si="16"/>
        <v>630.08918466569298</v>
      </c>
      <c r="I64" s="16">
        <f t="shared" si="16"/>
        <v>630.02462292940845</v>
      </c>
      <c r="J64" s="16">
        <f t="shared" si="16"/>
        <v>644.22560475743376</v>
      </c>
      <c r="K64" s="16">
        <f t="shared" si="16"/>
        <v>615.6293225192851</v>
      </c>
      <c r="L64" s="16">
        <f t="shared" si="16"/>
        <v>615.36227644165137</v>
      </c>
      <c r="M64" s="16">
        <f t="shared" si="16"/>
        <v>636.191055680403</v>
      </c>
      <c r="N64" s="16">
        <f t="shared" si="16"/>
        <v>640.02620357546471</v>
      </c>
      <c r="O64" s="16">
        <f t="shared" si="16"/>
        <v>644.59121476644782</v>
      </c>
      <c r="P64" s="16">
        <f t="shared" si="16"/>
        <v>649.15915171575489</v>
      </c>
      <c r="Q64" s="16">
        <f t="shared" si="16"/>
        <v>675.30863279110008</v>
      </c>
      <c r="R64" s="16">
        <f t="shared" si="16"/>
        <v>663.74983868797972</v>
      </c>
      <c r="S64" s="16">
        <f t="shared" si="16"/>
        <v>652.00900275999948</v>
      </c>
      <c r="T64" s="16">
        <f t="shared" si="16"/>
        <v>639.3065601249823</v>
      </c>
      <c r="U64" s="16">
        <f t="shared" si="16"/>
        <v>0</v>
      </c>
      <c r="V64" s="16">
        <f t="shared" si="16"/>
        <v>0</v>
      </c>
      <c r="W64" s="16">
        <f t="shared" si="16"/>
        <v>0</v>
      </c>
      <c r="X64" s="16">
        <f t="shared" si="16"/>
        <v>0</v>
      </c>
      <c r="Y64" s="16">
        <f t="shared" si="16"/>
        <v>0</v>
      </c>
      <c r="AA64" s="355">
        <f t="shared" si="8"/>
        <v>9767.8368532800232</v>
      </c>
      <c r="AB64" s="356">
        <f t="shared" si="2"/>
        <v>4883.9184266400116</v>
      </c>
    </row>
    <row r="65" spans="1:28" outlineLevel="1">
      <c r="A65" s="12" t="s">
        <v>29</v>
      </c>
      <c r="D65" s="16"/>
      <c r="E65" s="121">
        <v>0</v>
      </c>
      <c r="F65" s="121">
        <v>0</v>
      </c>
      <c r="G65" s="121">
        <v>0</v>
      </c>
      <c r="H65" s="121">
        <v>0</v>
      </c>
      <c r="I65" s="121">
        <v>0</v>
      </c>
      <c r="J65" s="121">
        <v>0</v>
      </c>
      <c r="K65" s="121">
        <v>0</v>
      </c>
      <c r="L65" s="121">
        <v>0</v>
      </c>
      <c r="M65" s="121">
        <v>0</v>
      </c>
      <c r="N65" s="121">
        <v>0</v>
      </c>
      <c r="O65" s="121">
        <v>0</v>
      </c>
      <c r="P65" s="121">
        <v>0</v>
      </c>
      <c r="Q65" s="121">
        <v>0</v>
      </c>
      <c r="R65" s="121">
        <v>0</v>
      </c>
      <c r="S65" s="121">
        <v>0</v>
      </c>
      <c r="T65" s="121">
        <v>0</v>
      </c>
      <c r="U65" s="121">
        <v>0</v>
      </c>
      <c r="V65" s="121">
        <v>0</v>
      </c>
      <c r="W65" s="121">
        <v>0</v>
      </c>
      <c r="X65" s="121">
        <v>0</v>
      </c>
      <c r="Y65" s="121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328">
        <v>0</v>
      </c>
      <c r="F66" s="328">
        <v>0</v>
      </c>
      <c r="G66" s="328">
        <v>0</v>
      </c>
      <c r="H66" s="328">
        <v>0</v>
      </c>
      <c r="I66" s="328">
        <v>0</v>
      </c>
      <c r="J66" s="328">
        <v>0</v>
      </c>
      <c r="K66" s="328">
        <v>0</v>
      </c>
      <c r="L66" s="328">
        <v>0</v>
      </c>
      <c r="M66" s="328">
        <v>0</v>
      </c>
      <c r="N66" s="328">
        <v>0</v>
      </c>
      <c r="O66" s="328">
        <v>0</v>
      </c>
      <c r="P66" s="328">
        <v>0</v>
      </c>
      <c r="Q66" s="328">
        <v>0</v>
      </c>
      <c r="R66" s="328">
        <v>0</v>
      </c>
      <c r="S66" s="328">
        <v>0</v>
      </c>
      <c r="T66" s="328">
        <v>0</v>
      </c>
      <c r="U66" s="328">
        <v>0</v>
      </c>
      <c r="V66" s="328">
        <v>0</v>
      </c>
      <c r="W66" s="328">
        <v>0</v>
      </c>
      <c r="X66" s="328">
        <v>0</v>
      </c>
      <c r="Y66" s="328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12"/>
      <c r="D67" s="87"/>
      <c r="E67" s="122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7">SUM(E64:E66)</f>
        <v>813.74199936457921</v>
      </c>
      <c r="F69" s="91">
        <f t="shared" si="17"/>
        <v>812.23462500165829</v>
      </c>
      <c r="G69" s="91">
        <f t="shared" si="17"/>
        <v>619.9295568627615</v>
      </c>
      <c r="H69" s="91">
        <f t="shared" si="17"/>
        <v>630.08918466569298</v>
      </c>
      <c r="I69" s="91">
        <f t="shared" si="17"/>
        <v>630.02462292940845</v>
      </c>
      <c r="J69" s="91">
        <f t="shared" si="17"/>
        <v>644.22560475743376</v>
      </c>
      <c r="K69" s="91">
        <f t="shared" si="17"/>
        <v>615.6293225192851</v>
      </c>
      <c r="L69" s="91">
        <f t="shared" si="17"/>
        <v>615.36227644165137</v>
      </c>
      <c r="M69" s="91">
        <f t="shared" si="17"/>
        <v>636.191055680403</v>
      </c>
      <c r="N69" s="91">
        <f t="shared" si="17"/>
        <v>640.02620357546471</v>
      </c>
      <c r="O69" s="91">
        <f t="shared" si="17"/>
        <v>644.59121476644782</v>
      </c>
      <c r="P69" s="91">
        <f t="shared" si="17"/>
        <v>649.15915171575489</v>
      </c>
      <c r="Q69" s="91">
        <f t="shared" si="17"/>
        <v>675.30863279110008</v>
      </c>
      <c r="R69" s="91">
        <f t="shared" si="17"/>
        <v>663.74983868797972</v>
      </c>
      <c r="S69" s="91">
        <f t="shared" si="17"/>
        <v>652.00900275999948</v>
      </c>
      <c r="T69" s="91">
        <f t="shared" si="17"/>
        <v>639.3065601249823</v>
      </c>
      <c r="U69" s="91">
        <f t="shared" si="17"/>
        <v>0</v>
      </c>
      <c r="V69" s="91">
        <f t="shared" si="17"/>
        <v>0</v>
      </c>
      <c r="W69" s="91">
        <f t="shared" si="17"/>
        <v>0</v>
      </c>
      <c r="X69" s="91">
        <f t="shared" si="17"/>
        <v>0</v>
      </c>
      <c r="Y69" s="91">
        <f t="shared" si="17"/>
        <v>0</v>
      </c>
      <c r="AA69" s="355">
        <f t="shared" si="8"/>
        <v>9767.8368532800232</v>
      </c>
      <c r="AB69" s="356">
        <f t="shared" si="2"/>
        <v>4883.9184266400116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8">F89</f>
        <v>131.26076259075128</v>
      </c>
      <c r="G71" s="94">
        <f t="shared" si="18"/>
        <v>469.98175514621062</v>
      </c>
      <c r="H71" s="94">
        <f t="shared" si="18"/>
        <v>183.25377325310259</v>
      </c>
      <c r="I71" s="94">
        <f t="shared" si="18"/>
        <v>13.573313562139347</v>
      </c>
      <c r="J71" s="94">
        <f t="shared" si="18"/>
        <v>8.1414380129196697</v>
      </c>
      <c r="K71" s="94">
        <f t="shared" si="18"/>
        <v>-108.1993499473075</v>
      </c>
      <c r="L71" s="94">
        <f t="shared" si="18"/>
        <v>-235.37607073893165</v>
      </c>
      <c r="M71" s="94">
        <f t="shared" si="18"/>
        <v>-243.34307879775412</v>
      </c>
      <c r="N71" s="94">
        <f t="shared" si="18"/>
        <v>-244.81002286761526</v>
      </c>
      <c r="O71" s="94">
        <f t="shared" si="18"/>
        <v>-246.55613964816629</v>
      </c>
      <c r="P71" s="94">
        <f t="shared" si="18"/>
        <v>-248.30337553127623</v>
      </c>
      <c r="Q71" s="94">
        <f t="shared" si="18"/>
        <v>-258.30555204259576</v>
      </c>
      <c r="R71" s="94">
        <f t="shared" si="18"/>
        <v>-253.88431329815225</v>
      </c>
      <c r="S71" s="94">
        <f t="shared" si="18"/>
        <v>-249.3934435556998</v>
      </c>
      <c r="T71" s="94">
        <f t="shared" si="18"/>
        <v>-244.53475924780571</v>
      </c>
      <c r="U71" s="94">
        <f t="shared" si="18"/>
        <v>0</v>
      </c>
      <c r="V71" s="94">
        <f t="shared" si="18"/>
        <v>0</v>
      </c>
      <c r="W71" s="94">
        <f t="shared" si="18"/>
        <v>0</v>
      </c>
      <c r="X71" s="94">
        <f t="shared" si="18"/>
        <v>0</v>
      </c>
      <c r="Y71" s="94">
        <f t="shared" si="18"/>
        <v>0</v>
      </c>
      <c r="AA71" s="355">
        <f t="shared" si="8"/>
        <v>-1526.495063110181</v>
      </c>
      <c r="AB71" s="356">
        <f t="shared" si="2"/>
        <v>-763.24753155509052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19">E69+E71</f>
        <v>813.74199936457921</v>
      </c>
      <c r="F73" s="24">
        <f t="shared" si="19"/>
        <v>943.49538759240954</v>
      </c>
      <c r="G73" s="24">
        <f t="shared" si="19"/>
        <v>1089.9113120089721</v>
      </c>
      <c r="H73" s="24">
        <f t="shared" si="19"/>
        <v>813.34295791879561</v>
      </c>
      <c r="I73" s="24">
        <f t="shared" si="19"/>
        <v>643.59793649154778</v>
      </c>
      <c r="J73" s="24">
        <f t="shared" si="19"/>
        <v>652.36704277035346</v>
      </c>
      <c r="K73" s="24">
        <f t="shared" si="19"/>
        <v>507.4299725719776</v>
      </c>
      <c r="L73" s="24">
        <f t="shared" si="19"/>
        <v>379.98620570271976</v>
      </c>
      <c r="M73" s="24">
        <f t="shared" si="19"/>
        <v>392.84797688264888</v>
      </c>
      <c r="N73" s="24">
        <f t="shared" si="19"/>
        <v>395.21618070784945</v>
      </c>
      <c r="O73" s="24">
        <f t="shared" si="19"/>
        <v>398.0350751182815</v>
      </c>
      <c r="P73" s="24">
        <f t="shared" si="19"/>
        <v>400.85577618447866</v>
      </c>
      <c r="Q73" s="24">
        <f t="shared" si="19"/>
        <v>417.00308074850432</v>
      </c>
      <c r="R73" s="24">
        <f t="shared" si="19"/>
        <v>409.86552538982744</v>
      </c>
      <c r="S73" s="24">
        <f t="shared" si="19"/>
        <v>402.61555920429964</v>
      </c>
      <c r="T73" s="24">
        <f t="shared" si="19"/>
        <v>394.77180087717659</v>
      </c>
      <c r="U73" s="24">
        <f t="shared" si="19"/>
        <v>0</v>
      </c>
      <c r="V73" s="24">
        <f t="shared" si="19"/>
        <v>0</v>
      </c>
      <c r="W73" s="24">
        <f t="shared" si="19"/>
        <v>0</v>
      </c>
      <c r="X73" s="24">
        <f t="shared" si="19"/>
        <v>0</v>
      </c>
      <c r="Y73" s="24">
        <f t="shared" si="19"/>
        <v>0</v>
      </c>
      <c r="AA73" s="355">
        <f t="shared" si="8"/>
        <v>8241.3417901698431</v>
      </c>
      <c r="AB73" s="356">
        <f t="shared" si="2"/>
        <v>4120.6708950849215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"/>
      <c r="C76" s="115">
        <f>+C$60</f>
        <v>0.5</v>
      </c>
      <c r="D76" s="24"/>
      <c r="E76" s="24">
        <f t="shared" ref="E76:Y76" si="21">$C$76*E54</f>
        <v>251.24284230381386</v>
      </c>
      <c r="F76" s="24">
        <f t="shared" si="21"/>
        <v>191.18869046926199</v>
      </c>
      <c r="G76" s="91">
        <f t="shared" si="21"/>
        <v>131.81450068137764</v>
      </c>
      <c r="H76" s="24">
        <f t="shared" si="21"/>
        <v>134.9512857655327</v>
      </c>
      <c r="I76" s="24">
        <f t="shared" si="21"/>
        <v>134.93135232945485</v>
      </c>
      <c r="J76" s="24">
        <f t="shared" si="21"/>
        <v>139.31590546885769</v>
      </c>
      <c r="K76" s="24">
        <f t="shared" si="21"/>
        <v>130.48680332782928</v>
      </c>
      <c r="L76" s="24">
        <f t="shared" si="21"/>
        <v>130.40435285135987</v>
      </c>
      <c r="M76" s="24">
        <f t="shared" si="21"/>
        <v>136.83523844132444</v>
      </c>
      <c r="N76" s="24">
        <f t="shared" si="21"/>
        <v>138.01934035392475</v>
      </c>
      <c r="O76" s="24">
        <f t="shared" si="21"/>
        <v>139.42878755914074</v>
      </c>
      <c r="P76" s="24">
        <f t="shared" si="21"/>
        <v>140.83913809223932</v>
      </c>
      <c r="Q76" s="24">
        <f t="shared" si="21"/>
        <v>148.91279037425215</v>
      </c>
      <c r="R76" s="24">
        <f t="shared" si="21"/>
        <v>145.34401269491374</v>
      </c>
      <c r="S76" s="24">
        <f t="shared" si="21"/>
        <v>141.71902960214985</v>
      </c>
      <c r="T76" s="24">
        <f t="shared" si="21"/>
        <v>137.79715043858829</v>
      </c>
      <c r="U76" s="24">
        <f t="shared" si="21"/>
        <v>0</v>
      </c>
      <c r="V76" s="24">
        <f t="shared" si="21"/>
        <v>0</v>
      </c>
      <c r="W76" s="24">
        <f t="shared" si="21"/>
        <v>0</v>
      </c>
      <c r="X76" s="24">
        <f t="shared" si="21"/>
        <v>0</v>
      </c>
      <c r="Y76" s="24">
        <f t="shared" si="21"/>
        <v>0</v>
      </c>
      <c r="AA76" s="355">
        <f t="shared" si="8"/>
        <v>2121.9883784502076</v>
      </c>
      <c r="AB76" s="356">
        <f>AA76</f>
        <v>2121.9883784502076</v>
      </c>
    </row>
    <row r="77" spans="1:28" outlineLevel="1">
      <c r="A77" s="13" t="s">
        <v>136</v>
      </c>
      <c r="B77" s="22"/>
      <c r="C77" s="115">
        <f>+C60</f>
        <v>0.5</v>
      </c>
      <c r="D77" s="24"/>
      <c r="E77" s="24">
        <f t="shared" ref="E77:Y77" si="22">$C$77*E73</f>
        <v>406.87099968228961</v>
      </c>
      <c r="F77" s="24">
        <f t="shared" si="22"/>
        <v>471.74769379620477</v>
      </c>
      <c r="G77" s="91">
        <f t="shared" si="22"/>
        <v>544.95565600448606</v>
      </c>
      <c r="H77" s="24">
        <f t="shared" si="22"/>
        <v>406.6714789593978</v>
      </c>
      <c r="I77" s="24">
        <f t="shared" si="22"/>
        <v>321.79896824577389</v>
      </c>
      <c r="J77" s="24">
        <f t="shared" si="22"/>
        <v>326.18352138517673</v>
      </c>
      <c r="K77" s="24">
        <f t="shared" si="22"/>
        <v>253.7149862859888</v>
      </c>
      <c r="L77" s="24">
        <f t="shared" si="22"/>
        <v>189.99310285135988</v>
      </c>
      <c r="M77" s="24">
        <f t="shared" si="22"/>
        <v>196.42398844132444</v>
      </c>
      <c r="N77" s="24">
        <f t="shared" si="22"/>
        <v>197.60809035392472</v>
      </c>
      <c r="O77" s="24">
        <f t="shared" si="22"/>
        <v>199.01753755914075</v>
      </c>
      <c r="P77" s="24">
        <f t="shared" si="22"/>
        <v>200.42788809223933</v>
      </c>
      <c r="Q77" s="24">
        <f t="shared" si="22"/>
        <v>208.50154037425216</v>
      </c>
      <c r="R77" s="24">
        <f t="shared" si="22"/>
        <v>204.93276269491372</v>
      </c>
      <c r="S77" s="24">
        <f t="shared" si="22"/>
        <v>201.30777960214982</v>
      </c>
      <c r="T77" s="24">
        <f t="shared" si="22"/>
        <v>197.38590043858829</v>
      </c>
      <c r="U77" s="24">
        <f t="shared" si="22"/>
        <v>0</v>
      </c>
      <c r="V77" s="24">
        <f t="shared" si="22"/>
        <v>0</v>
      </c>
      <c r="W77" s="24">
        <f t="shared" si="22"/>
        <v>0</v>
      </c>
      <c r="X77" s="24">
        <f t="shared" si="22"/>
        <v>0</v>
      </c>
      <c r="Y77" s="24">
        <f t="shared" si="22"/>
        <v>0</v>
      </c>
      <c r="AA77" s="355">
        <f t="shared" si="8"/>
        <v>4120.6708950849215</v>
      </c>
      <c r="AB77" s="356">
        <f>AA77</f>
        <v>4120.6708950849215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0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0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0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0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0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0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0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0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3">G62</f>
        <v>2002</v>
      </c>
      <c r="H86" s="99">
        <f t="shared" si="23"/>
        <v>2003</v>
      </c>
      <c r="I86" s="99">
        <f t="shared" si="23"/>
        <v>2004</v>
      </c>
      <c r="J86" s="99">
        <f t="shared" si="23"/>
        <v>2005</v>
      </c>
      <c r="K86" s="99">
        <f t="shared" si="23"/>
        <v>2006</v>
      </c>
      <c r="L86" s="99">
        <f t="shared" si="23"/>
        <v>2007</v>
      </c>
      <c r="M86" s="99">
        <f t="shared" si="23"/>
        <v>2008</v>
      </c>
      <c r="N86" s="99">
        <f t="shared" si="23"/>
        <v>2009</v>
      </c>
      <c r="O86" s="99">
        <f t="shared" si="23"/>
        <v>2010</v>
      </c>
      <c r="P86" s="99">
        <f t="shared" si="23"/>
        <v>2011</v>
      </c>
      <c r="Q86" s="99">
        <f t="shared" si="23"/>
        <v>2012</v>
      </c>
      <c r="R86" s="99">
        <f t="shared" si="23"/>
        <v>2013</v>
      </c>
      <c r="S86" s="99">
        <f t="shared" si="23"/>
        <v>2014</v>
      </c>
      <c r="T86" s="99">
        <f t="shared" si="23"/>
        <v>2015</v>
      </c>
      <c r="U86" s="99">
        <f t="shared" si="23"/>
        <v>2016</v>
      </c>
      <c r="V86" s="99">
        <f t="shared" si="23"/>
        <v>2017</v>
      </c>
      <c r="W86" s="99">
        <f t="shared" si="23"/>
        <v>2018</v>
      </c>
      <c r="X86" s="99">
        <f t="shared" si="23"/>
        <v>2019</v>
      </c>
      <c r="Y86" s="99">
        <f t="shared" si="23"/>
        <v>2020</v>
      </c>
      <c r="AA86" s="355">
        <f t="shared" si="8"/>
        <v>40210</v>
      </c>
      <c r="AB86" s="356">
        <f t="shared" si="20"/>
        <v>20105</v>
      </c>
    </row>
    <row r="87" spans="1:30" s="128" customFormat="1">
      <c r="AA87" s="355">
        <f t="shared" si="8"/>
        <v>0</v>
      </c>
      <c r="AB87" s="356">
        <f t="shared" si="20"/>
        <v>0</v>
      </c>
    </row>
    <row r="88" spans="1:30" s="128" customFormat="1">
      <c r="A88" s="11" t="s">
        <v>31</v>
      </c>
      <c r="F88" s="129">
        <f>F69</f>
        <v>812.23462500165829</v>
      </c>
      <c r="G88" s="129">
        <f t="shared" ref="G88:Y88" si="24">G69</f>
        <v>619.9295568627615</v>
      </c>
      <c r="H88" s="129">
        <f t="shared" si="24"/>
        <v>630.08918466569298</v>
      </c>
      <c r="I88" s="129">
        <f t="shared" si="24"/>
        <v>630.02462292940845</v>
      </c>
      <c r="J88" s="129">
        <f t="shared" si="24"/>
        <v>644.22560475743376</v>
      </c>
      <c r="K88" s="129">
        <f t="shared" si="24"/>
        <v>615.6293225192851</v>
      </c>
      <c r="L88" s="129">
        <f t="shared" si="24"/>
        <v>615.36227644165137</v>
      </c>
      <c r="M88" s="129">
        <f t="shared" si="24"/>
        <v>636.191055680403</v>
      </c>
      <c r="N88" s="129">
        <f t="shared" si="24"/>
        <v>640.02620357546471</v>
      </c>
      <c r="O88" s="129">
        <f t="shared" si="24"/>
        <v>644.59121476644782</v>
      </c>
      <c r="P88" s="129">
        <f t="shared" si="24"/>
        <v>649.15915171575489</v>
      </c>
      <c r="Q88" s="129">
        <f t="shared" si="24"/>
        <v>675.30863279110008</v>
      </c>
      <c r="R88" s="129">
        <f t="shared" si="24"/>
        <v>663.74983868797972</v>
      </c>
      <c r="S88" s="129">
        <f t="shared" si="24"/>
        <v>652.00900275999948</v>
      </c>
      <c r="T88" s="129">
        <f t="shared" si="24"/>
        <v>639.3065601249823</v>
      </c>
      <c r="U88" s="129">
        <f t="shared" si="24"/>
        <v>0</v>
      </c>
      <c r="V88" s="129">
        <f t="shared" si="24"/>
        <v>0</v>
      </c>
      <c r="W88" s="129">
        <f t="shared" si="24"/>
        <v>0</v>
      </c>
      <c r="X88" s="129">
        <f t="shared" si="24"/>
        <v>0</v>
      </c>
      <c r="Y88" s="129">
        <f t="shared" si="24"/>
        <v>0</v>
      </c>
      <c r="AA88" s="355">
        <f t="shared" si="8"/>
        <v>9767.8368532800232</v>
      </c>
      <c r="AB88" s="356">
        <f t="shared" si="20"/>
        <v>4883.9184266400116</v>
      </c>
    </row>
    <row r="89" spans="1:30" s="128" customFormat="1">
      <c r="A89" s="128" t="s">
        <v>42</v>
      </c>
      <c r="F89" s="100">
        <f>F126+F127</f>
        <v>131.26076259075128</v>
      </c>
      <c r="G89" s="100">
        <f t="shared" ref="G89:Y89" si="25">G126+G127</f>
        <v>469.98175514621062</v>
      </c>
      <c r="H89" s="100">
        <f t="shared" si="25"/>
        <v>183.25377325310259</v>
      </c>
      <c r="I89" s="100">
        <f t="shared" si="25"/>
        <v>13.573313562139347</v>
      </c>
      <c r="J89" s="100">
        <f t="shared" si="25"/>
        <v>8.1414380129196697</v>
      </c>
      <c r="K89" s="100">
        <f t="shared" si="25"/>
        <v>-108.1993499473075</v>
      </c>
      <c r="L89" s="100">
        <f t="shared" si="25"/>
        <v>-235.37607073893165</v>
      </c>
      <c r="M89" s="100">
        <f t="shared" si="25"/>
        <v>-243.34307879775412</v>
      </c>
      <c r="N89" s="100">
        <f t="shared" si="25"/>
        <v>-244.81002286761526</v>
      </c>
      <c r="O89" s="100">
        <f t="shared" si="25"/>
        <v>-246.55613964816629</v>
      </c>
      <c r="P89" s="100">
        <f t="shared" si="25"/>
        <v>-248.30337553127623</v>
      </c>
      <c r="Q89" s="100">
        <f t="shared" si="25"/>
        <v>-258.30555204259576</v>
      </c>
      <c r="R89" s="100">
        <f t="shared" si="25"/>
        <v>-253.88431329815225</v>
      </c>
      <c r="S89" s="100">
        <f t="shared" si="25"/>
        <v>-249.3934435556998</v>
      </c>
      <c r="T89" s="100">
        <f t="shared" si="25"/>
        <v>-244.53475924780571</v>
      </c>
      <c r="U89" s="100">
        <f t="shared" si="25"/>
        <v>0</v>
      </c>
      <c r="V89" s="100">
        <f t="shared" si="25"/>
        <v>0</v>
      </c>
      <c r="W89" s="100">
        <f t="shared" si="25"/>
        <v>0</v>
      </c>
      <c r="X89" s="100">
        <f t="shared" si="25"/>
        <v>0</v>
      </c>
      <c r="Y89" s="100">
        <f t="shared" si="25"/>
        <v>0</v>
      </c>
      <c r="AA89" s="355">
        <f t="shared" si="8"/>
        <v>-1526.495063110181</v>
      </c>
      <c r="AB89" s="356">
        <f t="shared" si="20"/>
        <v>-763.24753155509052</v>
      </c>
    </row>
    <row r="90" spans="1:30" s="128" customFormat="1">
      <c r="A90" s="128" t="s">
        <v>109</v>
      </c>
      <c r="F90" s="100">
        <f>F56</f>
        <v>0</v>
      </c>
      <c r="G90" s="100">
        <f t="shared" ref="G90:Y90" si="26">G56</f>
        <v>0</v>
      </c>
      <c r="H90" s="100">
        <f t="shared" si="26"/>
        <v>0</v>
      </c>
      <c r="I90" s="100">
        <f t="shared" si="26"/>
        <v>0</v>
      </c>
      <c r="J90" s="100">
        <f t="shared" si="26"/>
        <v>0</v>
      </c>
      <c r="K90" s="100">
        <f t="shared" si="26"/>
        <v>0</v>
      </c>
      <c r="L90" s="100">
        <f t="shared" si="26"/>
        <v>0</v>
      </c>
      <c r="M90" s="100">
        <f t="shared" si="26"/>
        <v>0</v>
      </c>
      <c r="N90" s="100">
        <f t="shared" si="26"/>
        <v>0</v>
      </c>
      <c r="O90" s="100">
        <f t="shared" si="26"/>
        <v>0</v>
      </c>
      <c r="P90" s="100">
        <f t="shared" si="26"/>
        <v>0</v>
      </c>
      <c r="Q90" s="100">
        <f t="shared" si="26"/>
        <v>0</v>
      </c>
      <c r="R90" s="100">
        <f t="shared" si="26"/>
        <v>0</v>
      </c>
      <c r="S90" s="100">
        <f t="shared" si="26"/>
        <v>0</v>
      </c>
      <c r="T90" s="100">
        <f t="shared" si="26"/>
        <v>0</v>
      </c>
      <c r="U90" s="100">
        <f t="shared" si="26"/>
        <v>0</v>
      </c>
      <c r="V90" s="100">
        <f t="shared" si="26"/>
        <v>0</v>
      </c>
      <c r="W90" s="100">
        <f t="shared" si="26"/>
        <v>0</v>
      </c>
      <c r="X90" s="100">
        <f t="shared" si="26"/>
        <v>0</v>
      </c>
      <c r="Y90" s="100">
        <f t="shared" si="26"/>
        <v>0</v>
      </c>
      <c r="AA90" s="355">
        <f t="shared" si="8"/>
        <v>0</v>
      </c>
      <c r="AB90" s="356">
        <f t="shared" si="20"/>
        <v>0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f>Y99</f>
        <v>5114.4524809998584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AA91" s="355">
        <f t="shared" si="8"/>
        <v>5114.4524809998584</v>
      </c>
      <c r="AB91" s="356">
        <f t="shared" si="20"/>
        <v>2557.2262404999292</v>
      </c>
    </row>
    <row r="92" spans="1:30" s="128" customFormat="1">
      <c r="A92" s="128" t="s">
        <v>44</v>
      </c>
      <c r="E92" s="329">
        <v>-6418.8889855321067</v>
      </c>
      <c r="F92" s="129">
        <f>SUM(F88:F91)</f>
        <v>943.49538759240954</v>
      </c>
      <c r="G92" s="129">
        <f t="shared" ref="G92:Y92" si="27">SUM(G88:G91)</f>
        <v>1089.9113120089721</v>
      </c>
      <c r="H92" s="129">
        <f t="shared" si="27"/>
        <v>813.34295791879561</v>
      </c>
      <c r="I92" s="129">
        <f t="shared" si="27"/>
        <v>643.59793649154778</v>
      </c>
      <c r="J92" s="129">
        <f t="shared" si="27"/>
        <v>652.36704277035346</v>
      </c>
      <c r="K92" s="129">
        <f t="shared" si="27"/>
        <v>507.4299725719776</v>
      </c>
      <c r="L92" s="129">
        <f t="shared" si="27"/>
        <v>379.98620570271976</v>
      </c>
      <c r="M92" s="129">
        <f t="shared" si="27"/>
        <v>392.84797688264888</v>
      </c>
      <c r="N92" s="129">
        <f t="shared" si="27"/>
        <v>395.21618070784945</v>
      </c>
      <c r="O92" s="129">
        <f t="shared" si="27"/>
        <v>398.0350751182815</v>
      </c>
      <c r="P92" s="129">
        <f t="shared" si="27"/>
        <v>400.85577618447866</v>
      </c>
      <c r="Q92" s="129">
        <f t="shared" si="27"/>
        <v>417.00308074850432</v>
      </c>
      <c r="R92" s="129">
        <f t="shared" si="27"/>
        <v>409.86552538982744</v>
      </c>
      <c r="S92" s="129">
        <f t="shared" si="27"/>
        <v>402.61555920429964</v>
      </c>
      <c r="T92" s="129">
        <f t="shared" si="27"/>
        <v>5509.2242818770346</v>
      </c>
      <c r="U92" s="129">
        <f t="shared" si="27"/>
        <v>0</v>
      </c>
      <c r="V92" s="129">
        <f t="shared" si="27"/>
        <v>0</v>
      </c>
      <c r="W92" s="129">
        <f t="shared" si="27"/>
        <v>0</v>
      </c>
      <c r="X92" s="129">
        <f t="shared" si="27"/>
        <v>0</v>
      </c>
      <c r="Y92" s="129">
        <f t="shared" si="27"/>
        <v>0</v>
      </c>
      <c r="AA92" s="355">
        <f t="shared" si="8"/>
        <v>13355.7942711697</v>
      </c>
      <c r="AB92" s="356">
        <f t="shared" si="20"/>
        <v>6677.8971355848498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0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0"/>
        <v>0</v>
      </c>
    </row>
    <row r="95" spans="1:30" s="128" customFormat="1" ht="13.5" thickBot="1">
      <c r="A95" s="128" t="s">
        <v>46</v>
      </c>
      <c r="E95" s="174">
        <f>NPV(C96,E92:Y92)</f>
        <v>1.8773973201734756E-12</v>
      </c>
      <c r="R95" s="133"/>
      <c r="U95" s="134" t="s">
        <v>47</v>
      </c>
      <c r="V95" s="135"/>
      <c r="W95" s="135"/>
      <c r="X95" s="135"/>
      <c r="Y95" s="136">
        <f>T88</f>
        <v>639.3065601249823</v>
      </c>
      <c r="AA95" s="355">
        <f t="shared" si="8"/>
        <v>639.3065601249823</v>
      </c>
      <c r="AB95" s="356">
        <f t="shared" si="20"/>
        <v>319.65328006249115</v>
      </c>
    </row>
    <row r="96" spans="1:30" s="128" customFormat="1" ht="13.5" thickBot="1">
      <c r="A96" s="128" t="s">
        <v>48</v>
      </c>
      <c r="C96" s="116">
        <v>0.09</v>
      </c>
      <c r="R96" s="129"/>
      <c r="U96" s="137" t="s">
        <v>49</v>
      </c>
      <c r="V96" s="135"/>
      <c r="W96" s="135"/>
      <c r="X96" s="135"/>
      <c r="Y96" s="119">
        <v>1</v>
      </c>
      <c r="AA96" s="355">
        <f t="shared" si="8"/>
        <v>1</v>
      </c>
      <c r="AB96" s="356">
        <f t="shared" si="20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639.3065601249823</v>
      </c>
      <c r="AA97" s="355">
        <f t="shared" si="8"/>
        <v>639.3065601249823</v>
      </c>
      <c r="AB97" s="356">
        <f t="shared" si="20"/>
        <v>319.65328006249115</v>
      </c>
    </row>
    <row r="98" spans="1:28" s="128" customFormat="1">
      <c r="U98" s="137" t="s">
        <v>51</v>
      </c>
      <c r="V98" s="135"/>
      <c r="W98" s="135"/>
      <c r="X98" s="135"/>
      <c r="Y98" s="120">
        <v>8</v>
      </c>
      <c r="AA98" s="355">
        <f t="shared" si="8"/>
        <v>8</v>
      </c>
      <c r="AB98" s="356">
        <f t="shared" si="20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5114.4524809998584</v>
      </c>
      <c r="AA99" s="355">
        <f t="shared" si="8"/>
        <v>5114.4524809998584</v>
      </c>
      <c r="AB99" s="356">
        <f t="shared" si="20"/>
        <v>2557.2262404999292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0"/>
        <v>0</v>
      </c>
    </row>
    <row r="101" spans="1:28" s="128" customFormat="1">
      <c r="A101" s="128" t="s">
        <v>53</v>
      </c>
      <c r="D101" s="261">
        <v>0</v>
      </c>
      <c r="AA101" s="355">
        <f t="shared" si="8"/>
        <v>0</v>
      </c>
      <c r="AB101" s="356">
        <f t="shared" si="20"/>
        <v>0</v>
      </c>
    </row>
    <row r="102" spans="1:28" s="128" customFormat="1" ht="15">
      <c r="A102" s="128" t="s">
        <v>54</v>
      </c>
      <c r="D102" s="101">
        <f>-E92</f>
        <v>6418.8889855321067</v>
      </c>
      <c r="AA102" s="355">
        <f t="shared" si="8"/>
        <v>0</v>
      </c>
      <c r="AB102" s="356">
        <f t="shared" si="20"/>
        <v>0</v>
      </c>
    </row>
    <row r="103" spans="1:28" s="128" customFormat="1">
      <c r="D103" s="142">
        <f>D101+D102</f>
        <v>6418.8889855321067</v>
      </c>
      <c r="AA103" s="355">
        <f t="shared" si="8"/>
        <v>0</v>
      </c>
      <c r="AB103" s="356">
        <f t="shared" si="20"/>
        <v>0</v>
      </c>
    </row>
    <row r="104" spans="1:28" s="128" customFormat="1">
      <c r="A104" s="128" t="s">
        <v>55</v>
      </c>
      <c r="D104" s="117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28" customFormat="1">
      <c r="A105" s="128" t="s">
        <v>56</v>
      </c>
      <c r="D105" s="142">
        <f>D103*D104</f>
        <v>5777.0000869788964</v>
      </c>
      <c r="AA105" s="355">
        <f t="shared" si="28"/>
        <v>0</v>
      </c>
      <c r="AB105" s="356">
        <f t="shared" si="20"/>
        <v>0</v>
      </c>
    </row>
    <row r="106" spans="1:28" s="128" customFormat="1">
      <c r="AA106" s="355">
        <f t="shared" si="28"/>
        <v>0</v>
      </c>
      <c r="AB106" s="356">
        <f t="shared" si="20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29">G107+1</f>
        <v>2003</v>
      </c>
      <c r="I107" s="99">
        <f t="shared" si="29"/>
        <v>2004</v>
      </c>
      <c r="J107" s="99">
        <f t="shared" si="29"/>
        <v>2005</v>
      </c>
      <c r="K107" s="99">
        <f t="shared" si="29"/>
        <v>2006</v>
      </c>
      <c r="L107" s="99">
        <f t="shared" si="29"/>
        <v>2007</v>
      </c>
      <c r="M107" s="99">
        <f t="shared" si="29"/>
        <v>2008</v>
      </c>
      <c r="N107" s="99">
        <f t="shared" si="29"/>
        <v>2009</v>
      </c>
      <c r="O107" s="99">
        <f t="shared" si="29"/>
        <v>2010</v>
      </c>
      <c r="P107" s="99">
        <f t="shared" si="29"/>
        <v>2011</v>
      </c>
      <c r="Q107" s="99">
        <f t="shared" si="29"/>
        <v>2012</v>
      </c>
      <c r="R107" s="99">
        <f t="shared" si="29"/>
        <v>2013</v>
      </c>
      <c r="S107" s="99">
        <f t="shared" si="29"/>
        <v>2014</v>
      </c>
      <c r="T107" s="99">
        <f t="shared" si="29"/>
        <v>2015</v>
      </c>
      <c r="U107" s="99">
        <f t="shared" si="29"/>
        <v>2016</v>
      </c>
      <c r="V107" s="99">
        <f t="shared" si="29"/>
        <v>2017</v>
      </c>
      <c r="W107" s="99">
        <f t="shared" si="29"/>
        <v>2018</v>
      </c>
      <c r="X107" s="99">
        <f t="shared" si="29"/>
        <v>2019</v>
      </c>
      <c r="Y107" s="99">
        <f t="shared" si="29"/>
        <v>2020</v>
      </c>
      <c r="AA107" s="355">
        <f t="shared" si="28"/>
        <v>40210</v>
      </c>
      <c r="AB107" s="356">
        <f t="shared" si="20"/>
        <v>20105</v>
      </c>
    </row>
    <row r="108" spans="1:28" s="128" customFormat="1">
      <c r="A108" s="103" t="s">
        <v>57</v>
      </c>
      <c r="AA108" s="355">
        <f t="shared" si="28"/>
        <v>0</v>
      </c>
      <c r="AB108" s="356">
        <f t="shared" si="20"/>
        <v>0</v>
      </c>
    </row>
    <row r="109" spans="1:28" s="128" customFormat="1">
      <c r="A109" s="128" t="s">
        <v>58</v>
      </c>
      <c r="B109" s="330">
        <v>30</v>
      </c>
      <c r="C109" s="128" t="s">
        <v>0</v>
      </c>
      <c r="D109" s="143">
        <f>D105</f>
        <v>5777.0000869788964</v>
      </c>
      <c r="F109" s="132">
        <f>ROUND(D109/$B$109,0)</f>
        <v>193</v>
      </c>
      <c r="G109" s="132">
        <f>F109</f>
        <v>193</v>
      </c>
      <c r="H109" s="132">
        <f t="shared" ref="H109:T110" si="30">G109</f>
        <v>193</v>
      </c>
      <c r="I109" s="132">
        <f t="shared" si="30"/>
        <v>193</v>
      </c>
      <c r="J109" s="132">
        <f t="shared" si="30"/>
        <v>193</v>
      </c>
      <c r="K109" s="132">
        <f t="shared" si="30"/>
        <v>193</v>
      </c>
      <c r="L109" s="132">
        <f t="shared" si="30"/>
        <v>193</v>
      </c>
      <c r="M109" s="132">
        <f t="shared" si="30"/>
        <v>193</v>
      </c>
      <c r="N109" s="132">
        <f t="shared" si="30"/>
        <v>193</v>
      </c>
      <c r="O109" s="132">
        <f t="shared" si="30"/>
        <v>193</v>
      </c>
      <c r="P109" s="132">
        <f t="shared" si="30"/>
        <v>193</v>
      </c>
      <c r="Q109" s="132">
        <f t="shared" si="30"/>
        <v>193</v>
      </c>
      <c r="R109" s="132">
        <f t="shared" si="30"/>
        <v>193</v>
      </c>
      <c r="S109" s="132">
        <f t="shared" si="30"/>
        <v>193</v>
      </c>
      <c r="T109" s="132">
        <f t="shared" si="30"/>
        <v>193</v>
      </c>
      <c r="U109" s="360"/>
      <c r="V109" s="360"/>
      <c r="W109" s="360"/>
      <c r="X109" s="360"/>
      <c r="Y109" s="360"/>
      <c r="AA109" s="355">
        <f t="shared" si="28"/>
        <v>2895</v>
      </c>
      <c r="AB109" s="356">
        <f t="shared" si="20"/>
        <v>1447.5</v>
      </c>
    </row>
    <row r="110" spans="1:28" s="128" customFormat="1">
      <c r="A110" s="128" t="s">
        <v>138</v>
      </c>
      <c r="D110" s="143">
        <f>D104*'FPLE_Wind Summary'!J29</f>
        <v>398.99265461016785</v>
      </c>
      <c r="F110" s="132">
        <f>ROUND(D110/$B$109,0)</f>
        <v>13</v>
      </c>
      <c r="G110" s="132">
        <f>F110</f>
        <v>13</v>
      </c>
      <c r="H110" s="132">
        <f t="shared" si="30"/>
        <v>13</v>
      </c>
      <c r="I110" s="132">
        <f t="shared" si="30"/>
        <v>13</v>
      </c>
      <c r="J110" s="132">
        <f t="shared" si="30"/>
        <v>13</v>
      </c>
      <c r="K110" s="132">
        <f t="shared" si="30"/>
        <v>13</v>
      </c>
      <c r="L110" s="132">
        <f t="shared" si="30"/>
        <v>13</v>
      </c>
      <c r="M110" s="132">
        <f t="shared" si="30"/>
        <v>13</v>
      </c>
      <c r="N110" s="132">
        <f t="shared" si="30"/>
        <v>13</v>
      </c>
      <c r="O110" s="132">
        <f t="shared" si="30"/>
        <v>13</v>
      </c>
      <c r="P110" s="132">
        <f t="shared" si="30"/>
        <v>13</v>
      </c>
      <c r="Q110" s="132">
        <f t="shared" si="30"/>
        <v>13</v>
      </c>
      <c r="R110" s="132">
        <f t="shared" si="30"/>
        <v>13</v>
      </c>
      <c r="S110" s="132">
        <f t="shared" si="30"/>
        <v>13</v>
      </c>
      <c r="T110" s="132">
        <f t="shared" si="30"/>
        <v>13</v>
      </c>
      <c r="U110" s="360"/>
      <c r="V110" s="360"/>
      <c r="W110" s="360"/>
      <c r="X110" s="360"/>
      <c r="Y110" s="360"/>
      <c r="AA110" s="355">
        <f t="shared" si="28"/>
        <v>195</v>
      </c>
      <c r="AB110" s="356">
        <f t="shared" si="20"/>
        <v>97.5</v>
      </c>
    </row>
    <row r="111" spans="1:28" s="128" customFormat="1">
      <c r="AA111" s="355">
        <f t="shared" si="28"/>
        <v>0</v>
      </c>
      <c r="AB111" s="356">
        <f t="shared" si="20"/>
        <v>0</v>
      </c>
    </row>
    <row r="112" spans="1:28" s="128" customFormat="1">
      <c r="A112" s="103" t="s">
        <v>59</v>
      </c>
      <c r="AA112" s="355">
        <f t="shared" si="28"/>
        <v>0</v>
      </c>
      <c r="AB112" s="356">
        <f t="shared" si="20"/>
        <v>0</v>
      </c>
    </row>
    <row r="113" spans="1:28" s="128" customFormat="1">
      <c r="A113" s="104" t="s">
        <v>60</v>
      </c>
      <c r="D113" s="143">
        <f>D109</f>
        <v>5777.0000869788964</v>
      </c>
      <c r="AA113" s="355">
        <f t="shared" si="28"/>
        <v>0</v>
      </c>
      <c r="AB113" s="356">
        <f t="shared" si="20"/>
        <v>0</v>
      </c>
    </row>
    <row r="114" spans="1:28" s="128" customFormat="1">
      <c r="A114" s="128" t="s">
        <v>61</v>
      </c>
      <c r="E114" s="144"/>
      <c r="F114" s="331">
        <v>0.2</v>
      </c>
      <c r="G114" s="331">
        <v>0.32</v>
      </c>
      <c r="H114" s="331">
        <v>0.192</v>
      </c>
      <c r="I114" s="331">
        <v>0.1152</v>
      </c>
      <c r="J114" s="331">
        <v>0.1152</v>
      </c>
      <c r="K114" s="331">
        <v>5.7599999999999998E-2</v>
      </c>
      <c r="L114" s="331">
        <v>0</v>
      </c>
      <c r="M114" s="331">
        <v>0</v>
      </c>
      <c r="N114" s="331">
        <v>0</v>
      </c>
      <c r="O114" s="331">
        <v>0</v>
      </c>
      <c r="P114" s="331">
        <v>0</v>
      </c>
      <c r="Q114" s="331">
        <v>0</v>
      </c>
      <c r="R114" s="331">
        <v>0</v>
      </c>
      <c r="S114" s="331">
        <v>0</v>
      </c>
      <c r="T114" s="331">
        <v>0</v>
      </c>
      <c r="U114" s="331">
        <v>0</v>
      </c>
      <c r="V114" s="331">
        <v>0</v>
      </c>
      <c r="W114" s="331">
        <v>0</v>
      </c>
      <c r="X114" s="331">
        <v>0</v>
      </c>
      <c r="Y114" s="331">
        <v>0</v>
      </c>
      <c r="Z114" s="145"/>
      <c r="AA114" s="355">
        <f t="shared" si="28"/>
        <v>0.99999999999999989</v>
      </c>
      <c r="AB114" s="356">
        <f t="shared" si="20"/>
        <v>0.49999999999999994</v>
      </c>
    </row>
    <row r="115" spans="1:28" s="128" customFormat="1">
      <c r="A115" s="128" t="s">
        <v>59</v>
      </c>
      <c r="F115" s="132">
        <f t="shared" ref="F115:T115" si="31">$D$113*F114</f>
        <v>1155.4000173957793</v>
      </c>
      <c r="G115" s="132">
        <f t="shared" si="31"/>
        <v>1848.6400278332469</v>
      </c>
      <c r="H115" s="132">
        <f t="shared" si="31"/>
        <v>1109.1840166999482</v>
      </c>
      <c r="I115" s="132">
        <f t="shared" si="31"/>
        <v>665.51041001996884</v>
      </c>
      <c r="J115" s="132">
        <f t="shared" si="31"/>
        <v>665.51041001996884</v>
      </c>
      <c r="K115" s="132">
        <f t="shared" si="31"/>
        <v>332.75520500998442</v>
      </c>
      <c r="L115" s="132">
        <f t="shared" si="31"/>
        <v>0</v>
      </c>
      <c r="M115" s="132">
        <f t="shared" si="31"/>
        <v>0</v>
      </c>
      <c r="N115" s="132">
        <f t="shared" si="31"/>
        <v>0</v>
      </c>
      <c r="O115" s="132">
        <f t="shared" si="31"/>
        <v>0</v>
      </c>
      <c r="P115" s="132">
        <f t="shared" si="31"/>
        <v>0</v>
      </c>
      <c r="Q115" s="132">
        <f t="shared" si="31"/>
        <v>0</v>
      </c>
      <c r="R115" s="132">
        <f t="shared" si="31"/>
        <v>0</v>
      </c>
      <c r="S115" s="132">
        <f t="shared" si="31"/>
        <v>0</v>
      </c>
      <c r="T115" s="132">
        <f t="shared" si="31"/>
        <v>0</v>
      </c>
      <c r="U115" s="360"/>
      <c r="V115" s="360"/>
      <c r="W115" s="360"/>
      <c r="X115" s="360"/>
      <c r="Y115" s="360"/>
      <c r="AA115" s="355">
        <f t="shared" si="28"/>
        <v>5777.0000869788964</v>
      </c>
      <c r="AB115" s="356">
        <f t="shared" si="20"/>
        <v>2888.5000434894482</v>
      </c>
    </row>
    <row r="116" spans="1:28" s="128" customFormat="1">
      <c r="A116" s="128" t="s">
        <v>138</v>
      </c>
      <c r="D116" s="143">
        <f>D110</f>
        <v>398.99265461016785</v>
      </c>
      <c r="F116" s="132">
        <f>$D$116*F114</f>
        <v>79.798530922033578</v>
      </c>
      <c r="G116" s="132">
        <f t="shared" ref="G116:T116" si="32">$D$116*G114</f>
        <v>127.67764947525372</v>
      </c>
      <c r="H116" s="132">
        <f t="shared" si="32"/>
        <v>76.60658968515223</v>
      </c>
      <c r="I116" s="132">
        <f t="shared" si="32"/>
        <v>45.963953811091336</v>
      </c>
      <c r="J116" s="132">
        <f t="shared" si="32"/>
        <v>45.963953811091336</v>
      </c>
      <c r="K116" s="132">
        <f t="shared" si="32"/>
        <v>22.981976905545668</v>
      </c>
      <c r="L116" s="132">
        <f t="shared" si="32"/>
        <v>0</v>
      </c>
      <c r="M116" s="132">
        <f t="shared" si="32"/>
        <v>0</v>
      </c>
      <c r="N116" s="132">
        <f t="shared" si="32"/>
        <v>0</v>
      </c>
      <c r="O116" s="132">
        <f t="shared" si="32"/>
        <v>0</v>
      </c>
      <c r="P116" s="132">
        <f t="shared" si="32"/>
        <v>0</v>
      </c>
      <c r="Q116" s="132">
        <f t="shared" si="32"/>
        <v>0</v>
      </c>
      <c r="R116" s="132">
        <f t="shared" si="32"/>
        <v>0</v>
      </c>
      <c r="S116" s="132">
        <f t="shared" si="32"/>
        <v>0</v>
      </c>
      <c r="T116" s="132">
        <f t="shared" si="32"/>
        <v>0</v>
      </c>
      <c r="U116" s="360"/>
      <c r="V116" s="360"/>
      <c r="W116" s="360"/>
      <c r="X116" s="360"/>
      <c r="Y116" s="360"/>
      <c r="AA116" s="355">
        <f t="shared" si="28"/>
        <v>398.9926546101679</v>
      </c>
      <c r="AB116" s="356">
        <f t="shared" si="20"/>
        <v>199.49632730508395</v>
      </c>
    </row>
    <row r="117" spans="1:28" s="128" customFormat="1">
      <c r="AA117" s="355">
        <f t="shared" si="28"/>
        <v>0</v>
      </c>
      <c r="AB117" s="356">
        <f t="shared" si="20"/>
        <v>0</v>
      </c>
    </row>
    <row r="118" spans="1:28" s="128" customFormat="1">
      <c r="AA118" s="355">
        <f t="shared" si="28"/>
        <v>0</v>
      </c>
      <c r="AB118" s="356">
        <f t="shared" si="20"/>
        <v>0</v>
      </c>
    </row>
    <row r="119" spans="1:28" s="128" customFormat="1" ht="13.5" thickBot="1">
      <c r="F119" s="99">
        <f>F107</f>
        <v>2001</v>
      </c>
      <c r="G119" s="99">
        <f t="shared" ref="G119:Y119" si="33">G107</f>
        <v>2002</v>
      </c>
      <c r="H119" s="99">
        <f t="shared" si="33"/>
        <v>2003</v>
      </c>
      <c r="I119" s="99">
        <f t="shared" si="33"/>
        <v>2004</v>
      </c>
      <c r="J119" s="99">
        <f t="shared" si="33"/>
        <v>2005</v>
      </c>
      <c r="K119" s="99">
        <f t="shared" si="33"/>
        <v>2006</v>
      </c>
      <c r="L119" s="99">
        <f t="shared" si="33"/>
        <v>2007</v>
      </c>
      <c r="M119" s="99">
        <f t="shared" si="33"/>
        <v>2008</v>
      </c>
      <c r="N119" s="99">
        <f t="shared" si="33"/>
        <v>2009</v>
      </c>
      <c r="O119" s="99">
        <f t="shared" si="33"/>
        <v>2010</v>
      </c>
      <c r="P119" s="99">
        <f t="shared" si="33"/>
        <v>2011</v>
      </c>
      <c r="Q119" s="99">
        <f t="shared" si="33"/>
        <v>2012</v>
      </c>
      <c r="R119" s="99">
        <f t="shared" si="33"/>
        <v>2013</v>
      </c>
      <c r="S119" s="99">
        <f t="shared" si="33"/>
        <v>2014</v>
      </c>
      <c r="T119" s="99">
        <f t="shared" si="33"/>
        <v>2015</v>
      </c>
      <c r="U119" s="99">
        <f t="shared" si="33"/>
        <v>2016</v>
      </c>
      <c r="V119" s="99">
        <f t="shared" si="33"/>
        <v>2017</v>
      </c>
      <c r="W119" s="99">
        <f t="shared" si="33"/>
        <v>2018</v>
      </c>
      <c r="X119" s="99">
        <f t="shared" si="33"/>
        <v>2019</v>
      </c>
      <c r="Y119" s="99">
        <f t="shared" si="33"/>
        <v>2020</v>
      </c>
      <c r="AA119" s="355">
        <f t="shared" si="28"/>
        <v>40210</v>
      </c>
      <c r="AB119" s="356">
        <f t="shared" si="20"/>
        <v>20105</v>
      </c>
    </row>
    <row r="120" spans="1:28" s="128" customFormat="1">
      <c r="A120" s="98" t="s">
        <v>62</v>
      </c>
      <c r="AA120" s="355">
        <f t="shared" si="28"/>
        <v>0</v>
      </c>
      <c r="AB120" s="356">
        <f t="shared" si="20"/>
        <v>0</v>
      </c>
    </row>
    <row r="121" spans="1:28" s="128" customFormat="1">
      <c r="A121" s="146" t="str">
        <f>A64</f>
        <v>EBITDA</v>
      </c>
      <c r="F121" s="132">
        <f>F39</f>
        <v>812.23462500165829</v>
      </c>
      <c r="G121" s="132">
        <f t="shared" ref="G121:Y121" si="34">G39</f>
        <v>619.9295568627615</v>
      </c>
      <c r="H121" s="132">
        <f t="shared" si="34"/>
        <v>630.08918466569298</v>
      </c>
      <c r="I121" s="132">
        <f t="shared" si="34"/>
        <v>630.02462292940845</v>
      </c>
      <c r="J121" s="132">
        <f>J39</f>
        <v>644.22560475743376</v>
      </c>
      <c r="K121" s="132">
        <f t="shared" si="34"/>
        <v>615.6293225192851</v>
      </c>
      <c r="L121" s="132">
        <f t="shared" si="34"/>
        <v>615.36227644165137</v>
      </c>
      <c r="M121" s="132">
        <f t="shared" si="34"/>
        <v>636.191055680403</v>
      </c>
      <c r="N121" s="132">
        <f t="shared" si="34"/>
        <v>640.02620357546471</v>
      </c>
      <c r="O121" s="132">
        <f t="shared" si="34"/>
        <v>644.59121476644782</v>
      </c>
      <c r="P121" s="132">
        <f t="shared" si="34"/>
        <v>649.15915171575489</v>
      </c>
      <c r="Q121" s="132">
        <f t="shared" si="34"/>
        <v>675.30863279110008</v>
      </c>
      <c r="R121" s="132">
        <f t="shared" si="34"/>
        <v>663.74983868797972</v>
      </c>
      <c r="S121" s="132">
        <f t="shared" si="34"/>
        <v>652.00900275999948</v>
      </c>
      <c r="T121" s="132">
        <f t="shared" si="34"/>
        <v>639.3065601249823</v>
      </c>
      <c r="U121" s="132">
        <f t="shared" si="34"/>
        <v>0</v>
      </c>
      <c r="V121" s="132">
        <f t="shared" si="34"/>
        <v>0</v>
      </c>
      <c r="W121" s="132">
        <f t="shared" si="34"/>
        <v>0</v>
      </c>
      <c r="X121" s="132">
        <f t="shared" si="34"/>
        <v>0</v>
      </c>
      <c r="Y121" s="132">
        <f t="shared" si="34"/>
        <v>0</v>
      </c>
      <c r="AA121" s="355">
        <f t="shared" si="28"/>
        <v>9767.8368532800232</v>
      </c>
      <c r="AB121" s="356">
        <f t="shared" si="20"/>
        <v>4883.9184266400116</v>
      </c>
    </row>
    <row r="122" spans="1:28" s="128" customFormat="1">
      <c r="A122" s="128" t="s">
        <v>63</v>
      </c>
      <c r="F122" s="132">
        <f>-F115</f>
        <v>-1155.4000173957793</v>
      </c>
      <c r="G122" s="132">
        <f t="shared" ref="G122:Y122" si="35">-G115</f>
        <v>-1848.6400278332469</v>
      </c>
      <c r="H122" s="132">
        <f t="shared" si="35"/>
        <v>-1109.1840166999482</v>
      </c>
      <c r="I122" s="132">
        <f t="shared" si="35"/>
        <v>-665.51041001996884</v>
      </c>
      <c r="J122" s="132">
        <f t="shared" si="35"/>
        <v>-665.51041001996884</v>
      </c>
      <c r="K122" s="132">
        <f t="shared" si="35"/>
        <v>-332.75520500998442</v>
      </c>
      <c r="L122" s="132">
        <f t="shared" si="35"/>
        <v>0</v>
      </c>
      <c r="M122" s="132">
        <f t="shared" si="35"/>
        <v>0</v>
      </c>
      <c r="N122" s="132">
        <f t="shared" si="35"/>
        <v>0</v>
      </c>
      <c r="O122" s="132">
        <f t="shared" si="35"/>
        <v>0</v>
      </c>
      <c r="P122" s="132">
        <f t="shared" si="35"/>
        <v>0</v>
      </c>
      <c r="Q122" s="132">
        <f t="shared" si="35"/>
        <v>0</v>
      </c>
      <c r="R122" s="132">
        <f t="shared" si="35"/>
        <v>0</v>
      </c>
      <c r="S122" s="132">
        <f t="shared" si="35"/>
        <v>0</v>
      </c>
      <c r="T122" s="132">
        <f t="shared" si="35"/>
        <v>0</v>
      </c>
      <c r="U122" s="132">
        <f t="shared" si="35"/>
        <v>0</v>
      </c>
      <c r="V122" s="132">
        <f t="shared" si="35"/>
        <v>0</v>
      </c>
      <c r="W122" s="132">
        <f t="shared" si="35"/>
        <v>0</v>
      </c>
      <c r="X122" s="132">
        <f t="shared" si="35"/>
        <v>0</v>
      </c>
      <c r="Y122" s="132">
        <f t="shared" si="35"/>
        <v>0</v>
      </c>
      <c r="AA122" s="355">
        <f t="shared" si="28"/>
        <v>-5777.0000869788964</v>
      </c>
      <c r="AB122" s="356">
        <f t="shared" si="20"/>
        <v>-2888.5000434894482</v>
      </c>
    </row>
    <row r="123" spans="1:28" s="128" customFormat="1">
      <c r="A123" s="128" t="s">
        <v>64</v>
      </c>
      <c r="F123" s="147">
        <f>-F46</f>
        <v>0</v>
      </c>
      <c r="G123" s="147">
        <f t="shared" ref="G123:Y123" si="36">-G46</f>
        <v>0</v>
      </c>
      <c r="H123" s="147">
        <f t="shared" si="36"/>
        <v>0</v>
      </c>
      <c r="I123" s="147">
        <f t="shared" si="36"/>
        <v>0</v>
      </c>
      <c r="J123" s="147">
        <f t="shared" si="36"/>
        <v>0</v>
      </c>
      <c r="K123" s="147">
        <f t="shared" si="36"/>
        <v>0</v>
      </c>
      <c r="L123" s="147">
        <f t="shared" si="36"/>
        <v>0</v>
      </c>
      <c r="M123" s="147">
        <f t="shared" si="36"/>
        <v>0</v>
      </c>
      <c r="N123" s="147">
        <f t="shared" si="36"/>
        <v>0</v>
      </c>
      <c r="O123" s="147">
        <f t="shared" si="36"/>
        <v>0</v>
      </c>
      <c r="P123" s="147">
        <f t="shared" si="36"/>
        <v>0</v>
      </c>
      <c r="Q123" s="147">
        <f t="shared" si="36"/>
        <v>0</v>
      </c>
      <c r="R123" s="147">
        <f t="shared" si="36"/>
        <v>0</v>
      </c>
      <c r="S123" s="147">
        <f t="shared" si="36"/>
        <v>0</v>
      </c>
      <c r="T123" s="147">
        <f t="shared" si="36"/>
        <v>0</v>
      </c>
      <c r="U123" s="147">
        <f t="shared" si="36"/>
        <v>0</v>
      </c>
      <c r="V123" s="147">
        <f t="shared" si="36"/>
        <v>0</v>
      </c>
      <c r="W123" s="147">
        <f t="shared" si="36"/>
        <v>0</v>
      </c>
      <c r="X123" s="147">
        <f t="shared" si="36"/>
        <v>0</v>
      </c>
      <c r="Y123" s="147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28" customFormat="1">
      <c r="A124" s="128" t="s">
        <v>65</v>
      </c>
      <c r="F124" s="132">
        <f>SUM(F121:F123)</f>
        <v>-343.165392394121</v>
      </c>
      <c r="G124" s="132">
        <f t="shared" ref="G124:Y124" si="37">SUM(G121:G123)</f>
        <v>-1228.7104709704854</v>
      </c>
      <c r="H124" s="132">
        <f t="shared" si="37"/>
        <v>-479.09483203425521</v>
      </c>
      <c r="I124" s="132">
        <f t="shared" si="37"/>
        <v>-35.485787090560393</v>
      </c>
      <c r="J124" s="132">
        <f t="shared" si="37"/>
        <v>-21.284805262535087</v>
      </c>
      <c r="K124" s="132">
        <f t="shared" si="37"/>
        <v>282.87411750930067</v>
      </c>
      <c r="L124" s="132">
        <f t="shared" si="37"/>
        <v>615.36227644165137</v>
      </c>
      <c r="M124" s="132">
        <f t="shared" si="37"/>
        <v>636.191055680403</v>
      </c>
      <c r="N124" s="132">
        <f t="shared" si="37"/>
        <v>640.02620357546471</v>
      </c>
      <c r="O124" s="132">
        <f t="shared" si="37"/>
        <v>644.59121476644782</v>
      </c>
      <c r="P124" s="132">
        <f t="shared" si="37"/>
        <v>649.15915171575489</v>
      </c>
      <c r="Q124" s="132">
        <f t="shared" si="37"/>
        <v>675.30863279110008</v>
      </c>
      <c r="R124" s="132">
        <f t="shared" si="37"/>
        <v>663.74983868797972</v>
      </c>
      <c r="S124" s="132">
        <f t="shared" si="37"/>
        <v>652.00900275999948</v>
      </c>
      <c r="T124" s="132">
        <f t="shared" si="37"/>
        <v>639.3065601249823</v>
      </c>
      <c r="U124" s="132">
        <f t="shared" si="37"/>
        <v>0</v>
      </c>
      <c r="V124" s="132">
        <f t="shared" si="37"/>
        <v>0</v>
      </c>
      <c r="W124" s="132">
        <f t="shared" si="37"/>
        <v>0</v>
      </c>
      <c r="X124" s="132">
        <f t="shared" si="37"/>
        <v>0</v>
      </c>
      <c r="Y124" s="132">
        <f t="shared" si="37"/>
        <v>0</v>
      </c>
      <c r="AA124" s="355">
        <f t="shared" si="28"/>
        <v>3990.8367663011272</v>
      </c>
      <c r="AB124" s="356">
        <f t="shared" si="20"/>
        <v>1995.4183831505636</v>
      </c>
    </row>
    <row r="125" spans="1:28" s="128" customFormat="1">
      <c r="AA125" s="355">
        <f t="shared" si="28"/>
        <v>0</v>
      </c>
      <c r="AB125" s="356">
        <f t="shared" si="20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17.158269619706051</v>
      </c>
      <c r="G126" s="132">
        <f t="shared" ref="G126:Y126" si="38">-G124*$C$126</f>
        <v>61.435523548524273</v>
      </c>
      <c r="H126" s="132">
        <f t="shared" si="38"/>
        <v>23.954741601712762</v>
      </c>
      <c r="I126" s="132">
        <f t="shared" si="38"/>
        <v>1.7742893545280198</v>
      </c>
      <c r="J126" s="132">
        <f t="shared" si="38"/>
        <v>1.0642402631267545</v>
      </c>
      <c r="K126" s="132">
        <f t="shared" si="38"/>
        <v>-14.143705875465034</v>
      </c>
      <c r="L126" s="132">
        <f t="shared" si="38"/>
        <v>-30.768113822082569</v>
      </c>
      <c r="M126" s="132">
        <f t="shared" si="38"/>
        <v>-31.809552784020152</v>
      </c>
      <c r="N126" s="132">
        <f t="shared" si="38"/>
        <v>-32.001310178773238</v>
      </c>
      <c r="O126" s="132">
        <f t="shared" si="38"/>
        <v>-32.229560738322391</v>
      </c>
      <c r="P126" s="132">
        <f t="shared" si="38"/>
        <v>-32.457957585787746</v>
      </c>
      <c r="Q126" s="132">
        <f t="shared" si="38"/>
        <v>-33.765431639555004</v>
      </c>
      <c r="R126" s="132">
        <f t="shared" si="38"/>
        <v>-33.187491934398984</v>
      </c>
      <c r="S126" s="132">
        <f t="shared" si="38"/>
        <v>-32.600450137999978</v>
      </c>
      <c r="T126" s="132">
        <f t="shared" si="38"/>
        <v>-31.965328006249116</v>
      </c>
      <c r="U126" s="132">
        <f t="shared" si="38"/>
        <v>0</v>
      </c>
      <c r="V126" s="132">
        <f t="shared" si="38"/>
        <v>0</v>
      </c>
      <c r="W126" s="132">
        <f t="shared" si="38"/>
        <v>0</v>
      </c>
      <c r="X126" s="132">
        <f t="shared" si="38"/>
        <v>0</v>
      </c>
      <c r="Y126" s="132">
        <f t="shared" si="38"/>
        <v>0</v>
      </c>
      <c r="AA126" s="355">
        <f t="shared" si="28"/>
        <v>-199.54183831505637</v>
      </c>
      <c r="AB126" s="356">
        <f t="shared" si="20"/>
        <v>-99.770919157528184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114.10249297104522</v>
      </c>
      <c r="G127" s="132">
        <f t="shared" ref="G127:Y127" si="39">-(G124+G126)*$C$127</f>
        <v>408.54623159768636</v>
      </c>
      <c r="H127" s="132">
        <f t="shared" si="39"/>
        <v>159.29903165138984</v>
      </c>
      <c r="I127" s="132">
        <f t="shared" si="39"/>
        <v>11.799024207611328</v>
      </c>
      <c r="J127" s="132">
        <f t="shared" si="39"/>
        <v>7.0771977497929157</v>
      </c>
      <c r="K127" s="132">
        <f t="shared" si="39"/>
        <v>-94.055644071842465</v>
      </c>
      <c r="L127" s="132">
        <f t="shared" si="39"/>
        <v>-204.60795691684908</v>
      </c>
      <c r="M127" s="132">
        <f t="shared" si="39"/>
        <v>-211.53352601373396</v>
      </c>
      <c r="N127" s="132">
        <f t="shared" si="39"/>
        <v>-212.80871268884201</v>
      </c>
      <c r="O127" s="132">
        <f t="shared" si="39"/>
        <v>-214.3265789098439</v>
      </c>
      <c r="P127" s="132">
        <f t="shared" si="39"/>
        <v>-215.84541794548849</v>
      </c>
      <c r="Q127" s="132">
        <f t="shared" si="39"/>
        <v>-224.54012040304076</v>
      </c>
      <c r="R127" s="132">
        <f t="shared" si="39"/>
        <v>-220.69682136375326</v>
      </c>
      <c r="S127" s="132">
        <f t="shared" si="39"/>
        <v>-216.79299341769982</v>
      </c>
      <c r="T127" s="132">
        <f t="shared" si="39"/>
        <v>-212.5694312415566</v>
      </c>
      <c r="U127" s="132">
        <f t="shared" si="39"/>
        <v>0</v>
      </c>
      <c r="V127" s="132">
        <f t="shared" si="39"/>
        <v>0</v>
      </c>
      <c r="W127" s="132">
        <f t="shared" si="39"/>
        <v>0</v>
      </c>
      <c r="X127" s="132">
        <f t="shared" si="39"/>
        <v>0</v>
      </c>
      <c r="Y127" s="132">
        <f t="shared" si="39"/>
        <v>0</v>
      </c>
      <c r="AA127" s="355">
        <f t="shared" si="28"/>
        <v>-1326.9532247951247</v>
      </c>
      <c r="AB127" s="356">
        <f t="shared" si="20"/>
        <v>-663.47661239756235</v>
      </c>
    </row>
    <row r="128" spans="1:28" s="128" customFormat="1">
      <c r="AA128" s="355">
        <f t="shared" si="28"/>
        <v>0</v>
      </c>
      <c r="AB128" s="356">
        <f t="shared" si="20"/>
        <v>0</v>
      </c>
    </row>
    <row r="129" spans="1:28" s="128" customFormat="1">
      <c r="AA129" s="355">
        <f t="shared" si="28"/>
        <v>0</v>
      </c>
      <c r="AB129" s="356">
        <f t="shared" si="20"/>
        <v>0</v>
      </c>
    </row>
    <row r="130" spans="1:28" s="128" customFormat="1">
      <c r="AA130" s="355">
        <f t="shared" si="28"/>
        <v>0</v>
      </c>
      <c r="AB130" s="356">
        <f t="shared" si="20"/>
        <v>0</v>
      </c>
    </row>
    <row r="131" spans="1:28" s="128" customFormat="1">
      <c r="AA131" s="355">
        <f t="shared" si="28"/>
        <v>0</v>
      </c>
      <c r="AB131" s="356">
        <f t="shared" si="20"/>
        <v>0</v>
      </c>
    </row>
    <row r="132" spans="1:28" s="128" customFormat="1">
      <c r="AA132" s="355">
        <f t="shared" si="28"/>
        <v>0</v>
      </c>
      <c r="AB132" s="356">
        <f t="shared" si="20"/>
        <v>0</v>
      </c>
    </row>
    <row r="133" spans="1:28" s="128" customFormat="1">
      <c r="AA133" s="355">
        <f t="shared" si="28"/>
        <v>0</v>
      </c>
      <c r="AB133" s="356">
        <f t="shared" si="20"/>
        <v>0</v>
      </c>
    </row>
    <row r="134" spans="1:28" s="128" customFormat="1">
      <c r="AA134" s="355">
        <f t="shared" si="28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0">G119</f>
        <v>2002</v>
      </c>
      <c r="H135" s="99">
        <f t="shared" si="40"/>
        <v>2003</v>
      </c>
      <c r="I135" s="99">
        <f t="shared" si="40"/>
        <v>2004</v>
      </c>
      <c r="J135" s="99">
        <f t="shared" si="40"/>
        <v>2005</v>
      </c>
      <c r="K135" s="99">
        <f t="shared" si="40"/>
        <v>2006</v>
      </c>
      <c r="L135" s="99">
        <f t="shared" si="40"/>
        <v>2007</v>
      </c>
      <c r="M135" s="99">
        <f t="shared" si="40"/>
        <v>2008</v>
      </c>
      <c r="N135" s="99">
        <f t="shared" si="40"/>
        <v>2009</v>
      </c>
      <c r="O135" s="99">
        <f t="shared" si="40"/>
        <v>2010</v>
      </c>
      <c r="P135" s="99">
        <f t="shared" si="40"/>
        <v>2011</v>
      </c>
      <c r="Q135" s="99">
        <f t="shared" si="40"/>
        <v>2012</v>
      </c>
      <c r="R135" s="99">
        <f t="shared" si="40"/>
        <v>2013</v>
      </c>
      <c r="S135" s="99">
        <f t="shared" si="40"/>
        <v>2014</v>
      </c>
      <c r="T135" s="99">
        <f t="shared" si="40"/>
        <v>2015</v>
      </c>
      <c r="U135" s="99">
        <f t="shared" si="40"/>
        <v>2016</v>
      </c>
      <c r="V135" s="99">
        <f t="shared" si="40"/>
        <v>2017</v>
      </c>
      <c r="W135" s="99">
        <f t="shared" si="40"/>
        <v>2018</v>
      </c>
      <c r="X135" s="99">
        <f t="shared" si="40"/>
        <v>2019</v>
      </c>
      <c r="Y135" s="9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28" customFormat="1">
      <c r="AA136" s="355">
        <f t="shared" si="28"/>
        <v>0</v>
      </c>
      <c r="AB136" s="356">
        <f t="shared" si="41"/>
        <v>0</v>
      </c>
    </row>
    <row r="137" spans="1:28" s="128" customFormat="1">
      <c r="A137" s="128" t="s">
        <v>78</v>
      </c>
      <c r="F137" s="118">
        <f>F46</f>
        <v>0</v>
      </c>
      <c r="G137" s="118">
        <f t="shared" ref="G137:Y137" si="42">G46</f>
        <v>0</v>
      </c>
      <c r="H137" s="118">
        <f t="shared" si="42"/>
        <v>0</v>
      </c>
      <c r="I137" s="118">
        <f t="shared" si="42"/>
        <v>0</v>
      </c>
      <c r="J137" s="118">
        <f t="shared" si="42"/>
        <v>0</v>
      </c>
      <c r="K137" s="118">
        <f t="shared" si="42"/>
        <v>0</v>
      </c>
      <c r="L137" s="118">
        <f t="shared" si="42"/>
        <v>0</v>
      </c>
      <c r="M137" s="118">
        <f t="shared" si="42"/>
        <v>0</v>
      </c>
      <c r="N137" s="118">
        <f t="shared" si="42"/>
        <v>0</v>
      </c>
      <c r="O137" s="118">
        <f t="shared" si="42"/>
        <v>0</v>
      </c>
      <c r="P137" s="118">
        <f t="shared" si="42"/>
        <v>0</v>
      </c>
      <c r="Q137" s="118">
        <f t="shared" si="42"/>
        <v>0</v>
      </c>
      <c r="R137" s="118">
        <f t="shared" si="42"/>
        <v>0</v>
      </c>
      <c r="S137" s="118">
        <f t="shared" si="42"/>
        <v>0</v>
      </c>
      <c r="T137" s="118">
        <f t="shared" si="42"/>
        <v>0</v>
      </c>
      <c r="U137" s="118">
        <f t="shared" si="42"/>
        <v>0</v>
      </c>
      <c r="V137" s="118">
        <f t="shared" si="42"/>
        <v>0</v>
      </c>
      <c r="W137" s="118">
        <f t="shared" si="42"/>
        <v>0</v>
      </c>
      <c r="X137" s="118">
        <f t="shared" si="42"/>
        <v>0</v>
      </c>
      <c r="Y137" s="118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28" customFormat="1">
      <c r="A138" s="128" t="s">
        <v>67</v>
      </c>
      <c r="F138" s="147">
        <f t="shared" ref="F138:Y138" si="43">SUM(F33:F35)</f>
        <v>0</v>
      </c>
      <c r="G138" s="147">
        <f t="shared" si="43"/>
        <v>0</v>
      </c>
      <c r="H138" s="147">
        <f t="shared" si="43"/>
        <v>0</v>
      </c>
      <c r="I138" s="147">
        <f t="shared" si="43"/>
        <v>0</v>
      </c>
      <c r="J138" s="147">
        <f t="shared" si="43"/>
        <v>0</v>
      </c>
      <c r="K138" s="147">
        <f t="shared" si="43"/>
        <v>0</v>
      </c>
      <c r="L138" s="147">
        <f t="shared" si="43"/>
        <v>0</v>
      </c>
      <c r="M138" s="147">
        <f t="shared" si="43"/>
        <v>0</v>
      </c>
      <c r="N138" s="147">
        <f t="shared" si="43"/>
        <v>0</v>
      </c>
      <c r="O138" s="147">
        <f t="shared" si="43"/>
        <v>0</v>
      </c>
      <c r="P138" s="147">
        <f t="shared" si="43"/>
        <v>0</v>
      </c>
      <c r="Q138" s="147">
        <f t="shared" si="43"/>
        <v>0</v>
      </c>
      <c r="R138" s="147">
        <f t="shared" si="43"/>
        <v>0</v>
      </c>
      <c r="S138" s="147">
        <f t="shared" si="43"/>
        <v>0</v>
      </c>
      <c r="T138" s="147">
        <f t="shared" si="43"/>
        <v>0</v>
      </c>
      <c r="U138" s="147">
        <f t="shared" si="43"/>
        <v>0</v>
      </c>
      <c r="V138" s="147">
        <f t="shared" si="43"/>
        <v>0</v>
      </c>
      <c r="W138" s="147">
        <f t="shared" si="43"/>
        <v>0</v>
      </c>
      <c r="X138" s="147">
        <f t="shared" si="43"/>
        <v>0</v>
      </c>
      <c r="Y138" s="147">
        <f t="shared" si="43"/>
        <v>0</v>
      </c>
      <c r="AA138" s="355">
        <f t="shared" si="28"/>
        <v>0</v>
      </c>
      <c r="AB138" s="356">
        <f t="shared" si="41"/>
        <v>0</v>
      </c>
    </row>
    <row r="139" spans="1:28" s="128" customFormat="1">
      <c r="A139" s="128" t="s">
        <v>68</v>
      </c>
      <c r="F139" s="132">
        <f>F137+F138</f>
        <v>0</v>
      </c>
      <c r="G139" s="132">
        <f t="shared" ref="G139:Y139" si="44">G137+G138</f>
        <v>0</v>
      </c>
      <c r="H139" s="132">
        <f t="shared" si="44"/>
        <v>0</v>
      </c>
      <c r="I139" s="132">
        <f t="shared" si="44"/>
        <v>0</v>
      </c>
      <c r="J139" s="132">
        <f t="shared" si="44"/>
        <v>0</v>
      </c>
      <c r="K139" s="132">
        <f t="shared" si="44"/>
        <v>0</v>
      </c>
      <c r="L139" s="132">
        <f t="shared" si="44"/>
        <v>0</v>
      </c>
      <c r="M139" s="132">
        <f t="shared" si="44"/>
        <v>0</v>
      </c>
      <c r="N139" s="132">
        <f t="shared" si="44"/>
        <v>0</v>
      </c>
      <c r="O139" s="132">
        <f t="shared" si="44"/>
        <v>0</v>
      </c>
      <c r="P139" s="132">
        <f t="shared" si="44"/>
        <v>0</v>
      </c>
      <c r="Q139" s="132">
        <f t="shared" si="44"/>
        <v>0</v>
      </c>
      <c r="R139" s="132">
        <f t="shared" si="44"/>
        <v>0</v>
      </c>
      <c r="S139" s="132">
        <f t="shared" si="44"/>
        <v>0</v>
      </c>
      <c r="T139" s="132">
        <f t="shared" si="44"/>
        <v>0</v>
      </c>
      <c r="U139" s="132">
        <f t="shared" si="44"/>
        <v>0</v>
      </c>
      <c r="V139" s="132">
        <f t="shared" si="44"/>
        <v>0</v>
      </c>
      <c r="W139" s="132">
        <f t="shared" si="44"/>
        <v>0</v>
      </c>
      <c r="X139" s="132">
        <f t="shared" si="44"/>
        <v>0</v>
      </c>
      <c r="Y139" s="132">
        <f t="shared" si="44"/>
        <v>0</v>
      </c>
      <c r="AA139" s="355">
        <f t="shared" si="28"/>
        <v>0</v>
      </c>
      <c r="AB139" s="356">
        <f t="shared" si="41"/>
        <v>0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0</v>
      </c>
      <c r="G140" s="132">
        <f t="shared" ref="G140:Y140" si="45">G139*$C$140</f>
        <v>0</v>
      </c>
      <c r="H140" s="132">
        <f t="shared" si="45"/>
        <v>0</v>
      </c>
      <c r="I140" s="132">
        <f t="shared" si="45"/>
        <v>0</v>
      </c>
      <c r="J140" s="132">
        <f t="shared" si="45"/>
        <v>0</v>
      </c>
      <c r="K140" s="132">
        <f t="shared" si="45"/>
        <v>0</v>
      </c>
      <c r="L140" s="132">
        <f t="shared" si="45"/>
        <v>0</v>
      </c>
      <c r="M140" s="132">
        <f t="shared" si="45"/>
        <v>0</v>
      </c>
      <c r="N140" s="132">
        <f t="shared" si="45"/>
        <v>0</v>
      </c>
      <c r="O140" s="132">
        <f t="shared" si="45"/>
        <v>0</v>
      </c>
      <c r="P140" s="132">
        <f t="shared" si="45"/>
        <v>0</v>
      </c>
      <c r="Q140" s="132">
        <f t="shared" si="45"/>
        <v>0</v>
      </c>
      <c r="R140" s="132">
        <f t="shared" si="45"/>
        <v>0</v>
      </c>
      <c r="S140" s="132">
        <f t="shared" si="45"/>
        <v>0</v>
      </c>
      <c r="T140" s="132">
        <f t="shared" si="45"/>
        <v>0</v>
      </c>
      <c r="U140" s="132">
        <f t="shared" si="45"/>
        <v>0</v>
      </c>
      <c r="V140" s="132">
        <f t="shared" si="45"/>
        <v>0</v>
      </c>
      <c r="W140" s="132">
        <f t="shared" si="45"/>
        <v>0</v>
      </c>
      <c r="X140" s="132">
        <f t="shared" si="45"/>
        <v>0</v>
      </c>
      <c r="Y140" s="132">
        <f t="shared" si="45"/>
        <v>0</v>
      </c>
      <c r="AA140" s="355">
        <f t="shared" si="28"/>
        <v>0</v>
      </c>
      <c r="AB140" s="356">
        <f t="shared" si="41"/>
        <v>0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0</v>
      </c>
      <c r="G141" s="147">
        <f t="shared" ref="G141:Y141" si="46">(G139-G140)*$C$141</f>
        <v>0</v>
      </c>
      <c r="H141" s="147">
        <f t="shared" si="46"/>
        <v>0</v>
      </c>
      <c r="I141" s="147">
        <f t="shared" si="46"/>
        <v>0</v>
      </c>
      <c r="J141" s="147">
        <f t="shared" si="46"/>
        <v>0</v>
      </c>
      <c r="K141" s="147">
        <f t="shared" si="46"/>
        <v>0</v>
      </c>
      <c r="L141" s="147">
        <f t="shared" si="46"/>
        <v>0</v>
      </c>
      <c r="M141" s="147">
        <f t="shared" si="46"/>
        <v>0</v>
      </c>
      <c r="N141" s="147">
        <f t="shared" si="46"/>
        <v>0</v>
      </c>
      <c r="O141" s="147">
        <f t="shared" si="46"/>
        <v>0</v>
      </c>
      <c r="P141" s="147">
        <f t="shared" si="46"/>
        <v>0</v>
      </c>
      <c r="Q141" s="147">
        <f t="shared" si="46"/>
        <v>0</v>
      </c>
      <c r="R141" s="147">
        <f t="shared" si="46"/>
        <v>0</v>
      </c>
      <c r="S141" s="147">
        <f t="shared" si="46"/>
        <v>0</v>
      </c>
      <c r="T141" s="147">
        <f t="shared" si="46"/>
        <v>0</v>
      </c>
      <c r="U141" s="147">
        <f t="shared" si="46"/>
        <v>0</v>
      </c>
      <c r="V141" s="147">
        <f t="shared" si="46"/>
        <v>0</v>
      </c>
      <c r="W141" s="147">
        <f t="shared" si="46"/>
        <v>0</v>
      </c>
      <c r="X141" s="147">
        <f t="shared" si="46"/>
        <v>0</v>
      </c>
      <c r="Y141" s="147">
        <f t="shared" si="46"/>
        <v>0</v>
      </c>
      <c r="AA141" s="355">
        <f t="shared" si="28"/>
        <v>0</v>
      </c>
      <c r="AB141" s="356">
        <f t="shared" si="41"/>
        <v>0</v>
      </c>
    </row>
    <row r="142" spans="1:28" s="128" customFormat="1">
      <c r="A142" s="128" t="s">
        <v>71</v>
      </c>
      <c r="F142" s="132">
        <f>F139-F140-F141</f>
        <v>0</v>
      </c>
      <c r="G142" s="132">
        <f t="shared" ref="G142:Y142" si="47">G139-G140-G141</f>
        <v>0</v>
      </c>
      <c r="H142" s="132">
        <f t="shared" si="47"/>
        <v>0</v>
      </c>
      <c r="I142" s="132">
        <f t="shared" si="47"/>
        <v>0</v>
      </c>
      <c r="J142" s="132">
        <f t="shared" si="47"/>
        <v>0</v>
      </c>
      <c r="K142" s="132">
        <f t="shared" si="47"/>
        <v>0</v>
      </c>
      <c r="L142" s="132">
        <f t="shared" si="47"/>
        <v>0</v>
      </c>
      <c r="M142" s="132">
        <f t="shared" si="47"/>
        <v>0</v>
      </c>
      <c r="N142" s="132">
        <f t="shared" si="47"/>
        <v>0</v>
      </c>
      <c r="O142" s="132">
        <f t="shared" si="47"/>
        <v>0</v>
      </c>
      <c r="P142" s="132">
        <f t="shared" si="47"/>
        <v>0</v>
      </c>
      <c r="Q142" s="132">
        <f t="shared" si="47"/>
        <v>0</v>
      </c>
      <c r="R142" s="132">
        <f t="shared" si="47"/>
        <v>0</v>
      </c>
      <c r="S142" s="132">
        <f t="shared" si="47"/>
        <v>0</v>
      </c>
      <c r="T142" s="132">
        <f t="shared" si="47"/>
        <v>0</v>
      </c>
      <c r="U142" s="132">
        <f t="shared" si="47"/>
        <v>0</v>
      </c>
      <c r="V142" s="132">
        <f t="shared" si="47"/>
        <v>0</v>
      </c>
      <c r="W142" s="132">
        <f t="shared" si="47"/>
        <v>0</v>
      </c>
      <c r="X142" s="132">
        <f t="shared" si="47"/>
        <v>0</v>
      </c>
      <c r="Y142" s="132">
        <f t="shared" si="47"/>
        <v>0</v>
      </c>
      <c r="AA142" s="355">
        <f t="shared" si="28"/>
        <v>0</v>
      </c>
      <c r="AB142" s="356">
        <f t="shared" si="41"/>
        <v>0</v>
      </c>
    </row>
    <row r="143" spans="1:28" s="128" customFormat="1">
      <c r="AA143" s="355">
        <f t="shared" si="28"/>
        <v>0</v>
      </c>
      <c r="AB143" s="356">
        <f t="shared" si="41"/>
        <v>0</v>
      </c>
    </row>
    <row r="144" spans="1:28" s="128" customFormat="1">
      <c r="A144" s="146" t="str">
        <f>A76</f>
        <v>Net Income to FPLE</v>
      </c>
      <c r="F144" s="149">
        <f>F76</f>
        <v>191.18869046926199</v>
      </c>
      <c r="G144" s="149">
        <f t="shared" ref="G144:Y144" si="48">G76</f>
        <v>131.81450068137764</v>
      </c>
      <c r="H144" s="149">
        <f t="shared" si="48"/>
        <v>134.9512857655327</v>
      </c>
      <c r="I144" s="149">
        <f t="shared" si="48"/>
        <v>134.93135232945485</v>
      </c>
      <c r="J144" s="149">
        <f t="shared" si="48"/>
        <v>139.31590546885769</v>
      </c>
      <c r="K144" s="149">
        <f t="shared" si="48"/>
        <v>130.48680332782928</v>
      </c>
      <c r="L144" s="149">
        <f t="shared" si="48"/>
        <v>130.40435285135987</v>
      </c>
      <c r="M144" s="149">
        <f t="shared" si="48"/>
        <v>136.83523844132444</v>
      </c>
      <c r="N144" s="149">
        <f t="shared" si="48"/>
        <v>138.01934035392475</v>
      </c>
      <c r="O144" s="149">
        <f t="shared" si="48"/>
        <v>139.42878755914074</v>
      </c>
      <c r="P144" s="149">
        <f t="shared" si="48"/>
        <v>140.83913809223932</v>
      </c>
      <c r="Q144" s="149">
        <f t="shared" si="48"/>
        <v>148.91279037425215</v>
      </c>
      <c r="R144" s="149">
        <f t="shared" si="48"/>
        <v>145.34401269491374</v>
      </c>
      <c r="S144" s="149">
        <f t="shared" si="48"/>
        <v>141.71902960214985</v>
      </c>
      <c r="T144" s="149">
        <f t="shared" si="48"/>
        <v>137.79715043858829</v>
      </c>
      <c r="U144" s="149">
        <f t="shared" si="48"/>
        <v>0</v>
      </c>
      <c r="V144" s="149">
        <f t="shared" si="48"/>
        <v>0</v>
      </c>
      <c r="W144" s="149">
        <f t="shared" si="48"/>
        <v>0</v>
      </c>
      <c r="X144" s="149">
        <f t="shared" si="48"/>
        <v>0</v>
      </c>
      <c r="Y144" s="149">
        <f t="shared" si="48"/>
        <v>0</v>
      </c>
      <c r="AA144" s="355">
        <f t="shared" si="28"/>
        <v>2121.9883784502076</v>
      </c>
      <c r="AB144" s="356">
        <f t="shared" si="41"/>
        <v>2121.9883784502076</v>
      </c>
    </row>
    <row r="145" spans="1:28" s="128" customFormat="1">
      <c r="A145" s="103" t="s">
        <v>79</v>
      </c>
      <c r="F145" s="142">
        <f>F142+F144</f>
        <v>191.18869046926199</v>
      </c>
      <c r="G145" s="142">
        <f t="shared" ref="G145:Y145" si="49">G142+G144</f>
        <v>131.81450068137764</v>
      </c>
      <c r="H145" s="142">
        <f t="shared" si="49"/>
        <v>134.9512857655327</v>
      </c>
      <c r="I145" s="142">
        <f t="shared" si="49"/>
        <v>134.93135232945485</v>
      </c>
      <c r="J145" s="142">
        <f t="shared" si="49"/>
        <v>139.31590546885769</v>
      </c>
      <c r="K145" s="142">
        <f t="shared" si="49"/>
        <v>130.48680332782928</v>
      </c>
      <c r="L145" s="142">
        <f t="shared" si="49"/>
        <v>130.40435285135987</v>
      </c>
      <c r="M145" s="142">
        <f t="shared" si="49"/>
        <v>136.83523844132444</v>
      </c>
      <c r="N145" s="142">
        <f t="shared" si="49"/>
        <v>138.01934035392475</v>
      </c>
      <c r="O145" s="142">
        <f t="shared" si="49"/>
        <v>139.42878755914074</v>
      </c>
      <c r="P145" s="142">
        <f t="shared" si="49"/>
        <v>140.83913809223932</v>
      </c>
      <c r="Q145" s="142">
        <f t="shared" si="49"/>
        <v>148.91279037425215</v>
      </c>
      <c r="R145" s="142">
        <f t="shared" si="49"/>
        <v>145.34401269491374</v>
      </c>
      <c r="S145" s="142">
        <f t="shared" si="49"/>
        <v>141.71902960214985</v>
      </c>
      <c r="T145" s="142">
        <f t="shared" si="49"/>
        <v>137.79715043858829</v>
      </c>
      <c r="U145" s="142">
        <f t="shared" si="49"/>
        <v>0</v>
      </c>
      <c r="V145" s="142">
        <f t="shared" si="49"/>
        <v>0</v>
      </c>
      <c r="W145" s="142">
        <f t="shared" si="49"/>
        <v>0</v>
      </c>
      <c r="X145" s="142">
        <f t="shared" si="49"/>
        <v>0</v>
      </c>
      <c r="Y145" s="142">
        <f t="shared" si="49"/>
        <v>0</v>
      </c>
      <c r="AA145" s="355">
        <f t="shared" si="28"/>
        <v>2121.9883784502076</v>
      </c>
      <c r="AB145" s="356">
        <f t="shared" si="41"/>
        <v>2121.9883784502076</v>
      </c>
    </row>
    <row r="146" spans="1:28" s="128" customFormat="1">
      <c r="AA146" s="355">
        <f t="shared" si="28"/>
        <v>0</v>
      </c>
      <c r="AB146" s="356">
        <f t="shared" si="41"/>
        <v>0</v>
      </c>
    </row>
    <row r="147" spans="1:28" s="128" customFormat="1">
      <c r="AA147" s="355">
        <f t="shared" si="28"/>
        <v>0</v>
      </c>
      <c r="AB147" s="356">
        <f t="shared" si="41"/>
        <v>0</v>
      </c>
    </row>
    <row r="148" spans="1:28" s="128" customFormat="1">
      <c r="AA148" s="355">
        <f t="shared" si="28"/>
        <v>0</v>
      </c>
      <c r="AB148" s="356">
        <f t="shared" si="41"/>
        <v>0</v>
      </c>
    </row>
    <row r="149" spans="1:28" s="128" customFormat="1">
      <c r="A149" s="105" t="s">
        <v>110</v>
      </c>
      <c r="AA149" s="355">
        <f t="shared" si="28"/>
        <v>0</v>
      </c>
      <c r="AB149" s="356">
        <f t="shared" si="41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0</v>
      </c>
      <c r="G150" s="129">
        <f t="shared" ref="G150:Y150" si="50">G142</f>
        <v>0</v>
      </c>
      <c r="H150" s="129">
        <f t="shared" si="50"/>
        <v>0</v>
      </c>
      <c r="I150" s="129">
        <f t="shared" si="50"/>
        <v>0</v>
      </c>
      <c r="J150" s="129">
        <f t="shared" si="50"/>
        <v>0</v>
      </c>
      <c r="K150" s="129">
        <f t="shared" si="50"/>
        <v>0</v>
      </c>
      <c r="L150" s="129">
        <f t="shared" si="50"/>
        <v>0</v>
      </c>
      <c r="M150" s="129">
        <f t="shared" si="50"/>
        <v>0</v>
      </c>
      <c r="N150" s="129">
        <f t="shared" si="50"/>
        <v>0</v>
      </c>
      <c r="O150" s="129">
        <f t="shared" si="50"/>
        <v>0</v>
      </c>
      <c r="P150" s="129">
        <f t="shared" si="50"/>
        <v>0</v>
      </c>
      <c r="Q150" s="129">
        <f t="shared" si="50"/>
        <v>0</v>
      </c>
      <c r="R150" s="129">
        <f t="shared" si="50"/>
        <v>0</v>
      </c>
      <c r="S150" s="129">
        <f t="shared" si="50"/>
        <v>0</v>
      </c>
      <c r="T150" s="129">
        <f t="shared" si="50"/>
        <v>0</v>
      </c>
      <c r="U150" s="129">
        <f t="shared" si="50"/>
        <v>0</v>
      </c>
      <c r="V150" s="129">
        <f t="shared" si="50"/>
        <v>0</v>
      </c>
      <c r="W150" s="129">
        <f t="shared" si="50"/>
        <v>0</v>
      </c>
      <c r="X150" s="129">
        <f t="shared" si="50"/>
        <v>0</v>
      </c>
      <c r="Y150" s="129">
        <f t="shared" si="50"/>
        <v>0</v>
      </c>
      <c r="AA150" s="355">
        <f t="shared" si="28"/>
        <v>0</v>
      </c>
      <c r="AB150" s="356">
        <f t="shared" si="41"/>
        <v>0</v>
      </c>
    </row>
    <row r="151" spans="1:28" s="128" customFormat="1">
      <c r="A151" s="128" t="s">
        <v>111</v>
      </c>
      <c r="F151" s="332">
        <v>0</v>
      </c>
      <c r="G151" s="332">
        <v>0</v>
      </c>
      <c r="H151" s="332">
        <v>0</v>
      </c>
      <c r="I151" s="332">
        <v>0</v>
      </c>
      <c r="J151" s="332">
        <v>0</v>
      </c>
      <c r="K151" s="332">
        <v>0</v>
      </c>
      <c r="L151" s="332">
        <v>0</v>
      </c>
      <c r="M151" s="332">
        <v>0</v>
      </c>
      <c r="N151" s="332">
        <v>0</v>
      </c>
      <c r="O151" s="332">
        <v>0</v>
      </c>
      <c r="P151" s="332">
        <v>0</v>
      </c>
      <c r="Q151" s="332">
        <v>0</v>
      </c>
      <c r="R151" s="332">
        <v>0</v>
      </c>
      <c r="S151" s="332">
        <v>0</v>
      </c>
      <c r="T151" s="332">
        <v>0</v>
      </c>
      <c r="U151" s="332">
        <v>0</v>
      </c>
      <c r="V151" s="332">
        <v>0</v>
      </c>
      <c r="W151" s="332">
        <v>0</v>
      </c>
      <c r="X151" s="332">
        <v>0</v>
      </c>
      <c r="Y151" s="332">
        <v>0</v>
      </c>
      <c r="AA151" s="355">
        <f t="shared" si="28"/>
        <v>0</v>
      </c>
      <c r="AB151" s="356">
        <f t="shared" si="41"/>
        <v>0</v>
      </c>
    </row>
    <row r="152" spans="1:28" s="128" customFormat="1">
      <c r="F152" s="129">
        <f>F150+F151</f>
        <v>0</v>
      </c>
      <c r="G152" s="129">
        <f t="shared" ref="G152:Y152" si="51">G150+G151</f>
        <v>0</v>
      </c>
      <c r="H152" s="129">
        <f t="shared" si="51"/>
        <v>0</v>
      </c>
      <c r="I152" s="129">
        <f t="shared" si="51"/>
        <v>0</v>
      </c>
      <c r="J152" s="129">
        <f t="shared" si="51"/>
        <v>0</v>
      </c>
      <c r="K152" s="129">
        <f t="shared" si="51"/>
        <v>0</v>
      </c>
      <c r="L152" s="129">
        <f t="shared" si="51"/>
        <v>0</v>
      </c>
      <c r="M152" s="129">
        <f t="shared" si="51"/>
        <v>0</v>
      </c>
      <c r="N152" s="129">
        <f t="shared" si="51"/>
        <v>0</v>
      </c>
      <c r="O152" s="129">
        <f t="shared" si="51"/>
        <v>0</v>
      </c>
      <c r="P152" s="129">
        <f t="shared" si="51"/>
        <v>0</v>
      </c>
      <c r="Q152" s="129">
        <f t="shared" si="51"/>
        <v>0</v>
      </c>
      <c r="R152" s="129">
        <f t="shared" si="51"/>
        <v>0</v>
      </c>
      <c r="S152" s="129">
        <f t="shared" si="51"/>
        <v>0</v>
      </c>
      <c r="T152" s="129">
        <f t="shared" si="51"/>
        <v>0</v>
      </c>
      <c r="U152" s="129">
        <f t="shared" si="51"/>
        <v>0</v>
      </c>
      <c r="V152" s="129">
        <f t="shared" si="51"/>
        <v>0</v>
      </c>
      <c r="W152" s="129">
        <f t="shared" si="51"/>
        <v>0</v>
      </c>
      <c r="X152" s="129">
        <f t="shared" si="51"/>
        <v>0</v>
      </c>
      <c r="Y152" s="129">
        <f t="shared" si="51"/>
        <v>0</v>
      </c>
      <c r="AA152" s="355">
        <f t="shared" si="28"/>
        <v>0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0</v>
      </c>
    </row>
    <row r="156" spans="1:28" s="128" customFormat="1" ht="13.5" thickBot="1">
      <c r="A156" s="128" t="s">
        <v>48</v>
      </c>
      <c r="C156" s="116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3209.4444927660534</v>
      </c>
    </row>
    <row r="161" spans="1:25" s="128" customFormat="1">
      <c r="A161" s="108" t="s">
        <v>74</v>
      </c>
      <c r="B161" s="109"/>
      <c r="C161" s="109"/>
      <c r="D161" s="333">
        <v>0</v>
      </c>
      <c r="F161" s="150"/>
    </row>
    <row r="162" spans="1:25" s="128" customFormat="1">
      <c r="A162" s="108" t="s">
        <v>75</v>
      </c>
      <c r="B162" s="109"/>
      <c r="C162" s="109"/>
      <c r="D162" s="111">
        <f>C155-D161</f>
        <v>0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3209.4444927660534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/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/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/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/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17"/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17"/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/>
      <c r="B175" s="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17"/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/>
      <c r="B177" s="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/>
      <c r="B178" s="17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/>
      <c r="B179" s="1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17"/>
      <c r="B180" s="1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17"/>
      <c r="B181" s="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17"/>
      <c r="B182" s="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/>
      <c r="B183" s="17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3.5" outlineLevel="1">
      <c r="A184" s="97"/>
      <c r="B184" s="6"/>
      <c r="C184" s="6"/>
      <c r="D184" s="31"/>
      <c r="E184" s="6"/>
      <c r="F184" s="6"/>
      <c r="G184" s="31"/>
      <c r="H184" s="6"/>
      <c r="I184" s="6"/>
      <c r="J184" s="6"/>
      <c r="K184" s="6"/>
      <c r="L184" s="6"/>
      <c r="M184" s="6"/>
      <c r="N184" s="6"/>
      <c r="O184" s="6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17"/>
      <c r="B185" s="6"/>
      <c r="C185" s="33"/>
      <c r="D185" s="31"/>
      <c r="E185" s="31"/>
      <c r="F185" s="31"/>
      <c r="G185" s="34"/>
      <c r="H185" s="35"/>
      <c r="I185" s="35"/>
      <c r="J185" s="35"/>
      <c r="K185" s="35"/>
      <c r="L185" s="35"/>
      <c r="M185" s="35"/>
      <c r="N185" s="35"/>
      <c r="O185" s="35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17"/>
      <c r="B186" s="36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36"/>
      <c r="B187" s="36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36"/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36"/>
      <c r="B189" s="6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6"/>
      <c r="B190" s="1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17"/>
      <c r="B191" s="1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1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6"/>
      <c r="B194" s="1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17"/>
      <c r="B195" s="6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38"/>
      <c r="B196" s="6"/>
      <c r="C196" s="6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40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41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41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41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41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8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40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" customHeight="1" outlineLevel="1">
      <c r="A219" s="40"/>
      <c r="B219" s="6"/>
      <c r="C219" s="6"/>
      <c r="D219" s="6"/>
      <c r="E219" s="27"/>
      <c r="F219" s="27"/>
      <c r="G219" s="2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4.25" customHeight="1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outlineLevel="1">
      <c r="A223" s="40"/>
      <c r="B223" s="6"/>
      <c r="C223" s="6"/>
      <c r="D223" s="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outlineLevel="1">
      <c r="A224" s="42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27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6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17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6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6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3"/>
      <c r="B236" s="3"/>
      <c r="C236" s="3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outlineLevel="1">
      <c r="A237" s="40"/>
      <c r="B237" s="6"/>
      <c r="C237" s="6"/>
      <c r="D237" s="6"/>
      <c r="E237" s="27"/>
      <c r="F237" s="27"/>
      <c r="G237" s="2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outlineLevel="1">
      <c r="A238" s="39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8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27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40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39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20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27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40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27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40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39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40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41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8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8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40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41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41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8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40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6"/>
      <c r="B279" s="6"/>
      <c r="C279" s="6"/>
      <c r="D279" s="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outlineLevel="1">
      <c r="A280" s="6"/>
      <c r="B280" s="6"/>
      <c r="C280" s="6"/>
      <c r="D280" s="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6"/>
      <c r="B281" s="6"/>
      <c r="C281" s="6"/>
      <c r="D281" s="6"/>
      <c r="E281" s="6"/>
      <c r="F281" s="6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3"/>
      <c r="B282" s="3"/>
      <c r="C282" s="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outlineLevel="1">
      <c r="A283" s="17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17"/>
      <c r="B284" s="43"/>
      <c r="C284" s="4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17"/>
      <c r="B287" s="17"/>
      <c r="C287" s="17"/>
      <c r="D287" s="1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44"/>
      <c r="B288" s="17"/>
      <c r="C288" s="17"/>
      <c r="D288" s="17"/>
      <c r="E288" s="45"/>
      <c r="F288" s="45"/>
      <c r="G288" s="45"/>
      <c r="H288" s="45"/>
      <c r="I288" s="45"/>
      <c r="J288" s="45"/>
      <c r="K288" s="45"/>
      <c r="L288" s="45"/>
      <c r="M288" s="6"/>
      <c r="N288" s="4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17"/>
      <c r="C289" s="17"/>
      <c r="D289" s="17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3"/>
      <c r="C292" s="3"/>
      <c r="D292" s="3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6"/>
      <c r="B293" s="6"/>
      <c r="C293" s="6"/>
      <c r="D293" s="6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17"/>
      <c r="B294" s="17"/>
      <c r="C294" s="17"/>
      <c r="D294" s="17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44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17"/>
      <c r="B306" s="17"/>
      <c r="C306" s="17"/>
      <c r="D306" s="17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17"/>
      <c r="B309" s="17"/>
      <c r="C309" s="17"/>
      <c r="D309" s="17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17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6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46"/>
      <c r="C312" s="46"/>
      <c r="D312" s="46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17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44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17"/>
      <c r="B315" s="17"/>
      <c r="C315" s="17"/>
      <c r="D315" s="17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6"/>
      <c r="B316" s="6"/>
      <c r="C316" s="6"/>
      <c r="D316" s="6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17"/>
      <c r="B317" s="17"/>
      <c r="C317" s="17"/>
      <c r="D317" s="17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6"/>
      <c r="C323" s="6"/>
      <c r="D323" s="6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17"/>
      <c r="B324" s="17"/>
      <c r="C324" s="17"/>
      <c r="D324" s="17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17"/>
      <c r="B325" s="17"/>
      <c r="C325" s="17"/>
      <c r="D325" s="17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6"/>
      <c r="B326" s="6"/>
      <c r="C326" s="6"/>
      <c r="D326" s="6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47"/>
      <c r="C327" s="47"/>
      <c r="D327" s="6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43"/>
      <c r="C328" s="43"/>
      <c r="D328" s="43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48"/>
      <c r="C330" s="48"/>
      <c r="D330" s="6"/>
      <c r="E330" s="6"/>
      <c r="F330" s="6"/>
      <c r="G330" s="20"/>
      <c r="H330" s="20"/>
      <c r="I330" s="20"/>
      <c r="J330" s="20"/>
      <c r="K330" s="20"/>
      <c r="L330" s="2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6"/>
      <c r="C331" s="6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s="50" customFormat="1" outlineLevel="1">
      <c r="A339" s="49"/>
    </row>
    <row r="340" spans="1:25" outlineLevel="1">
      <c r="A340" s="1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outlineLevel="1">
      <c r="A341" s="17"/>
      <c r="B341" s="6"/>
      <c r="C341" s="6"/>
      <c r="D341" s="6"/>
      <c r="E341" s="6"/>
      <c r="F341" s="6"/>
      <c r="G341" s="51"/>
      <c r="H341" s="51"/>
      <c r="I341" s="51"/>
      <c r="J341" s="51"/>
      <c r="K341" s="51"/>
      <c r="L341" s="5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7"/>
      <c r="B342" s="6"/>
      <c r="C342" s="6"/>
      <c r="D342" s="6"/>
      <c r="E342" s="6"/>
      <c r="F342" s="6"/>
      <c r="G342" s="51"/>
      <c r="H342" s="51"/>
      <c r="I342" s="51"/>
      <c r="J342" s="51"/>
      <c r="K342" s="51"/>
      <c r="L342" s="5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6"/>
      <c r="B343" s="52"/>
      <c r="C343" s="52"/>
      <c r="D343" s="52"/>
      <c r="E343" s="6"/>
      <c r="F343" s="6"/>
      <c r="G343" s="53"/>
      <c r="H343" s="53"/>
      <c r="I343" s="53"/>
      <c r="J343" s="53"/>
      <c r="K343" s="53"/>
      <c r="L343" s="5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7"/>
      <c r="B344" s="54"/>
      <c r="C344" s="54"/>
      <c r="D344" s="5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49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55"/>
      <c r="B346" s="6"/>
      <c r="C346" s="6"/>
      <c r="D346" s="6"/>
      <c r="E346" s="6"/>
      <c r="F346" s="6"/>
      <c r="G346" s="20"/>
      <c r="H346" s="20"/>
      <c r="I346" s="20"/>
      <c r="J346" s="20"/>
      <c r="K346" s="20"/>
      <c r="L346" s="2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55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55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55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55"/>
      <c r="B350" s="6"/>
      <c r="C350" s="6"/>
      <c r="D350" s="6"/>
      <c r="E350" s="6"/>
      <c r="F350" s="6"/>
      <c r="G350" s="51"/>
      <c r="H350" s="51"/>
      <c r="I350" s="51"/>
      <c r="J350" s="51"/>
      <c r="K350" s="51"/>
      <c r="L350" s="5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7"/>
      <c r="B351" s="6"/>
      <c r="C351" s="6"/>
      <c r="D351" s="6"/>
      <c r="E351" s="6"/>
      <c r="F351" s="6"/>
      <c r="G351" s="56"/>
      <c r="H351" s="56"/>
      <c r="I351" s="56"/>
      <c r="J351" s="56"/>
      <c r="K351" s="56"/>
      <c r="L351" s="5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55"/>
      <c r="B352" s="14"/>
      <c r="C352" s="14"/>
      <c r="D352" s="14"/>
      <c r="E352" s="6"/>
      <c r="F352" s="6"/>
      <c r="G352" s="57"/>
      <c r="H352" s="57"/>
      <c r="I352" s="57"/>
      <c r="J352" s="57"/>
      <c r="K352" s="57"/>
      <c r="L352" s="57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55"/>
      <c r="B353" s="6"/>
      <c r="C353" s="6"/>
      <c r="D353" s="6"/>
      <c r="E353" s="6"/>
      <c r="F353" s="6"/>
      <c r="G353" s="57"/>
      <c r="H353" s="57"/>
      <c r="I353" s="57"/>
      <c r="J353" s="57"/>
      <c r="K353" s="57"/>
      <c r="L353" s="57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55"/>
      <c r="B354" s="6"/>
      <c r="C354" s="6"/>
      <c r="D354" s="6"/>
      <c r="E354" s="6"/>
      <c r="F354" s="6"/>
      <c r="G354" s="57"/>
      <c r="H354" s="57"/>
      <c r="I354" s="57"/>
      <c r="J354" s="57"/>
      <c r="K354" s="57"/>
      <c r="L354" s="57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55"/>
      <c r="B355" s="6"/>
      <c r="C355" s="6"/>
      <c r="D355" s="6"/>
      <c r="E355" s="6"/>
      <c r="F355" s="6"/>
      <c r="G355" s="57"/>
      <c r="H355" s="57"/>
      <c r="I355" s="57"/>
      <c r="J355" s="57"/>
      <c r="K355" s="57"/>
      <c r="L355" s="57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55"/>
      <c r="B356" s="6"/>
      <c r="C356" s="6"/>
      <c r="D356" s="6"/>
      <c r="E356" s="6"/>
      <c r="F356" s="6"/>
      <c r="G356" s="56"/>
      <c r="H356" s="56"/>
      <c r="I356" s="56"/>
      <c r="J356" s="56"/>
      <c r="K356" s="56"/>
      <c r="L356" s="5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6"/>
      <c r="B358" s="6"/>
      <c r="C358" s="6"/>
      <c r="D358" s="6"/>
      <c r="E358" s="6"/>
      <c r="F358" s="6"/>
      <c r="G358" s="20"/>
      <c r="H358" s="20"/>
      <c r="I358" s="20"/>
      <c r="J358" s="20"/>
      <c r="K358" s="20"/>
      <c r="L358" s="2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58"/>
      <c r="F361" s="58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51"/>
      <c r="H364" s="51"/>
      <c r="I364" s="51"/>
      <c r="J364" s="51"/>
      <c r="K364" s="51"/>
      <c r="L364" s="5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55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55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55"/>
      <c r="B367" s="6"/>
      <c r="C367" s="6"/>
      <c r="D367" s="6"/>
      <c r="E367" s="58"/>
      <c r="F367" s="58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6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17"/>
      <c r="B375" s="6"/>
      <c r="C375" s="6"/>
      <c r="D375" s="6"/>
      <c r="E375" s="59"/>
      <c r="F375" s="59"/>
      <c r="G375" s="59"/>
      <c r="H375" s="59"/>
      <c r="I375" s="59"/>
      <c r="J375" s="59"/>
      <c r="K375" s="59"/>
      <c r="L375" s="5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14"/>
      <c r="E376" s="58"/>
      <c r="F376" s="58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59"/>
      <c r="F377" s="59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6"/>
      <c r="E378" s="6"/>
      <c r="F378" s="6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45"/>
      <c r="H383" s="45"/>
      <c r="I383" s="45"/>
      <c r="J383" s="45"/>
      <c r="K383" s="45"/>
      <c r="L383" s="4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59"/>
      <c r="H384" s="59"/>
      <c r="I384" s="59"/>
      <c r="J384" s="59"/>
      <c r="K384" s="59"/>
      <c r="L384" s="5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30" outlineLevel="1">
      <c r="A385" s="6"/>
      <c r="B385" s="6"/>
      <c r="C385" s="6"/>
      <c r="D385" s="6"/>
      <c r="E385" s="6"/>
      <c r="F385" s="6"/>
      <c r="G385" s="60"/>
      <c r="H385" s="60"/>
      <c r="I385" s="60"/>
      <c r="J385" s="60"/>
      <c r="K385" s="60"/>
      <c r="L385" s="60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30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30" outlineLevel="1">
      <c r="A387" s="6"/>
      <c r="B387" s="6"/>
      <c r="C387" s="6"/>
      <c r="D387" s="6"/>
      <c r="E387" s="6"/>
      <c r="F387" s="6"/>
      <c r="G387" s="60"/>
      <c r="H387" s="60"/>
      <c r="I387" s="60"/>
      <c r="J387" s="60"/>
      <c r="K387" s="60"/>
      <c r="L387" s="60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30" outlineLevel="1">
      <c r="A388" s="6"/>
      <c r="B388" s="6"/>
      <c r="C388" s="6"/>
      <c r="D388" s="6"/>
      <c r="E388" s="6"/>
      <c r="F388" s="6"/>
      <c r="G388" s="61"/>
      <c r="H388" s="61"/>
      <c r="I388" s="61"/>
      <c r="J388" s="61"/>
      <c r="K388" s="61"/>
      <c r="L388" s="6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30" outlineLevel="1">
      <c r="A389" s="6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30" hidden="1" outlineLevel="2">
      <c r="A390" s="17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30" hidden="1" outlineLevel="2">
      <c r="A391" s="17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30" hidden="1" outlineLevel="2">
      <c r="A392" s="6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30" hidden="1" outlineLevel="2">
      <c r="A393" s="17"/>
      <c r="B393" s="9"/>
      <c r="C393" s="9"/>
      <c r="D393" s="9"/>
      <c r="E393" s="10"/>
      <c r="F393" s="10"/>
      <c r="G393" s="10"/>
      <c r="H393" s="9"/>
      <c r="I393" s="9"/>
      <c r="J393" s="10"/>
      <c r="K393" s="10"/>
      <c r="L393" s="9"/>
      <c r="M393" s="10"/>
      <c r="N393" s="10"/>
      <c r="O393" s="10"/>
      <c r="P393" s="9"/>
      <c r="Q393" s="10"/>
      <c r="R393" s="10"/>
      <c r="S393" s="6"/>
      <c r="T393" s="6"/>
      <c r="U393" s="6"/>
      <c r="V393" s="6"/>
      <c r="W393" s="6"/>
      <c r="X393" s="10"/>
      <c r="Y393" s="6"/>
    </row>
    <row r="394" spans="1:30" hidden="1" outlineLevel="2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30" hidden="1" outlineLevel="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30" hidden="1" outlineLevel="2">
      <c r="A396" s="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6"/>
      <c r="T396" s="6"/>
      <c r="U396" s="6"/>
      <c r="V396" s="6"/>
      <c r="W396" s="6"/>
      <c r="X396" s="45"/>
      <c r="Y396" s="6"/>
    </row>
    <row r="397" spans="1:30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30" hidden="1" outlineLevel="2">
      <c r="A398" s="6"/>
      <c r="B398" s="59"/>
      <c r="C398" s="59"/>
      <c r="D398" s="59"/>
      <c r="E398" s="59"/>
      <c r="F398" s="59"/>
      <c r="G398" s="59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30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30" hidden="1" outlineLevel="2">
      <c r="A400" s="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45"/>
      <c r="Z400" s="45"/>
      <c r="AA400" s="45"/>
      <c r="AB400" s="45"/>
      <c r="AC400" s="45"/>
      <c r="AD400" s="45"/>
    </row>
    <row r="401" spans="1:25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6"/>
    </row>
    <row r="403" spans="1:25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idden="1" outlineLevel="2">
      <c r="A404" s="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6"/>
      <c r="T404" s="6"/>
      <c r="U404" s="6"/>
      <c r="V404" s="6"/>
      <c r="W404" s="6"/>
      <c r="X404" s="45"/>
      <c r="Y404" s="45"/>
    </row>
    <row r="405" spans="1:25" hidden="1" outlineLevel="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idden="1" outlineLevel="2">
      <c r="A406" s="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6"/>
      <c r="T406" s="6"/>
      <c r="U406" s="6"/>
      <c r="V406" s="6"/>
      <c r="W406" s="6"/>
      <c r="X406" s="45"/>
      <c r="Y406" s="45"/>
    </row>
    <row r="407" spans="1:25" hidden="1" outlineLevel="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1" collapsed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1">
      <c r="A411" s="3"/>
      <c r="B411" s="3"/>
      <c r="C411" s="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outlineLevel="1">
      <c r="A412" s="17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outlineLevel="1">
      <c r="A413" s="17"/>
      <c r="B413" s="43"/>
      <c r="C413" s="4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outlineLevel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outlineLevel="1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outlineLevel="1">
      <c r="A416" s="17"/>
      <c r="B416" s="17"/>
      <c r="C416" s="1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>
      <c r="A417" s="44"/>
      <c r="B417" s="17"/>
      <c r="C417" s="17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outlineLevel="1">
      <c r="A418" s="44"/>
      <c r="B418" s="17"/>
      <c r="C418" s="17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3"/>
      <c r="C421" s="3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6"/>
      <c r="B422" s="6"/>
      <c r="C422" s="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17"/>
      <c r="B423" s="17"/>
      <c r="C423" s="17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44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17"/>
      <c r="B435" s="17"/>
      <c r="C435" s="17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6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17"/>
      <c r="B439" s="17"/>
      <c r="C439" s="17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6"/>
      <c r="B440" s="6"/>
      <c r="C440" s="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17"/>
      <c r="B441" s="17"/>
      <c r="C441" s="17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6"/>
      <c r="C445" s="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17"/>
      <c r="B446" s="17"/>
      <c r="C446" s="17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17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44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3"/>
      <c r="B453" s="46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17"/>
      <c r="B454" s="17"/>
      <c r="C454" s="17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6"/>
      <c r="B455" s="6"/>
      <c r="C455" s="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43"/>
      <c r="C456" s="43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3"/>
      <c r="B461" s="3"/>
      <c r="C461" s="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17"/>
      <c r="B462" s="17"/>
      <c r="C462" s="1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17"/>
      <c r="B463" s="43"/>
      <c r="C463" s="4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6"/>
      <c r="T465" s="6"/>
      <c r="U465" s="6"/>
      <c r="V465" s="6"/>
      <c r="W465" s="6"/>
      <c r="X465" s="6"/>
      <c r="Y465" s="6"/>
    </row>
    <row r="466" spans="1:25" outlineLevel="1">
      <c r="A466" s="17"/>
      <c r="B466" s="17"/>
      <c r="C466" s="17"/>
      <c r="D466" s="1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outlineLevel="1">
      <c r="A467" s="44"/>
      <c r="B467" s="17"/>
      <c r="C467" s="17"/>
      <c r="D467" s="17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17"/>
      <c r="C468" s="17"/>
      <c r="D468" s="17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44"/>
      <c r="C469" s="44"/>
      <c r="D469" s="44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44"/>
      <c r="C470" s="44"/>
      <c r="D470" s="44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3"/>
      <c r="C471" s="3"/>
      <c r="D471" s="3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3"/>
      <c r="C472" s="3"/>
      <c r="D472" s="3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"/>
      <c r="T472" s="6"/>
      <c r="U472" s="6"/>
      <c r="V472" s="6"/>
      <c r="W472" s="6"/>
      <c r="X472" s="6"/>
      <c r="Y472" s="6"/>
    </row>
    <row r="473" spans="1:25" outlineLevel="1">
      <c r="A473" s="17"/>
      <c r="B473" s="17"/>
      <c r="C473" s="17"/>
      <c r="D473" s="17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17"/>
      <c r="C474" s="17"/>
      <c r="D474" s="17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44"/>
      <c r="C484" s="44"/>
      <c r="D484" s="44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44"/>
      <c r="C485" s="44"/>
      <c r="D485" s="44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"/>
      <c r="T485" s="6"/>
      <c r="U485" s="6"/>
      <c r="V485" s="6"/>
      <c r="W485" s="6"/>
      <c r="X485" s="6"/>
      <c r="Y485" s="6"/>
    </row>
    <row r="486" spans="1:25" outlineLevel="1">
      <c r="A486" s="17"/>
      <c r="B486" s="17"/>
      <c r="C486" s="17"/>
      <c r="D486" s="17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"/>
      <c r="T486" s="6"/>
      <c r="U486" s="6"/>
      <c r="V486" s="6"/>
      <c r="W486" s="6"/>
      <c r="X486" s="6"/>
      <c r="Y486" s="6"/>
    </row>
    <row r="487" spans="1:25" outlineLevel="1">
      <c r="A487" s="6"/>
      <c r="B487" s="17"/>
      <c r="C487" s="17"/>
      <c r="D487" s="17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"/>
      <c r="T487" s="6"/>
      <c r="U487" s="6"/>
      <c r="V487" s="6"/>
      <c r="W487" s="6"/>
      <c r="X487" s="6"/>
      <c r="Y487" s="6"/>
    </row>
    <row r="488" spans="1:25" outlineLevel="1">
      <c r="A488" s="44"/>
      <c r="B488" s="44"/>
      <c r="C488" s="44"/>
      <c r="D488" s="44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"/>
      <c r="T488" s="6"/>
      <c r="U488" s="6"/>
      <c r="V488" s="6"/>
      <c r="W488" s="6"/>
      <c r="X488" s="6"/>
      <c r="Y488" s="6"/>
    </row>
    <row r="489" spans="1:25" outlineLevel="1">
      <c r="A489" s="17"/>
      <c r="B489" s="17"/>
      <c r="C489" s="17"/>
      <c r="D489" s="17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"/>
      <c r="T489" s="6"/>
      <c r="U489" s="6"/>
      <c r="V489" s="6"/>
      <c r="W489" s="6"/>
      <c r="X489" s="6"/>
      <c r="Y489" s="6"/>
    </row>
    <row r="490" spans="1:25" outlineLevel="1">
      <c r="A490" s="44"/>
      <c r="B490" s="46"/>
      <c r="C490" s="46"/>
      <c r="D490" s="46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43"/>
      <c r="C494" s="43"/>
      <c r="D494" s="43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"/>
      <c r="T498" s="6"/>
      <c r="U498" s="6"/>
      <c r="V498" s="6"/>
      <c r="W498" s="6"/>
      <c r="X498" s="6"/>
      <c r="Y498" s="6"/>
    </row>
    <row r="499" spans="1:25" outlineLevel="1">
      <c r="A499" s="6"/>
      <c r="B499" s="43"/>
      <c r="C499" s="43"/>
      <c r="D499" s="43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 spans="1:25" outlineLevel="1">
      <c r="A500" s="6"/>
      <c r="B500" s="62"/>
      <c r="C500" s="62"/>
      <c r="D500" s="43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 spans="1:25" outlineLevel="1">
      <c r="A501" s="6"/>
      <c r="B501" s="43"/>
      <c r="C501" s="43"/>
      <c r="D501" s="43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 spans="1:25" outlineLevel="1">
      <c r="A502" s="6"/>
      <c r="B502" s="43"/>
      <c r="C502" s="43"/>
      <c r="D502" s="43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 spans="1:25" outlineLevel="1">
      <c r="A503" s="6"/>
      <c r="B503" s="43"/>
      <c r="C503" s="43"/>
      <c r="D503" s="43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 spans="1:25" outlineLevel="1">
      <c r="A504" s="6"/>
      <c r="B504" s="43"/>
      <c r="C504" s="43"/>
      <c r="D504" s="43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 spans="1:25" outlineLevel="1">
      <c r="A505" s="17"/>
      <c r="B505" s="43"/>
      <c r="C505" s="43"/>
      <c r="D505" s="43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 spans="1:25" outlineLevel="1">
      <c r="A506" s="6"/>
      <c r="B506" s="43"/>
      <c r="C506" s="43"/>
      <c r="D506" s="43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 spans="1:25" outlineLevel="1">
      <c r="A507" s="6"/>
      <c r="B507" s="43"/>
      <c r="C507" s="43"/>
      <c r="D507" s="43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 spans="1:25" outlineLevel="1">
      <c r="A508" s="17"/>
      <c r="B508" s="43"/>
      <c r="C508" s="43"/>
      <c r="D508" s="43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 spans="1:25" outlineLevel="1">
      <c r="A509" s="17"/>
      <c r="B509" s="43"/>
      <c r="C509" s="43"/>
      <c r="D509" s="43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 spans="1:25" outlineLevel="1">
      <c r="A510" s="6"/>
      <c r="B510" s="43"/>
      <c r="C510" s="43"/>
      <c r="D510" s="43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 spans="1:25" outlineLevel="1">
      <c r="A511" s="6"/>
      <c r="B511" s="43"/>
      <c r="C511" s="43"/>
      <c r="D511" s="43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 spans="1:25" outlineLevel="1">
      <c r="A512" s="6"/>
      <c r="B512" s="43"/>
      <c r="C512" s="43"/>
      <c r="D512" s="43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 spans="1:25" outlineLevel="1">
      <c r="A513" s="6"/>
      <c r="B513" s="43"/>
      <c r="C513" s="43"/>
      <c r="D513" s="43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 spans="1:25" outlineLevel="1">
      <c r="A514" s="6"/>
      <c r="B514" s="43"/>
      <c r="C514" s="43"/>
      <c r="D514" s="43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 spans="1:25" outlineLevel="1">
      <c r="A515" s="6"/>
      <c r="B515" s="43"/>
      <c r="C515" s="43"/>
      <c r="D515" s="43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 spans="1:25" outlineLevel="1">
      <c r="A516" s="6"/>
      <c r="B516" s="43"/>
      <c r="C516" s="43"/>
      <c r="D516" s="43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 spans="1:25" outlineLevel="1">
      <c r="A517" s="6"/>
      <c r="B517" s="43"/>
      <c r="C517" s="43"/>
      <c r="D517" s="43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"/>
      <c r="T517" s="6"/>
      <c r="U517" s="6"/>
      <c r="V517" s="6"/>
      <c r="W517" s="6"/>
      <c r="X517" s="6"/>
      <c r="Y517" s="6"/>
    </row>
    <row r="518" spans="1:25" outlineLevel="1">
      <c r="A518" s="17"/>
      <c r="B518" s="43"/>
      <c r="C518" s="43"/>
      <c r="D518" s="43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63"/>
      <c r="F522" s="63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6"/>
      <c r="T522" s="6"/>
      <c r="U522" s="6"/>
      <c r="V522" s="6"/>
      <c r="W522" s="6"/>
      <c r="X522" s="6"/>
      <c r="Y522" s="6"/>
    </row>
    <row r="523" spans="1:25" outlineLevel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outlineLevel="1">
      <c r="A529" s="6"/>
      <c r="B529" s="6"/>
      <c r="C529" s="6"/>
      <c r="D529" s="6"/>
      <c r="E529" s="6"/>
      <c r="F529" s="6"/>
      <c r="G529" s="3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outlineLevel="1">
      <c r="A530" s="17"/>
      <c r="B530" s="6"/>
      <c r="C530" s="6"/>
      <c r="D530" s="6"/>
      <c r="E530" s="6"/>
      <c r="F530" s="6"/>
      <c r="G530" s="31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6"/>
      <c r="T530" s="6"/>
      <c r="U530" s="6"/>
      <c r="V530" s="6"/>
      <c r="W530" s="6"/>
      <c r="X530" s="6"/>
      <c r="Y530" s="6"/>
    </row>
    <row r="531" spans="1:25" outlineLevel="1">
      <c r="A531" s="6"/>
      <c r="B531" s="6"/>
      <c r="C531" s="6"/>
      <c r="D531" s="6"/>
      <c r="E531" s="6"/>
      <c r="F531" s="6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55"/>
      <c r="B535" s="6"/>
      <c r="C535" s="6"/>
      <c r="D535" s="6"/>
      <c r="E535" s="6"/>
      <c r="F535" s="6"/>
      <c r="G535" s="3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6"/>
      <c r="T535" s="6"/>
      <c r="U535" s="6"/>
      <c r="V535" s="6"/>
      <c r="W535" s="6"/>
      <c r="X535" s="6"/>
      <c r="Y535" s="6"/>
    </row>
    <row r="536" spans="1:25" outlineLevel="1">
      <c r="A536" s="55"/>
      <c r="B536" s="6"/>
      <c r="C536" s="6"/>
      <c r="D536" s="6"/>
      <c r="E536" s="6"/>
      <c r="F536" s="6"/>
      <c r="G536" s="3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6"/>
      <c r="T536" s="6"/>
      <c r="U536" s="6"/>
      <c r="V536" s="6"/>
      <c r="W536" s="6"/>
      <c r="X536" s="6"/>
      <c r="Y536" s="6"/>
    </row>
    <row r="537" spans="1:25" outlineLevel="1">
      <c r="A537" s="17"/>
      <c r="B537" s="6"/>
      <c r="C537" s="6"/>
      <c r="D537" s="6"/>
      <c r="E537" s="6"/>
      <c r="F537" s="6"/>
      <c r="G537" s="3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outlineLevel="1">
      <c r="A538" s="6"/>
      <c r="B538" s="6"/>
      <c r="C538" s="6"/>
      <c r="D538" s="63"/>
      <c r="E538" s="63"/>
      <c r="F538" s="63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3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17"/>
      <c r="B540" s="6"/>
      <c r="C540" s="6"/>
      <c r="D540" s="6"/>
      <c r="E540" s="6"/>
      <c r="F540" s="6"/>
      <c r="G540" s="31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6"/>
      <c r="T540" s="6"/>
      <c r="U540" s="6"/>
      <c r="V540" s="6"/>
      <c r="W540" s="6"/>
      <c r="X540" s="6"/>
      <c r="Y540" s="6"/>
    </row>
    <row r="541" spans="1:25" outlineLevel="1">
      <c r="A541" s="6"/>
      <c r="B541" s="65"/>
      <c r="C541" s="65"/>
      <c r="D541" s="6"/>
      <c r="E541" s="6"/>
      <c r="F541" s="6"/>
      <c r="G541" s="3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6"/>
      <c r="T541" s="6"/>
      <c r="U541" s="6"/>
      <c r="V541" s="6"/>
      <c r="W541" s="6"/>
      <c r="X541" s="6"/>
      <c r="Y541" s="6"/>
    </row>
    <row r="542" spans="1:25" outlineLevel="1">
      <c r="A542" s="17"/>
      <c r="B542" s="6"/>
      <c r="C542" s="6"/>
      <c r="D542" s="6"/>
      <c r="E542" s="6"/>
      <c r="F542" s="6"/>
      <c r="G542" s="3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outlineLevel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s="67" customFormat="1" outlineLevel="1">
      <c r="A545" s="66"/>
      <c r="B545" s="66"/>
      <c r="C545" s="66"/>
      <c r="D545" s="66"/>
      <c r="E545" s="66"/>
      <c r="F545" s="66"/>
      <c r="G545" s="66"/>
    </row>
    <row r="546" spans="1:25" s="67" customFormat="1" outlineLevel="1">
      <c r="A546" s="66"/>
      <c r="B546" s="66"/>
      <c r="C546" s="66"/>
      <c r="D546" s="66"/>
      <c r="E546" s="66"/>
      <c r="F546" s="68"/>
      <c r="G546" s="69"/>
      <c r="H546" s="66"/>
      <c r="I546" s="70"/>
    </row>
    <row r="547" spans="1:25" s="67" customFormat="1" outlineLevel="1">
      <c r="A547" s="66"/>
      <c r="B547" s="69"/>
      <c r="C547" s="69"/>
      <c r="D547" s="69"/>
      <c r="E547" s="69"/>
      <c r="F547" s="71"/>
      <c r="G547" s="47"/>
      <c r="H547" s="47"/>
      <c r="I547" s="70"/>
    </row>
    <row r="548" spans="1:25" s="67" customFormat="1" outlineLevel="1">
      <c r="A548" s="66"/>
      <c r="B548" s="47"/>
      <c r="C548" s="47"/>
      <c r="D548" s="47"/>
      <c r="E548" s="47"/>
      <c r="F548" s="47"/>
      <c r="G548" s="70"/>
      <c r="H548" s="47"/>
      <c r="I548" s="71"/>
    </row>
    <row r="549" spans="1:25" s="67" customFormat="1" outlineLevel="1">
      <c r="A549" s="72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 spans="1:25" s="67" customFormat="1" outlineLevel="1">
      <c r="A550" s="40"/>
      <c r="B550" s="66"/>
      <c r="C550" s="66"/>
      <c r="D550" s="66"/>
      <c r="E550" s="66"/>
      <c r="F550" s="66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s="67" customFormat="1" outlineLevel="1">
      <c r="A551" s="39"/>
      <c r="B551" s="66"/>
      <c r="C551" s="66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74"/>
      <c r="C552" s="74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75"/>
      <c r="C553" s="75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8"/>
      <c r="B554" s="72"/>
      <c r="C554" s="72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27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40"/>
      <c r="B556" s="66"/>
      <c r="C556" s="66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76"/>
      <c r="B557" s="77"/>
      <c r="C557" s="7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42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8"/>
      <c r="C567" s="78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40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39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39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40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41"/>
      <c r="B575" s="77"/>
      <c r="C575" s="7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 spans="1:25" s="67" customFormat="1" outlineLevel="1">
      <c r="A576" s="39"/>
      <c r="B576" s="80"/>
      <c r="C576" s="80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ht="13.9" customHeight="1" outlineLevel="1">
      <c r="A577" s="38"/>
      <c r="B577" s="80"/>
      <c r="C577" s="80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outlineLevel="1">
      <c r="A578" s="39"/>
      <c r="B578" s="74"/>
      <c r="C578" s="74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8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81"/>
      <c r="C581" s="81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81"/>
      <c r="C582" s="81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81"/>
      <c r="C583" s="81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40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40"/>
      <c r="B585" s="66"/>
      <c r="C585" s="66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39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41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41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41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82"/>
      <c r="C592" s="8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41"/>
      <c r="B593" s="82"/>
      <c r="C593" s="8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8"/>
      <c r="B594" s="80"/>
      <c r="C594" s="80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40"/>
      <c r="B595" s="66"/>
      <c r="C595" s="66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80"/>
      <c r="C598" s="80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outlineLevel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83"/>
      <c r="B606" s="6"/>
      <c r="C606" s="6"/>
      <c r="D606" s="6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3"/>
      <c r="B608" s="3"/>
      <c r="C608" s="3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idden="1" outlineLevel="2">
      <c r="A609" s="1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44"/>
      <c r="B610" s="6"/>
      <c r="C610" s="6"/>
      <c r="D610" s="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8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6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17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44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6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44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6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17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44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outlineLevel="1" collapsed="1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6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6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17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>
      <c r="A643" s="6"/>
      <c r="B643" s="6"/>
      <c r="C643" s="6"/>
      <c r="D643" s="6"/>
      <c r="E643" s="6"/>
      <c r="F643" s="6"/>
      <c r="G643" s="6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D856"/>
  <sheetViews>
    <sheetView zoomScale="75" zoomScaleNormal="75" workbookViewId="0">
      <selection activeCell="C18" sqref="C18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99</v>
      </c>
      <c r="C1" s="418">
        <v>22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>
        <f>[18]Financials!H$11</f>
        <v>2118.4114910989865</v>
      </c>
      <c r="F10" s="163">
        <f>[18]Financials!I$11</f>
        <v>2942.2381820819255</v>
      </c>
      <c r="G10" s="163">
        <f>[18]Financials!J$11</f>
        <v>2942.2381820819255</v>
      </c>
      <c r="H10" s="163">
        <f>[18]Financials!K$11</f>
        <v>2942.2381820819255</v>
      </c>
      <c r="I10" s="163">
        <f>[18]Financials!L$11</f>
        <v>2942.2381820819255</v>
      </c>
      <c r="J10" s="163">
        <f>[18]Financials!M$11</f>
        <v>2942.2381820819255</v>
      </c>
      <c r="K10" s="163">
        <f>[18]Financials!N$11</f>
        <v>2942.2381820819255</v>
      </c>
      <c r="L10" s="163">
        <f>[18]Financials!O$11</f>
        <v>2942.2381820819255</v>
      </c>
      <c r="M10" s="163">
        <f>[18]Financials!P$11</f>
        <v>2942.2381820819255</v>
      </c>
      <c r="N10" s="163">
        <f>[18]Financials!Q$11</f>
        <v>2942.2381820819255</v>
      </c>
      <c r="O10" s="163">
        <f>[18]Financials!R$11</f>
        <v>2942.2381820819255</v>
      </c>
      <c r="P10" s="163">
        <f>[18]Financials!S$11</f>
        <v>2942.2381820819255</v>
      </c>
      <c r="Q10" s="163">
        <f>[18]Financials!T$11</f>
        <v>2942.2381820819255</v>
      </c>
      <c r="R10" s="163">
        <f>[18]Financials!U$11</f>
        <v>2942.2381820819255</v>
      </c>
      <c r="S10" s="163">
        <f>[18]Financials!V$11</f>
        <v>2942.2381820819255</v>
      </c>
      <c r="T10" s="163">
        <f>[18]Financials!W$11</f>
        <v>2942.2381820819255</v>
      </c>
      <c r="U10" s="163">
        <f>[18]Financials!X$11</f>
        <v>2942.2381820819255</v>
      </c>
      <c r="V10" s="163">
        <f>[18]Financials!Y$11</f>
        <v>2942.2381820819255</v>
      </c>
      <c r="W10" s="163">
        <f>[18]Financials!Z$11</f>
        <v>2942.2381820819255</v>
      </c>
      <c r="X10" s="163">
        <f>[18]Financials!AA$11</f>
        <v>2942.2381820819255</v>
      </c>
      <c r="Y10" s="163">
        <f>[18]Financials!AB$11</f>
        <v>0</v>
      </c>
      <c r="AA10" s="355">
        <f t="shared" ref="AA10:AA38" si="1">SUM(F10:Y10)</f>
        <v>55902.5254595566</v>
      </c>
      <c r="AB10" s="356">
        <f>AA10*$C$60</f>
        <v>27951.2627297783</v>
      </c>
    </row>
    <row r="11" spans="1:28">
      <c r="A11" s="4" t="s">
        <v>8</v>
      </c>
      <c r="B11" s="9"/>
      <c r="C11" s="9"/>
      <c r="D11" s="86">
        <v>1</v>
      </c>
      <c r="E11" s="163">
        <f>[18]Financials!H$10</f>
        <v>1968.1034151492802</v>
      </c>
      <c r="F11" s="163">
        <f>[18]Financials!I$10</f>
        <v>2821.6059986958726</v>
      </c>
      <c r="G11" s="163">
        <f>[18]Financials!J$10</f>
        <v>2893.6673400081454</v>
      </c>
      <c r="H11" s="163">
        <f>[18]Financials!K$10</f>
        <v>3024.6332678715535</v>
      </c>
      <c r="I11" s="163">
        <f>[18]Financials!L$10</f>
        <v>3130.1794909550044</v>
      </c>
      <c r="J11" s="163">
        <f>[18]Financials!M$10</f>
        <v>3276.5028044477385</v>
      </c>
      <c r="K11" s="163">
        <f>[18]Financials!N$10</f>
        <v>3409.7418824920778</v>
      </c>
      <c r="L11" s="163">
        <f>[18]Financials!O$10</f>
        <v>3547.6758216808621</v>
      </c>
      <c r="M11" s="163">
        <f>[18]Financials!P$10</f>
        <v>3726.4028818467368</v>
      </c>
      <c r="N11" s="163">
        <f>[18]Financials!Q$10</f>
        <v>3858.6492669020272</v>
      </c>
      <c r="O11" s="163">
        <f>[18]Financials!R$10</f>
        <v>3996.2565938131265</v>
      </c>
      <c r="P11" s="163">
        <f>[18]Financials!S$10</f>
        <v>4137.4999511861133</v>
      </c>
      <c r="Q11" s="163">
        <f>[18]Financials!T$10</f>
        <v>4342.9021080755738</v>
      </c>
      <c r="R11" s="163">
        <f>[18]Financials!U$10</f>
        <v>4445.3798365067851</v>
      </c>
      <c r="S11" s="163">
        <f>[18]Financials!V$10</f>
        <v>4551.062582422328</v>
      </c>
      <c r="T11" s="163">
        <f>[18]Financials!W$10</f>
        <v>4658.034894260205</v>
      </c>
      <c r="U11" s="163">
        <f>[18]Financials!X$10</f>
        <v>4768.1421270123392</v>
      </c>
      <c r="V11" s="163">
        <f>[18]Financials!Y$10</f>
        <v>4906.418248695697</v>
      </c>
      <c r="W11" s="163">
        <f>[18]Financials!Z$10</f>
        <v>5048.7043779078722</v>
      </c>
      <c r="X11" s="163">
        <f>[18]Financials!AA$10</f>
        <v>5195.1168048671989</v>
      </c>
      <c r="Y11" s="163">
        <f>[18]Financials!AB$10</f>
        <v>0</v>
      </c>
      <c r="AA11" s="355">
        <f t="shared" si="1"/>
        <v>75738.57627964727</v>
      </c>
      <c r="AB11" s="356">
        <f t="shared" ref="AB11:AB74" si="2">AA11*$C$60</f>
        <v>37869.288139823635</v>
      </c>
    </row>
    <row r="12" spans="1:28">
      <c r="A12" s="4" t="s">
        <v>9</v>
      </c>
      <c r="B12" s="9"/>
      <c r="C12" s="9"/>
      <c r="D12" s="86">
        <v>1</v>
      </c>
      <c r="E12" s="163">
        <f>[18]Financials!H$13</f>
        <v>422.4384</v>
      </c>
      <c r="F12" s="163">
        <f>[18]Financials!I$13</f>
        <v>433.714</v>
      </c>
      <c r="G12" s="163">
        <f>[18]Financials!J$13</f>
        <v>0</v>
      </c>
      <c r="H12" s="163">
        <f>[18]Financials!K$13</f>
        <v>0</v>
      </c>
      <c r="I12" s="163">
        <f>[18]Financials!L$13</f>
        <v>0</v>
      </c>
      <c r="J12" s="163">
        <f>[18]Financials!M$13</f>
        <v>0</v>
      </c>
      <c r="K12" s="163">
        <f>[18]Financials!N$13</f>
        <v>0</v>
      </c>
      <c r="L12" s="163">
        <f>[18]Financials!O$13</f>
        <v>0</v>
      </c>
      <c r="M12" s="163">
        <f>[18]Financials!P$13</f>
        <v>0</v>
      </c>
      <c r="N12" s="163">
        <f>[18]Financials!Q$13</f>
        <v>0</v>
      </c>
      <c r="O12" s="163">
        <f>[18]Financials!R$13</f>
        <v>0</v>
      </c>
      <c r="P12" s="163">
        <f>[18]Financials!S$13</f>
        <v>0</v>
      </c>
      <c r="Q12" s="163">
        <f>[18]Financials!T$13</f>
        <v>0</v>
      </c>
      <c r="R12" s="163">
        <f>[18]Financials!U$13</f>
        <v>0</v>
      </c>
      <c r="S12" s="163">
        <f>[18]Financials!V$13</f>
        <v>0</v>
      </c>
      <c r="T12" s="163">
        <f>[18]Financials!W$13</f>
        <v>0</v>
      </c>
      <c r="U12" s="163">
        <f>[18]Financials!X$13</f>
        <v>0</v>
      </c>
      <c r="V12" s="163">
        <f>[18]Financials!Y$13</f>
        <v>0</v>
      </c>
      <c r="W12" s="163">
        <f>[18]Financials!Z$13</f>
        <v>0</v>
      </c>
      <c r="X12" s="163">
        <f>[18]Financials!AA$13</f>
        <v>0</v>
      </c>
      <c r="Y12" s="163">
        <f>[18]Financials!AB$13</f>
        <v>0</v>
      </c>
      <c r="AA12" s="355">
        <f t="shared" si="1"/>
        <v>433.714</v>
      </c>
      <c r="AB12" s="356">
        <f t="shared" si="2"/>
        <v>216.857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4508.9533062482669</v>
      </c>
      <c r="F20" s="86">
        <f t="shared" si="3"/>
        <v>6197.558180777798</v>
      </c>
      <c r="G20" s="86">
        <f t="shared" si="3"/>
        <v>5835.9055220900709</v>
      </c>
      <c r="H20" s="86">
        <f t="shared" si="3"/>
        <v>5966.871449953479</v>
      </c>
      <c r="I20" s="86">
        <f t="shared" si="3"/>
        <v>6072.41767303693</v>
      </c>
      <c r="J20" s="86">
        <f t="shared" si="3"/>
        <v>6218.740986529664</v>
      </c>
      <c r="K20" s="86">
        <f t="shared" si="3"/>
        <v>6351.9800645740033</v>
      </c>
      <c r="L20" s="86">
        <f t="shared" si="3"/>
        <v>6489.9140037627876</v>
      </c>
      <c r="M20" s="86">
        <f t="shared" si="3"/>
        <v>6668.6410639286623</v>
      </c>
      <c r="N20" s="86">
        <f t="shared" si="3"/>
        <v>6800.8874489839527</v>
      </c>
      <c r="O20" s="86">
        <f t="shared" si="3"/>
        <v>6938.494775895052</v>
      </c>
      <c r="P20" s="86">
        <f t="shared" si="3"/>
        <v>7079.7381332680388</v>
      </c>
      <c r="Q20" s="86">
        <f t="shared" si="3"/>
        <v>7285.1402901574993</v>
      </c>
      <c r="R20" s="86">
        <f t="shared" si="3"/>
        <v>7387.6180185887106</v>
      </c>
      <c r="S20" s="86">
        <f t="shared" si="3"/>
        <v>7493.3007645042535</v>
      </c>
      <c r="T20" s="86">
        <f t="shared" si="3"/>
        <v>7600.2730763421305</v>
      </c>
      <c r="U20" s="86">
        <f t="shared" si="3"/>
        <v>7710.3803090942647</v>
      </c>
      <c r="V20" s="86">
        <f t="shared" si="3"/>
        <v>7848.6564307776225</v>
      </c>
      <c r="W20" s="86">
        <f t="shared" si="3"/>
        <v>7990.9425599897977</v>
      </c>
      <c r="X20" s="86">
        <f t="shared" si="3"/>
        <v>8137.3549869491244</v>
      </c>
      <c r="Y20" s="86">
        <f t="shared" si="3"/>
        <v>0</v>
      </c>
      <c r="AA20" s="355">
        <f t="shared" si="1"/>
        <v>132074.81573920383</v>
      </c>
      <c r="AB20" s="356">
        <f t="shared" si="2"/>
        <v>66037.407869601913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117.22169244667435</v>
      </c>
      <c r="F23" s="417">
        <f>F25/$C$1</f>
        <v>172.28888486091429</v>
      </c>
      <c r="G23" s="417">
        <f>G25/$C$1</f>
        <v>174.17125121699902</v>
      </c>
      <c r="H23" s="417">
        <f>H25/$C$1</f>
        <v>178.33835131109501</v>
      </c>
      <c r="I23" s="417">
        <f t="shared" ref="I23:Y23" si="4">I25/$C$1</f>
        <v>182.48984088920631</v>
      </c>
      <c r="J23" s="417">
        <f t="shared" si="4"/>
        <v>186.89627700882301</v>
      </c>
      <c r="K23" s="417">
        <f t="shared" si="4"/>
        <v>191.39763353710379</v>
      </c>
      <c r="L23" s="417">
        <f t="shared" si="4"/>
        <v>196.04341395676147</v>
      </c>
      <c r="M23" s="417">
        <f t="shared" si="4"/>
        <v>201.04080755177446</v>
      </c>
      <c r="N23" s="417">
        <f t="shared" si="4"/>
        <v>205.99970551175903</v>
      </c>
      <c r="O23" s="417">
        <f t="shared" si="4"/>
        <v>211.15780106903813</v>
      </c>
      <c r="P23" s="417">
        <f t="shared" si="4"/>
        <v>216.52300242570439</v>
      </c>
      <c r="Q23" s="417">
        <f t="shared" si="4"/>
        <v>222.40848771683702</v>
      </c>
      <c r="R23" s="417">
        <f t="shared" si="4"/>
        <v>228.08044112949653</v>
      </c>
      <c r="S23" s="417">
        <f t="shared" si="4"/>
        <v>234.02283571210808</v>
      </c>
      <c r="T23" s="417">
        <f t="shared" si="4"/>
        <v>240.2561970809152</v>
      </c>
      <c r="U23" s="417">
        <f t="shared" si="4"/>
        <v>246.82244783330734</v>
      </c>
      <c r="V23" s="417">
        <f t="shared" si="4"/>
        <v>248.58025900672882</v>
      </c>
      <c r="W23" s="417">
        <f t="shared" si="4"/>
        <v>250.38772852236144</v>
      </c>
      <c r="X23" s="417">
        <f t="shared" si="4"/>
        <v>252.24629647212907</v>
      </c>
      <c r="Y23" s="417">
        <f t="shared" si="4"/>
        <v>0</v>
      </c>
      <c r="AA23" s="355">
        <f t="shared" si="1"/>
        <v>4039.1516628130626</v>
      </c>
      <c r="AB23" s="356">
        <f t="shared" si="2"/>
        <v>2019.5758314065313</v>
      </c>
    </row>
    <row r="24" spans="1:28">
      <c r="A24" s="4" t="s">
        <v>36</v>
      </c>
      <c r="D24" s="86">
        <v>0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[18]Financials!H$29</f>
        <v>2578.8772338268359</v>
      </c>
      <c r="F25" s="163">
        <f>[18]Financials!I$29</f>
        <v>3790.3554669401146</v>
      </c>
      <c r="G25" s="163">
        <f>[18]Financials!J$29</f>
        <v>3831.7675267739783</v>
      </c>
      <c r="H25" s="163">
        <f>[18]Financials!K$29</f>
        <v>3923.4437288440904</v>
      </c>
      <c r="I25" s="163">
        <f>[18]Financials!L$29</f>
        <v>4014.7764995625389</v>
      </c>
      <c r="J25" s="163">
        <f>[18]Financials!M$29</f>
        <v>4111.718094194106</v>
      </c>
      <c r="K25" s="163">
        <f>[18]Financials!N$29</f>
        <v>4210.7479378162834</v>
      </c>
      <c r="L25" s="163">
        <f>[18]Financials!O$29</f>
        <v>4312.9551070487523</v>
      </c>
      <c r="M25" s="163">
        <f>[18]Financials!P$29</f>
        <v>4422.8977661390381</v>
      </c>
      <c r="N25" s="163">
        <f>[18]Financials!Q$29</f>
        <v>4531.9935212586988</v>
      </c>
      <c r="O25" s="163">
        <f>[18]Financials!R$29</f>
        <v>4645.4716235188389</v>
      </c>
      <c r="P25" s="163">
        <f>[18]Financials!S$29</f>
        <v>4763.5060533654969</v>
      </c>
      <c r="Q25" s="163">
        <f>[18]Financials!T$29</f>
        <v>4892.9867297704141</v>
      </c>
      <c r="R25" s="163">
        <f>[18]Financials!U$29</f>
        <v>5017.7697048489235</v>
      </c>
      <c r="S25" s="163">
        <f>[18]Financials!V$29</f>
        <v>5148.5023856663774</v>
      </c>
      <c r="T25" s="163">
        <f>[18]Financials!W$29</f>
        <v>5285.6363357801347</v>
      </c>
      <c r="U25" s="163">
        <f>[18]Financials!X$29</f>
        <v>5430.0938523327613</v>
      </c>
      <c r="V25" s="163">
        <f>[18]Financials!Y$29</f>
        <v>5468.7656981480341</v>
      </c>
      <c r="W25" s="163">
        <f>[18]Financials!Z$29</f>
        <v>5508.5300274919518</v>
      </c>
      <c r="X25" s="163">
        <f>[18]Financials!AA$29</f>
        <v>5549.4185223868399</v>
      </c>
      <c r="Y25" s="163">
        <f>[18]Financials!AB$29</f>
        <v>0</v>
      </c>
      <c r="AA25" s="355">
        <f t="shared" si="1"/>
        <v>88861.336581887386</v>
      </c>
      <c r="AB25" s="356">
        <f t="shared" si="2"/>
        <v>44430.668290943693</v>
      </c>
    </row>
    <row r="26" spans="1:28">
      <c r="A26" s="4" t="s">
        <v>16</v>
      </c>
      <c r="D26" s="86">
        <v>0</v>
      </c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AA28" s="355">
        <f t="shared" si="1"/>
        <v>0</v>
      </c>
      <c r="AB28" s="356">
        <f t="shared" si="2"/>
        <v>0</v>
      </c>
    </row>
    <row r="29" spans="1:28">
      <c r="A29" s="4" t="s">
        <v>3</v>
      </c>
      <c r="D29" s="86">
        <v>0</v>
      </c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AA29" s="355">
        <f t="shared" si="1"/>
        <v>0</v>
      </c>
      <c r="AB29" s="356">
        <f t="shared" si="2"/>
        <v>0</v>
      </c>
    </row>
    <row r="30" spans="1:28">
      <c r="A30" s="4" t="s">
        <v>38</v>
      </c>
      <c r="D30" s="86">
        <v>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86">
        <v>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AA31" s="355">
        <f t="shared" si="1"/>
        <v>0</v>
      </c>
      <c r="AB31" s="356">
        <f t="shared" si="2"/>
        <v>0</v>
      </c>
    </row>
    <row r="32" spans="1:28">
      <c r="A32" s="4" t="s">
        <v>34</v>
      </c>
      <c r="D32" s="86">
        <v>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AA34" s="355">
        <f t="shared" si="1"/>
        <v>0</v>
      </c>
      <c r="AB34" s="356">
        <f t="shared" si="2"/>
        <v>0</v>
      </c>
    </row>
    <row r="35" spans="1:28">
      <c r="A35" s="4" t="s">
        <v>19</v>
      </c>
      <c r="B35" s="6"/>
      <c r="C35" s="6"/>
      <c r="D35" s="87">
        <v>0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2578.8772338268359</v>
      </c>
      <c r="F36" s="86">
        <f t="shared" si="5"/>
        <v>3790.3554669401146</v>
      </c>
      <c r="G36" s="86">
        <f t="shared" si="5"/>
        <v>3831.7675267739783</v>
      </c>
      <c r="H36" s="86">
        <f t="shared" si="5"/>
        <v>3923.4437288440904</v>
      </c>
      <c r="I36" s="86">
        <f t="shared" si="5"/>
        <v>4014.7764995625389</v>
      </c>
      <c r="J36" s="86">
        <f t="shared" si="5"/>
        <v>4111.718094194106</v>
      </c>
      <c r="K36" s="86">
        <f t="shared" si="5"/>
        <v>4210.7479378162834</v>
      </c>
      <c r="L36" s="86">
        <f t="shared" si="5"/>
        <v>4312.9551070487523</v>
      </c>
      <c r="M36" s="86">
        <f t="shared" si="5"/>
        <v>4422.8977661390381</v>
      </c>
      <c r="N36" s="86">
        <f t="shared" si="5"/>
        <v>4531.9935212586988</v>
      </c>
      <c r="O36" s="86">
        <f t="shared" si="5"/>
        <v>4645.4716235188389</v>
      </c>
      <c r="P36" s="86">
        <f t="shared" si="5"/>
        <v>4763.5060533654969</v>
      </c>
      <c r="Q36" s="86">
        <f t="shared" si="5"/>
        <v>4892.9867297704141</v>
      </c>
      <c r="R36" s="86">
        <f t="shared" si="5"/>
        <v>5017.7697048489235</v>
      </c>
      <c r="S36" s="86">
        <f t="shared" si="5"/>
        <v>5148.5023856663774</v>
      </c>
      <c r="T36" s="86">
        <f t="shared" si="5"/>
        <v>5285.6363357801347</v>
      </c>
      <c r="U36" s="86">
        <f t="shared" si="5"/>
        <v>5430.0938523327613</v>
      </c>
      <c r="V36" s="86">
        <f t="shared" si="5"/>
        <v>5468.7656981480341</v>
      </c>
      <c r="W36" s="86">
        <f t="shared" si="5"/>
        <v>5508.5300274919518</v>
      </c>
      <c r="X36" s="86">
        <f t="shared" si="5"/>
        <v>5549.4185223868399</v>
      </c>
      <c r="Y36" s="86">
        <f t="shared" si="5"/>
        <v>0</v>
      </c>
      <c r="AA36" s="355">
        <f t="shared" si="1"/>
        <v>88861.336581887386</v>
      </c>
      <c r="AB36" s="356">
        <f t="shared" si="2"/>
        <v>44430.668290943693</v>
      </c>
    </row>
    <row r="37" spans="1:28" outlineLevel="1">
      <c r="A37" s="4"/>
      <c r="B37" s="92"/>
      <c r="C37" s="92"/>
      <c r="D37" s="86"/>
      <c r="E37" s="416">
        <f>E36/E20</f>
        <v>0.57194587272686226</v>
      </c>
      <c r="F37" s="416">
        <f t="shared" ref="F37:Y37" si="6">F36/F20</f>
        <v>0.61158852508979955</v>
      </c>
      <c r="G37" s="416">
        <f t="shared" si="6"/>
        <v>0.65658491424680732</v>
      </c>
      <c r="H37" s="416">
        <f t="shared" si="6"/>
        <v>0.65753783398076726</v>
      </c>
      <c r="I37" s="416">
        <f t="shared" si="6"/>
        <v>0.66114959736533963</v>
      </c>
      <c r="J37" s="416">
        <f t="shared" si="6"/>
        <v>0.66118175738472573</v>
      </c>
      <c r="K37" s="416">
        <f t="shared" si="6"/>
        <v>0.66290320419931581</v>
      </c>
      <c r="L37" s="416">
        <f t="shared" si="6"/>
        <v>0.66456275145528032</v>
      </c>
      <c r="M37" s="416">
        <f t="shared" si="6"/>
        <v>0.66323824055592506</v>
      </c>
      <c r="N37" s="416">
        <f t="shared" si="6"/>
        <v>0.6663826677407777</v>
      </c>
      <c r="O37" s="416">
        <f t="shared" si="6"/>
        <v>0.6695215278762795</v>
      </c>
      <c r="P37" s="416">
        <f t="shared" si="6"/>
        <v>0.67283647554441972</v>
      </c>
      <c r="Q37" s="416">
        <f t="shared" si="6"/>
        <v>0.67163932812399296</v>
      </c>
      <c r="R37" s="416">
        <f t="shared" si="6"/>
        <v>0.67921347479298755</v>
      </c>
      <c r="S37" s="416">
        <f t="shared" si="6"/>
        <v>0.68708070681679023</v>
      </c>
      <c r="T37" s="416">
        <f t="shared" si="6"/>
        <v>0.69545347682744219</v>
      </c>
      <c r="U37" s="416">
        <f t="shared" si="6"/>
        <v>0.70425758972330543</v>
      </c>
      <c r="V37" s="416">
        <f t="shared" si="6"/>
        <v>0.69677730785907321</v>
      </c>
      <c r="W37" s="416">
        <f t="shared" si="6"/>
        <v>0.68934671800456349</v>
      </c>
      <c r="X37" s="416">
        <f t="shared" si="6"/>
        <v>0.68196834613791879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1930.076072421431</v>
      </c>
      <c r="F39" s="89">
        <f t="shared" si="7"/>
        <v>2407.2027138376834</v>
      </c>
      <c r="G39" s="89">
        <f t="shared" si="7"/>
        <v>2004.1379953160927</v>
      </c>
      <c r="H39" s="89">
        <f t="shared" si="7"/>
        <v>2043.4277211093886</v>
      </c>
      <c r="I39" s="89">
        <f t="shared" si="7"/>
        <v>2057.6411734743911</v>
      </c>
      <c r="J39" s="89">
        <f t="shared" si="7"/>
        <v>2107.022892335558</v>
      </c>
      <c r="K39" s="89">
        <f t="shared" si="7"/>
        <v>2141.2321267577199</v>
      </c>
      <c r="L39" s="89">
        <f t="shared" si="7"/>
        <v>2176.9588967140353</v>
      </c>
      <c r="M39" s="89">
        <f t="shared" si="7"/>
        <v>2245.7432977896242</v>
      </c>
      <c r="N39" s="89">
        <f t="shared" si="7"/>
        <v>2268.8939277252539</v>
      </c>
      <c r="O39" s="89">
        <f t="shared" si="7"/>
        <v>2293.0231523762131</v>
      </c>
      <c r="P39" s="89">
        <f t="shared" si="7"/>
        <v>2316.232079902542</v>
      </c>
      <c r="Q39" s="89">
        <f t="shared" si="7"/>
        <v>2392.1535603870852</v>
      </c>
      <c r="R39" s="89">
        <f t="shared" si="7"/>
        <v>2369.848313739787</v>
      </c>
      <c r="S39" s="89">
        <f t="shared" si="7"/>
        <v>2344.798378837876</v>
      </c>
      <c r="T39" s="89">
        <f t="shared" si="7"/>
        <v>2314.6367405619958</v>
      </c>
      <c r="U39" s="89">
        <f t="shared" si="7"/>
        <v>2280.2864567615034</v>
      </c>
      <c r="V39" s="89">
        <f t="shared" si="7"/>
        <v>2379.8907326295885</v>
      </c>
      <c r="W39" s="89">
        <f t="shared" si="7"/>
        <v>2482.4125324978459</v>
      </c>
      <c r="X39" s="89">
        <f t="shared" si="7"/>
        <v>2587.9364645622845</v>
      </c>
      <c r="Y39" s="89">
        <f t="shared" si="7"/>
        <v>0</v>
      </c>
      <c r="AA39" s="355">
        <f>SUM(F39:Y39)</f>
        <v>43213.479157316469</v>
      </c>
      <c r="AB39" s="356">
        <f t="shared" si="2"/>
        <v>21606.739578658235</v>
      </c>
    </row>
    <row r="40" spans="1:28" s="17" customFormat="1">
      <c r="A40" s="1"/>
      <c r="B40" s="1"/>
      <c r="C40" s="1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673</v>
      </c>
      <c r="G41" s="86">
        <f t="shared" ref="G41:Y41" si="9">+G109</f>
        <v>673</v>
      </c>
      <c r="H41" s="86">
        <f t="shared" si="9"/>
        <v>673</v>
      </c>
      <c r="I41" s="86">
        <f t="shared" si="9"/>
        <v>673</v>
      </c>
      <c r="J41" s="86">
        <f t="shared" si="9"/>
        <v>673</v>
      </c>
      <c r="K41" s="86">
        <f t="shared" si="9"/>
        <v>673</v>
      </c>
      <c r="L41" s="86">
        <f t="shared" si="9"/>
        <v>673</v>
      </c>
      <c r="M41" s="86">
        <f t="shared" si="9"/>
        <v>673</v>
      </c>
      <c r="N41" s="86">
        <f t="shared" si="9"/>
        <v>673</v>
      </c>
      <c r="O41" s="86">
        <f t="shared" si="9"/>
        <v>673</v>
      </c>
      <c r="P41" s="86">
        <f t="shared" si="9"/>
        <v>673</v>
      </c>
      <c r="Q41" s="86">
        <f t="shared" si="9"/>
        <v>673</v>
      </c>
      <c r="R41" s="86">
        <f t="shared" si="9"/>
        <v>673</v>
      </c>
      <c r="S41" s="86">
        <f t="shared" si="9"/>
        <v>673</v>
      </c>
      <c r="T41" s="86">
        <f t="shared" si="9"/>
        <v>673</v>
      </c>
      <c r="U41" s="86">
        <f t="shared" si="9"/>
        <v>673</v>
      </c>
      <c r="V41" s="86">
        <f t="shared" si="9"/>
        <v>673</v>
      </c>
      <c r="W41" s="86">
        <f t="shared" si="9"/>
        <v>673</v>
      </c>
      <c r="X41" s="86">
        <f t="shared" si="9"/>
        <v>673</v>
      </c>
      <c r="Y41" s="86">
        <f t="shared" si="9"/>
        <v>0</v>
      </c>
      <c r="AA41" s="355">
        <f t="shared" si="8"/>
        <v>12787</v>
      </c>
      <c r="AB41" s="356">
        <f t="shared" si="2"/>
        <v>6393.5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1930.076072421431</v>
      </c>
      <c r="F44" s="89">
        <f t="shared" si="10"/>
        <v>1734.2027138376834</v>
      </c>
      <c r="G44" s="89">
        <f t="shared" si="10"/>
        <v>1331.1379953160927</v>
      </c>
      <c r="H44" s="89">
        <f t="shared" si="10"/>
        <v>1370.4277211093886</v>
      </c>
      <c r="I44" s="89">
        <f t="shared" si="10"/>
        <v>1384.6411734743911</v>
      </c>
      <c r="J44" s="89">
        <f t="shared" si="10"/>
        <v>1434.022892335558</v>
      </c>
      <c r="K44" s="89">
        <f t="shared" si="10"/>
        <v>1468.2321267577199</v>
      </c>
      <c r="L44" s="89">
        <f t="shared" si="10"/>
        <v>1503.9588967140353</v>
      </c>
      <c r="M44" s="89">
        <f t="shared" si="10"/>
        <v>1572.7432977896242</v>
      </c>
      <c r="N44" s="89">
        <f t="shared" si="10"/>
        <v>1595.8939277252539</v>
      </c>
      <c r="O44" s="89">
        <f t="shared" si="10"/>
        <v>1620.0231523762131</v>
      </c>
      <c r="P44" s="89">
        <f t="shared" si="10"/>
        <v>1643.232079902542</v>
      </c>
      <c r="Q44" s="89">
        <f t="shared" si="10"/>
        <v>1719.1535603870852</v>
      </c>
      <c r="R44" s="89">
        <f t="shared" si="10"/>
        <v>1696.848313739787</v>
      </c>
      <c r="S44" s="89">
        <f t="shared" si="10"/>
        <v>1671.798378837876</v>
      </c>
      <c r="T44" s="89">
        <f t="shared" si="10"/>
        <v>1641.6367405619958</v>
      </c>
      <c r="U44" s="89">
        <f t="shared" si="10"/>
        <v>1607.2864567615034</v>
      </c>
      <c r="V44" s="89">
        <f t="shared" si="10"/>
        <v>1706.8907326295885</v>
      </c>
      <c r="W44" s="89">
        <f t="shared" si="10"/>
        <v>1809.4125324978459</v>
      </c>
      <c r="X44" s="89">
        <f t="shared" si="10"/>
        <v>1914.9364645622845</v>
      </c>
      <c r="Y44" s="89">
        <f t="shared" si="10"/>
        <v>0</v>
      </c>
      <c r="AA44" s="355">
        <f t="shared" si="8"/>
        <v>30426.479157316469</v>
      </c>
      <c r="AB44" s="356">
        <f t="shared" si="2"/>
        <v>15213.239578658235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1930.076072421431</v>
      </c>
      <c r="F49" s="89">
        <f t="shared" si="11"/>
        <v>1734.2027138376834</v>
      </c>
      <c r="G49" s="89">
        <f t="shared" si="11"/>
        <v>1331.1379953160927</v>
      </c>
      <c r="H49" s="89">
        <f t="shared" si="11"/>
        <v>1370.4277211093886</v>
      </c>
      <c r="I49" s="89">
        <f t="shared" si="11"/>
        <v>1384.6411734743911</v>
      </c>
      <c r="J49" s="89">
        <f t="shared" si="11"/>
        <v>1434.022892335558</v>
      </c>
      <c r="K49" s="89">
        <f t="shared" si="11"/>
        <v>1468.2321267577199</v>
      </c>
      <c r="L49" s="89">
        <f t="shared" si="11"/>
        <v>1503.9588967140353</v>
      </c>
      <c r="M49" s="89">
        <f t="shared" si="11"/>
        <v>1572.7432977896242</v>
      </c>
      <c r="N49" s="89">
        <f t="shared" si="11"/>
        <v>1595.8939277252539</v>
      </c>
      <c r="O49" s="89">
        <f t="shared" si="11"/>
        <v>1620.0231523762131</v>
      </c>
      <c r="P49" s="89">
        <f t="shared" si="11"/>
        <v>1643.232079902542</v>
      </c>
      <c r="Q49" s="89">
        <f t="shared" si="11"/>
        <v>1719.1535603870852</v>
      </c>
      <c r="R49" s="89">
        <f t="shared" si="11"/>
        <v>1696.848313739787</v>
      </c>
      <c r="S49" s="89">
        <f t="shared" si="11"/>
        <v>1671.798378837876</v>
      </c>
      <c r="T49" s="89">
        <f t="shared" si="11"/>
        <v>1641.6367405619958</v>
      </c>
      <c r="U49" s="89">
        <f t="shared" si="11"/>
        <v>1607.2864567615034</v>
      </c>
      <c r="V49" s="89">
        <f t="shared" si="11"/>
        <v>1706.8907326295885</v>
      </c>
      <c r="W49" s="89">
        <f t="shared" si="11"/>
        <v>1809.4125324978459</v>
      </c>
      <c r="X49" s="89">
        <f t="shared" si="11"/>
        <v>1914.9364645622845</v>
      </c>
      <c r="Y49" s="89">
        <f t="shared" si="11"/>
        <v>0</v>
      </c>
      <c r="AA49" s="355">
        <f t="shared" si="8"/>
        <v>30426.479157316469</v>
      </c>
      <c r="AB49" s="356">
        <f t="shared" si="2"/>
        <v>15213.239578658235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7">
        <v>0.05</v>
      </c>
      <c r="D51" s="86"/>
      <c r="E51" s="86">
        <f t="shared" ref="E51:Y51" si="12">E49*-$C$51</f>
        <v>-96.503803621071555</v>
      </c>
      <c r="F51" s="86">
        <f t="shared" si="12"/>
        <v>-86.710135691884176</v>
      </c>
      <c r="G51" s="51">
        <f t="shared" si="12"/>
        <v>-66.55689976580463</v>
      </c>
      <c r="H51" s="86">
        <f t="shared" si="12"/>
        <v>-68.521386055469435</v>
      </c>
      <c r="I51" s="86">
        <f t="shared" si="12"/>
        <v>-69.23205867371955</v>
      </c>
      <c r="J51" s="86">
        <f t="shared" si="12"/>
        <v>-71.70114461677791</v>
      </c>
      <c r="K51" s="86">
        <f t="shared" si="12"/>
        <v>-73.411606337885999</v>
      </c>
      <c r="L51" s="86">
        <f t="shared" si="12"/>
        <v>-75.197944835701762</v>
      </c>
      <c r="M51" s="86">
        <f t="shared" si="12"/>
        <v>-78.637164889481213</v>
      </c>
      <c r="N51" s="86">
        <f t="shared" si="12"/>
        <v>-79.7946963862627</v>
      </c>
      <c r="O51" s="86">
        <f t="shared" si="12"/>
        <v>-81.001157618810666</v>
      </c>
      <c r="P51" s="86">
        <f t="shared" si="12"/>
        <v>-82.161603995127109</v>
      </c>
      <c r="Q51" s="86">
        <f t="shared" si="12"/>
        <v>-85.957678019354262</v>
      </c>
      <c r="R51" s="86">
        <f t="shared" si="12"/>
        <v>-84.842415686989355</v>
      </c>
      <c r="S51" s="86">
        <f t="shared" si="12"/>
        <v>-83.589918941893814</v>
      </c>
      <c r="T51" s="86">
        <f t="shared" si="12"/>
        <v>-82.081837028099798</v>
      </c>
      <c r="U51" s="86">
        <f t="shared" si="12"/>
        <v>-80.364322838075168</v>
      </c>
      <c r="V51" s="86">
        <f t="shared" si="12"/>
        <v>-85.344536631479428</v>
      </c>
      <c r="W51" s="86">
        <f t="shared" si="12"/>
        <v>-90.470626624892304</v>
      </c>
      <c r="X51" s="86">
        <f t="shared" si="12"/>
        <v>-95.746823228114238</v>
      </c>
      <c r="Y51" s="86">
        <f t="shared" si="12"/>
        <v>0</v>
      </c>
      <c r="AA51" s="355">
        <f t="shared" si="8"/>
        <v>-1521.3239578658233</v>
      </c>
      <c r="AB51" s="356">
        <f t="shared" si="2"/>
        <v>-760.66197893291167</v>
      </c>
    </row>
    <row r="52" spans="1:28">
      <c r="A52" s="4" t="s">
        <v>27</v>
      </c>
      <c r="C52" s="168">
        <v>0.35</v>
      </c>
      <c r="D52" s="85"/>
      <c r="E52" s="85">
        <f>((E49+E51)*-$C$52)+E56</f>
        <v>-641.75029408012585</v>
      </c>
      <c r="F52" s="85">
        <f t="shared" ref="F52:Y52" si="13">((F49+F51)*-$C$52)+F56</f>
        <v>-576.62240235102968</v>
      </c>
      <c r="G52" s="85">
        <f t="shared" si="13"/>
        <v>-442.60338344260077</v>
      </c>
      <c r="H52" s="85">
        <f t="shared" si="13"/>
        <v>-455.66721726887164</v>
      </c>
      <c r="I52" s="85">
        <f t="shared" si="13"/>
        <v>-460.39319018023497</v>
      </c>
      <c r="J52" s="85">
        <f t="shared" si="13"/>
        <v>-476.81261170157302</v>
      </c>
      <c r="K52" s="85">
        <f t="shared" si="13"/>
        <v>-488.18718214694184</v>
      </c>
      <c r="L52" s="85">
        <f t="shared" si="13"/>
        <v>-500.06633315741669</v>
      </c>
      <c r="M52" s="85">
        <f t="shared" si="13"/>
        <v>-522.93714651505002</v>
      </c>
      <c r="N52" s="85">
        <f t="shared" si="13"/>
        <v>-530.63473096864686</v>
      </c>
      <c r="O52" s="85">
        <f t="shared" si="13"/>
        <v>-538.65769816509089</v>
      </c>
      <c r="P52" s="85">
        <f t="shared" si="13"/>
        <v>-546.37466656759523</v>
      </c>
      <c r="Q52" s="85">
        <f t="shared" si="13"/>
        <v>-571.61855882870577</v>
      </c>
      <c r="R52" s="85">
        <f t="shared" si="13"/>
        <v>-564.20206431847919</v>
      </c>
      <c r="S52" s="85">
        <f t="shared" si="13"/>
        <v>-555.87296096359375</v>
      </c>
      <c r="T52" s="85">
        <f t="shared" si="13"/>
        <v>-545.84421623686364</v>
      </c>
      <c r="U52" s="85">
        <f t="shared" si="13"/>
        <v>-534.4227468731998</v>
      </c>
      <c r="V52" s="85">
        <f t="shared" si="13"/>
        <v>-567.54116859933811</v>
      </c>
      <c r="W52" s="85">
        <f t="shared" si="13"/>
        <v>-601.62966705553367</v>
      </c>
      <c r="X52" s="85">
        <f t="shared" si="13"/>
        <v>-636.71637446695956</v>
      </c>
      <c r="Y52" s="85">
        <f t="shared" si="13"/>
        <v>0</v>
      </c>
      <c r="AA52" s="355">
        <f t="shared" si="8"/>
        <v>-10116.804319807725</v>
      </c>
      <c r="AB52" s="356">
        <f t="shared" si="2"/>
        <v>-5058.4021599038624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1191.8219747202338</v>
      </c>
      <c r="F54" s="89">
        <f t="shared" si="14"/>
        <v>1070.8701757947695</v>
      </c>
      <c r="G54" s="89">
        <f t="shared" si="14"/>
        <v>821.97771210768724</v>
      </c>
      <c r="H54" s="89">
        <f t="shared" si="14"/>
        <v>846.23911778504748</v>
      </c>
      <c r="I54" s="89">
        <f t="shared" si="14"/>
        <v>855.01592462043641</v>
      </c>
      <c r="J54" s="89">
        <f t="shared" si="14"/>
        <v>885.5091360172072</v>
      </c>
      <c r="K54" s="89">
        <f t="shared" si="14"/>
        <v>906.63333827289205</v>
      </c>
      <c r="L54" s="89">
        <f t="shared" si="14"/>
        <v>928.69461872091688</v>
      </c>
      <c r="M54" s="89">
        <f t="shared" si="14"/>
        <v>971.16898638509292</v>
      </c>
      <c r="N54" s="89">
        <f t="shared" si="14"/>
        <v>985.46450037034424</v>
      </c>
      <c r="O54" s="89">
        <f t="shared" si="14"/>
        <v>1000.3642965923117</v>
      </c>
      <c r="P54" s="89">
        <f t="shared" si="14"/>
        <v>1014.6958093398197</v>
      </c>
      <c r="Q54" s="89">
        <f t="shared" si="14"/>
        <v>1061.5773235390252</v>
      </c>
      <c r="R54" s="89">
        <f t="shared" si="14"/>
        <v>1047.8038337343185</v>
      </c>
      <c r="S54" s="89">
        <f t="shared" si="14"/>
        <v>1032.3354989323884</v>
      </c>
      <c r="T54" s="89">
        <f t="shared" si="14"/>
        <v>1013.7106872970325</v>
      </c>
      <c r="U54" s="89">
        <f t="shared" si="14"/>
        <v>992.49938705022839</v>
      </c>
      <c r="V54" s="89">
        <f t="shared" si="14"/>
        <v>1054.0050273987708</v>
      </c>
      <c r="W54" s="89">
        <f t="shared" si="14"/>
        <v>1117.3122388174199</v>
      </c>
      <c r="X54" s="89">
        <f t="shared" si="14"/>
        <v>1182.4732668672109</v>
      </c>
      <c r="Y54" s="89">
        <f t="shared" si="14"/>
        <v>0</v>
      </c>
      <c r="AA54" s="355">
        <f t="shared" si="8"/>
        <v>18788.350879642916</v>
      </c>
      <c r="AB54" s="356">
        <f t="shared" si="2"/>
        <v>9394.175439821458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v>0</v>
      </c>
      <c r="F56" s="169">
        <v>0</v>
      </c>
      <c r="G56" s="169">
        <v>0</v>
      </c>
      <c r="H56" s="169">
        <v>0</v>
      </c>
      <c r="I56" s="169">
        <v>0</v>
      </c>
      <c r="J56" s="169">
        <v>0</v>
      </c>
      <c r="K56" s="169">
        <v>0</v>
      </c>
      <c r="L56" s="169">
        <v>0</v>
      </c>
      <c r="M56" s="169">
        <v>0</v>
      </c>
      <c r="N56" s="169">
        <v>0</v>
      </c>
      <c r="O56" s="169">
        <v>0</v>
      </c>
      <c r="P56" s="169">
        <v>0</v>
      </c>
      <c r="Q56" s="169">
        <v>0</v>
      </c>
      <c r="R56" s="169">
        <v>0</v>
      </c>
      <c r="S56" s="169">
        <v>0</v>
      </c>
      <c r="T56" s="169">
        <v>0</v>
      </c>
      <c r="U56" s="169">
        <v>0</v>
      </c>
      <c r="V56" s="169">
        <v>0</v>
      </c>
      <c r="W56" s="169">
        <v>0</v>
      </c>
      <c r="X56" s="169">
        <v>0</v>
      </c>
      <c r="Y56" s="169">
        <v>0</v>
      </c>
      <c r="AA56" s="355">
        <f t="shared" si="8"/>
        <v>0</v>
      </c>
      <c r="AB56" s="356">
        <f t="shared" si="2"/>
        <v>0</v>
      </c>
    </row>
    <row r="57" spans="1:28" outlineLevel="1">
      <c r="A57" s="12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0.5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1930.076072421431</v>
      </c>
      <c r="F64" s="16">
        <f t="shared" si="16"/>
        <v>2407.2027138376834</v>
      </c>
      <c r="G64" s="20">
        <f t="shared" si="16"/>
        <v>2004.1379953160927</v>
      </c>
      <c r="H64" s="16">
        <f t="shared" si="16"/>
        <v>2043.4277211093886</v>
      </c>
      <c r="I64" s="16">
        <f t="shared" si="16"/>
        <v>2057.6411734743911</v>
      </c>
      <c r="J64" s="16">
        <f t="shared" si="16"/>
        <v>2107.022892335558</v>
      </c>
      <c r="K64" s="16">
        <f t="shared" si="16"/>
        <v>2141.2321267577199</v>
      </c>
      <c r="L64" s="16">
        <f t="shared" si="16"/>
        <v>2176.9588967140353</v>
      </c>
      <c r="M64" s="16">
        <f t="shared" si="16"/>
        <v>2245.7432977896242</v>
      </c>
      <c r="N64" s="16">
        <f t="shared" si="16"/>
        <v>2268.8939277252539</v>
      </c>
      <c r="O64" s="16">
        <f t="shared" si="16"/>
        <v>2293.0231523762131</v>
      </c>
      <c r="P64" s="16">
        <f t="shared" si="16"/>
        <v>2316.232079902542</v>
      </c>
      <c r="Q64" s="16">
        <f t="shared" si="16"/>
        <v>2392.1535603870852</v>
      </c>
      <c r="R64" s="16">
        <f t="shared" si="16"/>
        <v>2369.848313739787</v>
      </c>
      <c r="S64" s="16">
        <f t="shared" si="16"/>
        <v>2344.798378837876</v>
      </c>
      <c r="T64" s="16">
        <f t="shared" si="16"/>
        <v>2314.6367405619958</v>
      </c>
      <c r="U64" s="16">
        <f t="shared" si="16"/>
        <v>2280.2864567615034</v>
      </c>
      <c r="V64" s="16">
        <f t="shared" si="16"/>
        <v>2379.8907326295885</v>
      </c>
      <c r="W64" s="16">
        <f t="shared" si="16"/>
        <v>2482.4125324978459</v>
      </c>
      <c r="X64" s="16">
        <f t="shared" si="16"/>
        <v>2587.9364645622845</v>
      </c>
      <c r="Y64" s="16">
        <f t="shared" si="16"/>
        <v>0</v>
      </c>
      <c r="AA64" s="355">
        <f t="shared" si="8"/>
        <v>43213.479157316469</v>
      </c>
      <c r="AB64" s="356">
        <f t="shared" si="2"/>
        <v>21606.739578658235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171">
        <v>0</v>
      </c>
      <c r="F66" s="171">
        <v>0</v>
      </c>
      <c r="G66" s="171">
        <v>0</v>
      </c>
      <c r="H66" s="171">
        <v>0</v>
      </c>
      <c r="I66" s="171">
        <v>0</v>
      </c>
      <c r="J66" s="171">
        <v>0</v>
      </c>
      <c r="K66" s="171">
        <v>0</v>
      </c>
      <c r="L66" s="171">
        <v>0</v>
      </c>
      <c r="M66" s="171">
        <v>0</v>
      </c>
      <c r="N66" s="171">
        <v>0</v>
      </c>
      <c r="O66" s="171">
        <v>0</v>
      </c>
      <c r="P66" s="171">
        <v>0</v>
      </c>
      <c r="Q66" s="171">
        <v>0</v>
      </c>
      <c r="R66" s="171">
        <v>0</v>
      </c>
      <c r="S66" s="171">
        <v>0</v>
      </c>
      <c r="T66" s="171">
        <v>0</v>
      </c>
      <c r="U66" s="171">
        <v>0</v>
      </c>
      <c r="V66" s="171">
        <v>0</v>
      </c>
      <c r="W66" s="171">
        <v>0</v>
      </c>
      <c r="X66" s="171">
        <v>0</v>
      </c>
      <c r="Y66" s="171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7">SUM(E64:E66)</f>
        <v>1930.076072421431</v>
      </c>
      <c r="F69" s="91">
        <f t="shared" si="17"/>
        <v>2407.2027138376834</v>
      </c>
      <c r="G69" s="91">
        <f t="shared" si="17"/>
        <v>2004.1379953160927</v>
      </c>
      <c r="H69" s="91">
        <f t="shared" si="17"/>
        <v>2043.4277211093886</v>
      </c>
      <c r="I69" s="91">
        <f t="shared" si="17"/>
        <v>2057.6411734743911</v>
      </c>
      <c r="J69" s="91">
        <f t="shared" si="17"/>
        <v>2107.022892335558</v>
      </c>
      <c r="K69" s="91">
        <f t="shared" si="17"/>
        <v>2141.2321267577199</v>
      </c>
      <c r="L69" s="91">
        <f t="shared" si="17"/>
        <v>2176.9588967140353</v>
      </c>
      <c r="M69" s="91">
        <f t="shared" si="17"/>
        <v>2245.7432977896242</v>
      </c>
      <c r="N69" s="91">
        <f t="shared" si="17"/>
        <v>2268.8939277252539</v>
      </c>
      <c r="O69" s="91">
        <f t="shared" si="17"/>
        <v>2293.0231523762131</v>
      </c>
      <c r="P69" s="91">
        <f t="shared" si="17"/>
        <v>2316.232079902542</v>
      </c>
      <c r="Q69" s="91">
        <f t="shared" si="17"/>
        <v>2392.1535603870852</v>
      </c>
      <c r="R69" s="91">
        <f t="shared" si="17"/>
        <v>2369.848313739787</v>
      </c>
      <c r="S69" s="91">
        <f t="shared" si="17"/>
        <v>2344.798378837876</v>
      </c>
      <c r="T69" s="91">
        <f t="shared" si="17"/>
        <v>2314.6367405619958</v>
      </c>
      <c r="U69" s="91">
        <f t="shared" si="17"/>
        <v>2280.2864567615034</v>
      </c>
      <c r="V69" s="91">
        <f t="shared" si="17"/>
        <v>2379.8907326295885</v>
      </c>
      <c r="W69" s="91">
        <f t="shared" si="17"/>
        <v>2482.4125324978459</v>
      </c>
      <c r="X69" s="91">
        <f t="shared" si="17"/>
        <v>2587.9364645622845</v>
      </c>
      <c r="Y69" s="91">
        <f t="shared" si="17"/>
        <v>0</v>
      </c>
      <c r="AA69" s="355">
        <f t="shared" si="8"/>
        <v>43213.479157316469</v>
      </c>
      <c r="AB69" s="356">
        <f t="shared" si="2"/>
        <v>21606.739578658235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8">F89</f>
        <v>624.70221772803461</v>
      </c>
      <c r="G71" s="94">
        <f t="shared" si="18"/>
        <v>1706.1488260251119</v>
      </c>
      <c r="H71" s="94">
        <f t="shared" si="18"/>
        <v>702.02786221576912</v>
      </c>
      <c r="I71" s="94">
        <f t="shared" si="18"/>
        <v>103.13563047011166</v>
      </c>
      <c r="J71" s="94">
        <f t="shared" si="18"/>
        <v>84.247123005715309</v>
      </c>
      <c r="K71" s="94">
        <f t="shared" si="18"/>
        <v>-373.92959882279473</v>
      </c>
      <c r="L71" s="94">
        <f t="shared" si="18"/>
        <v>-832.68677799311854</v>
      </c>
      <c r="M71" s="94">
        <f t="shared" si="18"/>
        <v>-858.99681140453129</v>
      </c>
      <c r="N71" s="94">
        <f t="shared" si="18"/>
        <v>-867.85192735490955</v>
      </c>
      <c r="O71" s="94">
        <f t="shared" si="18"/>
        <v>-877.08135578390159</v>
      </c>
      <c r="P71" s="94">
        <f t="shared" si="18"/>
        <v>-885.95877056272241</v>
      </c>
      <c r="Q71" s="94">
        <f t="shared" si="18"/>
        <v>-914.99873684806005</v>
      </c>
      <c r="R71" s="94">
        <f t="shared" si="18"/>
        <v>-906.4669800054686</v>
      </c>
      <c r="S71" s="94">
        <f t="shared" si="18"/>
        <v>-896.88537990548753</v>
      </c>
      <c r="T71" s="94">
        <f t="shared" si="18"/>
        <v>-885.34855326496324</v>
      </c>
      <c r="U71" s="94">
        <f t="shared" si="18"/>
        <v>-872.20956971127498</v>
      </c>
      <c r="V71" s="94">
        <f t="shared" si="18"/>
        <v>-910.30820523081752</v>
      </c>
      <c r="W71" s="94">
        <f t="shared" si="18"/>
        <v>-949.52279368042605</v>
      </c>
      <c r="X71" s="94">
        <f t="shared" si="18"/>
        <v>-989.88569769507387</v>
      </c>
      <c r="Y71" s="94">
        <f t="shared" si="18"/>
        <v>0</v>
      </c>
      <c r="AA71" s="355">
        <f t="shared" si="8"/>
        <v>-8801.8694988188072</v>
      </c>
      <c r="AB71" s="356">
        <f t="shared" si="2"/>
        <v>-4400.9347494094036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19">E69+E71</f>
        <v>1930.076072421431</v>
      </c>
      <c r="F73" s="24">
        <f t="shared" si="19"/>
        <v>3031.904931565718</v>
      </c>
      <c r="G73" s="24">
        <f t="shared" si="19"/>
        <v>3710.2868213412048</v>
      </c>
      <c r="H73" s="24">
        <f t="shared" si="19"/>
        <v>2745.4555833251579</v>
      </c>
      <c r="I73" s="24">
        <f t="shared" si="19"/>
        <v>2160.7768039445027</v>
      </c>
      <c r="J73" s="24">
        <f t="shared" si="19"/>
        <v>2191.2700153412734</v>
      </c>
      <c r="K73" s="24">
        <f t="shared" si="19"/>
        <v>1767.3025279349251</v>
      </c>
      <c r="L73" s="24">
        <f t="shared" si="19"/>
        <v>1344.2721187209168</v>
      </c>
      <c r="M73" s="24">
        <f t="shared" si="19"/>
        <v>1386.7464863850928</v>
      </c>
      <c r="N73" s="24">
        <f t="shared" si="19"/>
        <v>1401.0420003703443</v>
      </c>
      <c r="O73" s="24">
        <f t="shared" si="19"/>
        <v>1415.9417965923117</v>
      </c>
      <c r="P73" s="24">
        <f t="shared" si="19"/>
        <v>1430.2733093398197</v>
      </c>
      <c r="Q73" s="24">
        <f t="shared" si="19"/>
        <v>1477.1548235390251</v>
      </c>
      <c r="R73" s="24">
        <f t="shared" si="19"/>
        <v>1463.3813337343186</v>
      </c>
      <c r="S73" s="24">
        <f t="shared" si="19"/>
        <v>1447.9129989323885</v>
      </c>
      <c r="T73" s="24">
        <f t="shared" si="19"/>
        <v>1429.2881872970324</v>
      </c>
      <c r="U73" s="24">
        <f t="shared" si="19"/>
        <v>1408.0768870502284</v>
      </c>
      <c r="V73" s="24">
        <f t="shared" si="19"/>
        <v>1469.5825273987709</v>
      </c>
      <c r="W73" s="24">
        <f t="shared" si="19"/>
        <v>1532.8897388174198</v>
      </c>
      <c r="X73" s="24">
        <f t="shared" si="19"/>
        <v>1598.0507668672108</v>
      </c>
      <c r="Y73" s="24">
        <f t="shared" si="19"/>
        <v>0</v>
      </c>
      <c r="AA73" s="355">
        <f t="shared" si="8"/>
        <v>34411.609658497662</v>
      </c>
      <c r="AB73" s="356">
        <f t="shared" si="2"/>
        <v>17205.804829248831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"/>
      <c r="C76" s="159">
        <f>+C$60</f>
        <v>0.5</v>
      </c>
      <c r="D76" s="24"/>
      <c r="E76" s="24">
        <f t="shared" ref="E76:Y76" si="21">$C$76*E54</f>
        <v>595.91098736011691</v>
      </c>
      <c r="F76" s="24">
        <f t="shared" si="21"/>
        <v>535.43508789738473</v>
      </c>
      <c r="G76" s="91">
        <f t="shared" si="21"/>
        <v>410.98885605384362</v>
      </c>
      <c r="H76" s="24">
        <f t="shared" si="21"/>
        <v>423.11955889252374</v>
      </c>
      <c r="I76" s="24">
        <f t="shared" si="21"/>
        <v>427.5079623102182</v>
      </c>
      <c r="J76" s="24">
        <f t="shared" si="21"/>
        <v>442.7545680086036</v>
      </c>
      <c r="K76" s="24">
        <f t="shared" si="21"/>
        <v>453.31666913644602</v>
      </c>
      <c r="L76" s="24">
        <f t="shared" si="21"/>
        <v>464.34730936045844</v>
      </c>
      <c r="M76" s="24">
        <f t="shared" si="21"/>
        <v>485.58449319254646</v>
      </c>
      <c r="N76" s="24">
        <f t="shared" si="21"/>
        <v>492.73225018517212</v>
      </c>
      <c r="O76" s="24">
        <f t="shared" si="21"/>
        <v>500.18214829615584</v>
      </c>
      <c r="P76" s="24">
        <f t="shared" si="21"/>
        <v>507.34790466990984</v>
      </c>
      <c r="Q76" s="24">
        <f t="shared" si="21"/>
        <v>530.7886617695126</v>
      </c>
      <c r="R76" s="24">
        <f t="shared" si="21"/>
        <v>523.90191686715923</v>
      </c>
      <c r="S76" s="24">
        <f t="shared" si="21"/>
        <v>516.16774946619421</v>
      </c>
      <c r="T76" s="24">
        <f t="shared" si="21"/>
        <v>506.85534364851623</v>
      </c>
      <c r="U76" s="24">
        <f t="shared" si="21"/>
        <v>496.2496935251142</v>
      </c>
      <c r="V76" s="24">
        <f t="shared" si="21"/>
        <v>527.00251369938542</v>
      </c>
      <c r="W76" s="24">
        <f t="shared" si="21"/>
        <v>558.65611940870997</v>
      </c>
      <c r="X76" s="24">
        <f t="shared" si="21"/>
        <v>591.23663343360545</v>
      </c>
      <c r="Y76" s="24">
        <f t="shared" si="21"/>
        <v>0</v>
      </c>
      <c r="AA76" s="355">
        <f t="shared" si="8"/>
        <v>9394.175439821458</v>
      </c>
      <c r="AB76" s="356">
        <f>AA76</f>
        <v>9394.175439821458</v>
      </c>
    </row>
    <row r="77" spans="1:28" outlineLevel="1">
      <c r="A77" s="13" t="s">
        <v>136</v>
      </c>
      <c r="B77" s="22"/>
      <c r="C77" s="159">
        <f>+C60</f>
        <v>0.5</v>
      </c>
      <c r="D77" s="24"/>
      <c r="E77" s="24">
        <f t="shared" ref="E77:Y77" si="22">$C$77*E73</f>
        <v>965.03803621071552</v>
      </c>
      <c r="F77" s="24">
        <f t="shared" si="22"/>
        <v>1515.952465782859</v>
      </c>
      <c r="G77" s="91">
        <f t="shared" si="22"/>
        <v>1855.1434106706024</v>
      </c>
      <c r="H77" s="24">
        <f t="shared" si="22"/>
        <v>1372.727791662579</v>
      </c>
      <c r="I77" s="24">
        <f t="shared" si="22"/>
        <v>1080.3884019722514</v>
      </c>
      <c r="J77" s="24">
        <f t="shared" si="22"/>
        <v>1095.6350076706367</v>
      </c>
      <c r="K77" s="24">
        <f t="shared" si="22"/>
        <v>883.65126396746257</v>
      </c>
      <c r="L77" s="24">
        <f t="shared" si="22"/>
        <v>672.13605936045838</v>
      </c>
      <c r="M77" s="24">
        <f t="shared" si="22"/>
        <v>693.3732431925464</v>
      </c>
      <c r="N77" s="24">
        <f t="shared" si="22"/>
        <v>700.52100018517217</v>
      </c>
      <c r="O77" s="24">
        <f t="shared" si="22"/>
        <v>707.97089829615584</v>
      </c>
      <c r="P77" s="24">
        <f t="shared" si="22"/>
        <v>715.13665466990983</v>
      </c>
      <c r="Q77" s="24">
        <f t="shared" si="22"/>
        <v>738.57741176951254</v>
      </c>
      <c r="R77" s="24">
        <f t="shared" si="22"/>
        <v>731.69066686715928</v>
      </c>
      <c r="S77" s="24">
        <f t="shared" si="22"/>
        <v>723.95649946619426</v>
      </c>
      <c r="T77" s="24">
        <f t="shared" si="22"/>
        <v>714.64409364851622</v>
      </c>
      <c r="U77" s="24">
        <f t="shared" si="22"/>
        <v>704.03844352511419</v>
      </c>
      <c r="V77" s="24">
        <f t="shared" si="22"/>
        <v>734.79126369938547</v>
      </c>
      <c r="W77" s="24">
        <f t="shared" si="22"/>
        <v>766.44486940870991</v>
      </c>
      <c r="X77" s="24">
        <f t="shared" si="22"/>
        <v>799.02538343360538</v>
      </c>
      <c r="Y77" s="24">
        <f t="shared" si="22"/>
        <v>0</v>
      </c>
      <c r="AA77" s="355">
        <f t="shared" si="8"/>
        <v>17205.804829248831</v>
      </c>
      <c r="AB77" s="356">
        <f>AA77</f>
        <v>17205.804829248831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0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0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0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0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0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0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0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0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3">G62</f>
        <v>2002</v>
      </c>
      <c r="H86" s="99">
        <f t="shared" si="23"/>
        <v>2003</v>
      </c>
      <c r="I86" s="99">
        <f t="shared" si="23"/>
        <v>2004</v>
      </c>
      <c r="J86" s="99">
        <f t="shared" si="23"/>
        <v>2005</v>
      </c>
      <c r="K86" s="99">
        <f t="shared" si="23"/>
        <v>2006</v>
      </c>
      <c r="L86" s="99">
        <f t="shared" si="23"/>
        <v>2007</v>
      </c>
      <c r="M86" s="99">
        <f t="shared" si="23"/>
        <v>2008</v>
      </c>
      <c r="N86" s="99">
        <f t="shared" si="23"/>
        <v>2009</v>
      </c>
      <c r="O86" s="99">
        <f t="shared" si="23"/>
        <v>2010</v>
      </c>
      <c r="P86" s="99">
        <f t="shared" si="23"/>
        <v>2011</v>
      </c>
      <c r="Q86" s="99">
        <f t="shared" si="23"/>
        <v>2012</v>
      </c>
      <c r="R86" s="99">
        <f t="shared" si="23"/>
        <v>2013</v>
      </c>
      <c r="S86" s="99">
        <f t="shared" si="23"/>
        <v>2014</v>
      </c>
      <c r="T86" s="99">
        <f t="shared" si="23"/>
        <v>2015</v>
      </c>
      <c r="U86" s="99">
        <f t="shared" si="23"/>
        <v>2016</v>
      </c>
      <c r="V86" s="99">
        <f t="shared" si="23"/>
        <v>2017</v>
      </c>
      <c r="W86" s="99">
        <f t="shared" si="23"/>
        <v>2018</v>
      </c>
      <c r="X86" s="99">
        <f t="shared" si="23"/>
        <v>2019</v>
      </c>
      <c r="Y86" s="99">
        <f t="shared" si="23"/>
        <v>2020</v>
      </c>
      <c r="AA86" s="355">
        <f t="shared" si="8"/>
        <v>40210</v>
      </c>
      <c r="AB86" s="356">
        <f t="shared" si="20"/>
        <v>20105</v>
      </c>
    </row>
    <row r="87" spans="1:30" s="128" customFormat="1">
      <c r="AA87" s="355">
        <f t="shared" si="8"/>
        <v>0</v>
      </c>
      <c r="AB87" s="356">
        <f t="shared" si="20"/>
        <v>0</v>
      </c>
    </row>
    <row r="88" spans="1:30" s="128" customFormat="1">
      <c r="A88" s="11" t="s">
        <v>31</v>
      </c>
      <c r="F88" s="129">
        <f>F69</f>
        <v>2407.2027138376834</v>
      </c>
      <c r="G88" s="129">
        <f t="shared" ref="G88:Y88" si="24">G69</f>
        <v>2004.1379953160927</v>
      </c>
      <c r="H88" s="129">
        <f t="shared" si="24"/>
        <v>2043.4277211093886</v>
      </c>
      <c r="I88" s="129">
        <f t="shared" si="24"/>
        <v>2057.6411734743911</v>
      </c>
      <c r="J88" s="129">
        <f t="shared" si="24"/>
        <v>2107.022892335558</v>
      </c>
      <c r="K88" s="129">
        <f t="shared" si="24"/>
        <v>2141.2321267577199</v>
      </c>
      <c r="L88" s="129">
        <f t="shared" si="24"/>
        <v>2176.9588967140353</v>
      </c>
      <c r="M88" s="129">
        <f t="shared" si="24"/>
        <v>2245.7432977896242</v>
      </c>
      <c r="N88" s="129">
        <f t="shared" si="24"/>
        <v>2268.8939277252539</v>
      </c>
      <c r="O88" s="129">
        <f t="shared" si="24"/>
        <v>2293.0231523762131</v>
      </c>
      <c r="P88" s="129">
        <f t="shared" si="24"/>
        <v>2316.232079902542</v>
      </c>
      <c r="Q88" s="129">
        <f t="shared" si="24"/>
        <v>2392.1535603870852</v>
      </c>
      <c r="R88" s="129">
        <f t="shared" si="24"/>
        <v>2369.848313739787</v>
      </c>
      <c r="S88" s="129">
        <f t="shared" si="24"/>
        <v>2344.798378837876</v>
      </c>
      <c r="T88" s="129">
        <f t="shared" si="24"/>
        <v>2314.6367405619958</v>
      </c>
      <c r="U88" s="129">
        <f t="shared" si="24"/>
        <v>2280.2864567615034</v>
      </c>
      <c r="V88" s="129">
        <f t="shared" si="24"/>
        <v>2379.8907326295885</v>
      </c>
      <c r="W88" s="129">
        <f t="shared" si="24"/>
        <v>2482.4125324978459</v>
      </c>
      <c r="X88" s="129">
        <f t="shared" si="24"/>
        <v>2587.9364645622845</v>
      </c>
      <c r="Y88" s="129">
        <f t="shared" si="24"/>
        <v>0</v>
      </c>
      <c r="AA88" s="355">
        <f t="shared" si="8"/>
        <v>43213.479157316469</v>
      </c>
      <c r="AB88" s="356">
        <f t="shared" si="20"/>
        <v>21606.739578658235</v>
      </c>
    </row>
    <row r="89" spans="1:30" s="128" customFormat="1">
      <c r="A89" s="128" t="s">
        <v>42</v>
      </c>
      <c r="F89" s="100">
        <f>F126+F127</f>
        <v>624.70221772803461</v>
      </c>
      <c r="G89" s="100">
        <f t="shared" ref="G89:Y89" si="25">G126+G127</f>
        <v>1706.1488260251119</v>
      </c>
      <c r="H89" s="100">
        <f t="shared" si="25"/>
        <v>702.02786221576912</v>
      </c>
      <c r="I89" s="100">
        <f t="shared" si="25"/>
        <v>103.13563047011166</v>
      </c>
      <c r="J89" s="100">
        <f t="shared" si="25"/>
        <v>84.247123005715309</v>
      </c>
      <c r="K89" s="100">
        <f t="shared" si="25"/>
        <v>-373.92959882279473</v>
      </c>
      <c r="L89" s="100">
        <f t="shared" si="25"/>
        <v>-832.68677799311854</v>
      </c>
      <c r="M89" s="100">
        <f t="shared" si="25"/>
        <v>-858.99681140453129</v>
      </c>
      <c r="N89" s="100">
        <f t="shared" si="25"/>
        <v>-867.85192735490955</v>
      </c>
      <c r="O89" s="100">
        <f t="shared" si="25"/>
        <v>-877.08135578390159</v>
      </c>
      <c r="P89" s="100">
        <f t="shared" si="25"/>
        <v>-885.95877056272241</v>
      </c>
      <c r="Q89" s="100">
        <f t="shared" si="25"/>
        <v>-914.99873684806005</v>
      </c>
      <c r="R89" s="100">
        <f t="shared" si="25"/>
        <v>-906.4669800054686</v>
      </c>
      <c r="S89" s="100">
        <f t="shared" si="25"/>
        <v>-896.88537990548753</v>
      </c>
      <c r="T89" s="100">
        <f t="shared" si="25"/>
        <v>-885.34855326496324</v>
      </c>
      <c r="U89" s="100">
        <f t="shared" si="25"/>
        <v>-872.20956971127498</v>
      </c>
      <c r="V89" s="100">
        <f t="shared" si="25"/>
        <v>-910.30820523081752</v>
      </c>
      <c r="W89" s="100">
        <f t="shared" si="25"/>
        <v>-949.52279368042605</v>
      </c>
      <c r="X89" s="100">
        <f t="shared" si="25"/>
        <v>-989.88569769507387</v>
      </c>
      <c r="Y89" s="100">
        <f t="shared" si="25"/>
        <v>0</v>
      </c>
      <c r="AA89" s="355">
        <f t="shared" si="8"/>
        <v>-8801.8694988188072</v>
      </c>
      <c r="AB89" s="356">
        <f t="shared" si="20"/>
        <v>-4400.9347494094036</v>
      </c>
    </row>
    <row r="90" spans="1:30" s="128" customFormat="1">
      <c r="A90" s="128" t="s">
        <v>109</v>
      </c>
      <c r="F90" s="100">
        <f>F56</f>
        <v>0</v>
      </c>
      <c r="G90" s="100">
        <f t="shared" ref="G90:Y90" si="26">G56</f>
        <v>0</v>
      </c>
      <c r="H90" s="100">
        <f t="shared" si="26"/>
        <v>0</v>
      </c>
      <c r="I90" s="100">
        <f t="shared" si="26"/>
        <v>0</v>
      </c>
      <c r="J90" s="100">
        <f t="shared" si="26"/>
        <v>0</v>
      </c>
      <c r="K90" s="100">
        <f t="shared" si="26"/>
        <v>0</v>
      </c>
      <c r="L90" s="100">
        <f t="shared" si="26"/>
        <v>0</v>
      </c>
      <c r="M90" s="100">
        <f t="shared" si="26"/>
        <v>0</v>
      </c>
      <c r="N90" s="100">
        <f t="shared" si="26"/>
        <v>0</v>
      </c>
      <c r="O90" s="100">
        <f t="shared" si="26"/>
        <v>0</v>
      </c>
      <c r="P90" s="100">
        <f t="shared" si="26"/>
        <v>0</v>
      </c>
      <c r="Q90" s="100">
        <f t="shared" si="26"/>
        <v>0</v>
      </c>
      <c r="R90" s="100">
        <f t="shared" si="26"/>
        <v>0</v>
      </c>
      <c r="S90" s="100">
        <f t="shared" si="26"/>
        <v>0</v>
      </c>
      <c r="T90" s="100">
        <f t="shared" si="26"/>
        <v>0</v>
      </c>
      <c r="U90" s="100">
        <f t="shared" si="26"/>
        <v>0</v>
      </c>
      <c r="V90" s="100">
        <f t="shared" si="26"/>
        <v>0</v>
      </c>
      <c r="W90" s="100">
        <f t="shared" si="26"/>
        <v>0</v>
      </c>
      <c r="X90" s="100">
        <f t="shared" si="26"/>
        <v>0</v>
      </c>
      <c r="Y90" s="100">
        <f t="shared" si="26"/>
        <v>0</v>
      </c>
      <c r="AA90" s="355">
        <f t="shared" si="8"/>
        <v>0</v>
      </c>
      <c r="AB90" s="356">
        <f t="shared" si="20"/>
        <v>0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f>Y99</f>
        <v>20703.491716498276</v>
      </c>
      <c r="Y91" s="101"/>
      <c r="AA91" s="355">
        <f t="shared" si="8"/>
        <v>20703.491716498276</v>
      </c>
      <c r="AB91" s="356">
        <f t="shared" si="20"/>
        <v>10351.745858249138</v>
      </c>
    </row>
    <row r="92" spans="1:30" s="128" customFormat="1">
      <c r="A92" s="128" t="s">
        <v>44</v>
      </c>
      <c r="E92" s="173">
        <v>-22446.728478880876</v>
      </c>
      <c r="F92" s="129">
        <f>SUM(F88:F91)</f>
        <v>3031.904931565718</v>
      </c>
      <c r="G92" s="129">
        <f t="shared" ref="G92:Y92" si="27">SUM(G88:G91)</f>
        <v>3710.2868213412048</v>
      </c>
      <c r="H92" s="129">
        <f t="shared" si="27"/>
        <v>2745.4555833251579</v>
      </c>
      <c r="I92" s="129">
        <f t="shared" si="27"/>
        <v>2160.7768039445027</v>
      </c>
      <c r="J92" s="129">
        <f t="shared" si="27"/>
        <v>2191.2700153412734</v>
      </c>
      <c r="K92" s="129">
        <f t="shared" si="27"/>
        <v>1767.3025279349251</v>
      </c>
      <c r="L92" s="129">
        <f t="shared" si="27"/>
        <v>1344.2721187209168</v>
      </c>
      <c r="M92" s="129">
        <f t="shared" si="27"/>
        <v>1386.7464863850928</v>
      </c>
      <c r="N92" s="129">
        <f t="shared" si="27"/>
        <v>1401.0420003703443</v>
      </c>
      <c r="O92" s="129">
        <f t="shared" si="27"/>
        <v>1415.9417965923117</v>
      </c>
      <c r="P92" s="129">
        <f t="shared" si="27"/>
        <v>1430.2733093398197</v>
      </c>
      <c r="Q92" s="129">
        <f t="shared" si="27"/>
        <v>1477.1548235390251</v>
      </c>
      <c r="R92" s="129">
        <f t="shared" si="27"/>
        <v>1463.3813337343186</v>
      </c>
      <c r="S92" s="129">
        <f t="shared" si="27"/>
        <v>1447.9129989323885</v>
      </c>
      <c r="T92" s="129">
        <f t="shared" si="27"/>
        <v>1429.2881872970324</v>
      </c>
      <c r="U92" s="129">
        <f t="shared" si="27"/>
        <v>1408.0768870502284</v>
      </c>
      <c r="V92" s="129">
        <f t="shared" si="27"/>
        <v>1469.5825273987709</v>
      </c>
      <c r="W92" s="129">
        <f t="shared" si="27"/>
        <v>1532.8897388174198</v>
      </c>
      <c r="X92" s="129">
        <f t="shared" si="27"/>
        <v>22301.542483365487</v>
      </c>
      <c r="Y92" s="129">
        <f t="shared" si="27"/>
        <v>0</v>
      </c>
      <c r="AA92" s="355">
        <f t="shared" si="8"/>
        <v>55115.101374995938</v>
      </c>
      <c r="AB92" s="356">
        <f t="shared" si="20"/>
        <v>27557.550687497969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0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0"/>
        <v>0</v>
      </c>
    </row>
    <row r="95" spans="1:30" s="128" customFormat="1" ht="13.5" thickBot="1">
      <c r="A95" s="128" t="s">
        <v>46</v>
      </c>
      <c r="E95" s="174">
        <f>NPV(C96,E92:Y92)</f>
        <v>1.6687976179319783E-12</v>
      </c>
      <c r="R95" s="133"/>
      <c r="U95" s="134" t="s">
        <v>47</v>
      </c>
      <c r="V95" s="135"/>
      <c r="W95" s="135"/>
      <c r="X95" s="135"/>
      <c r="Y95" s="136">
        <f>X88</f>
        <v>2587.9364645622845</v>
      </c>
      <c r="AA95" s="355">
        <f t="shared" si="8"/>
        <v>2587.9364645622845</v>
      </c>
      <c r="AB95" s="356">
        <f t="shared" si="20"/>
        <v>1293.9682322811423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0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2587.9364645622845</v>
      </c>
      <c r="AA97" s="355">
        <f t="shared" si="8"/>
        <v>2587.9364645622845</v>
      </c>
      <c r="AB97" s="356">
        <f t="shared" si="20"/>
        <v>1293.9682322811423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0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20703.491716498276</v>
      </c>
      <c r="AA99" s="355">
        <f t="shared" si="8"/>
        <v>20703.491716498276</v>
      </c>
      <c r="AB99" s="356">
        <f t="shared" si="20"/>
        <v>10351.745858249138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0"/>
        <v>0</v>
      </c>
    </row>
    <row r="101" spans="1:28" s="128" customFormat="1">
      <c r="A101" s="128" t="s">
        <v>53</v>
      </c>
      <c r="D101" s="177">
        <v>0</v>
      </c>
      <c r="AA101" s="355">
        <f t="shared" si="8"/>
        <v>0</v>
      </c>
      <c r="AB101" s="356">
        <f t="shared" si="20"/>
        <v>0</v>
      </c>
    </row>
    <row r="102" spans="1:28" s="128" customFormat="1" ht="15">
      <c r="A102" s="128" t="s">
        <v>54</v>
      </c>
      <c r="D102" s="101">
        <f>-E92</f>
        <v>22446.728478880876</v>
      </c>
      <c r="AA102" s="355">
        <f t="shared" si="8"/>
        <v>0</v>
      </c>
      <c r="AB102" s="356">
        <f t="shared" si="20"/>
        <v>0</v>
      </c>
    </row>
    <row r="103" spans="1:28" s="128" customFormat="1">
      <c r="D103" s="142">
        <f>D101+D102</f>
        <v>22446.728478880876</v>
      </c>
      <c r="AA103" s="355">
        <f t="shared" si="8"/>
        <v>0</v>
      </c>
      <c r="AB103" s="356">
        <f t="shared" si="20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28" customFormat="1">
      <c r="A105" s="128" t="s">
        <v>56</v>
      </c>
      <c r="D105" s="142">
        <f>D103*D104</f>
        <v>20202.055630992789</v>
      </c>
      <c r="AA105" s="355">
        <f t="shared" si="28"/>
        <v>0</v>
      </c>
      <c r="AB105" s="356">
        <f t="shared" si="20"/>
        <v>0</v>
      </c>
    </row>
    <row r="106" spans="1:28" s="128" customFormat="1">
      <c r="AA106" s="355">
        <f t="shared" si="28"/>
        <v>0</v>
      </c>
      <c r="AB106" s="356">
        <f t="shared" si="20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29">G107+1</f>
        <v>2003</v>
      </c>
      <c r="I107" s="99">
        <f t="shared" si="29"/>
        <v>2004</v>
      </c>
      <c r="J107" s="99">
        <f t="shared" si="29"/>
        <v>2005</v>
      </c>
      <c r="K107" s="99">
        <f t="shared" si="29"/>
        <v>2006</v>
      </c>
      <c r="L107" s="99">
        <f t="shared" si="29"/>
        <v>2007</v>
      </c>
      <c r="M107" s="99">
        <f t="shared" si="29"/>
        <v>2008</v>
      </c>
      <c r="N107" s="99">
        <f t="shared" si="29"/>
        <v>2009</v>
      </c>
      <c r="O107" s="99">
        <f t="shared" si="29"/>
        <v>2010</v>
      </c>
      <c r="P107" s="99">
        <f t="shared" si="29"/>
        <v>2011</v>
      </c>
      <c r="Q107" s="99">
        <f t="shared" si="29"/>
        <v>2012</v>
      </c>
      <c r="R107" s="99">
        <f t="shared" si="29"/>
        <v>2013</v>
      </c>
      <c r="S107" s="99">
        <f t="shared" si="29"/>
        <v>2014</v>
      </c>
      <c r="T107" s="99">
        <f t="shared" si="29"/>
        <v>2015</v>
      </c>
      <c r="U107" s="99">
        <f t="shared" si="29"/>
        <v>2016</v>
      </c>
      <c r="V107" s="99">
        <f t="shared" si="29"/>
        <v>2017</v>
      </c>
      <c r="W107" s="99">
        <f t="shared" si="29"/>
        <v>2018</v>
      </c>
      <c r="X107" s="99">
        <f t="shared" si="29"/>
        <v>2019</v>
      </c>
      <c r="Y107" s="99">
        <f t="shared" si="29"/>
        <v>2020</v>
      </c>
      <c r="AA107" s="355">
        <f t="shared" si="28"/>
        <v>40210</v>
      </c>
      <c r="AB107" s="356">
        <f t="shared" si="20"/>
        <v>20105</v>
      </c>
    </row>
    <row r="108" spans="1:28" s="128" customFormat="1">
      <c r="A108" s="103" t="s">
        <v>57</v>
      </c>
      <c r="AA108" s="355">
        <f t="shared" si="28"/>
        <v>0</v>
      </c>
      <c r="AB108" s="356">
        <f t="shared" si="20"/>
        <v>0</v>
      </c>
    </row>
    <row r="109" spans="1:28" s="128" customFormat="1">
      <c r="A109" s="128" t="s">
        <v>58</v>
      </c>
      <c r="B109" s="179">
        <v>30</v>
      </c>
      <c r="C109" s="128" t="s">
        <v>0</v>
      </c>
      <c r="D109" s="143">
        <f>D105</f>
        <v>20202.055630992789</v>
      </c>
      <c r="F109" s="132">
        <f>ROUND(D109/$B$109,0)</f>
        <v>673</v>
      </c>
      <c r="G109" s="132">
        <f>F109</f>
        <v>673</v>
      </c>
      <c r="H109" s="132">
        <f t="shared" ref="H109:X110" si="30">G109</f>
        <v>673</v>
      </c>
      <c r="I109" s="132">
        <f t="shared" si="30"/>
        <v>673</v>
      </c>
      <c r="J109" s="132">
        <f t="shared" si="30"/>
        <v>673</v>
      </c>
      <c r="K109" s="132">
        <f t="shared" si="30"/>
        <v>673</v>
      </c>
      <c r="L109" s="132">
        <f t="shared" si="30"/>
        <v>673</v>
      </c>
      <c r="M109" s="132">
        <f t="shared" si="30"/>
        <v>673</v>
      </c>
      <c r="N109" s="132">
        <f t="shared" si="30"/>
        <v>673</v>
      </c>
      <c r="O109" s="132">
        <f t="shared" si="30"/>
        <v>673</v>
      </c>
      <c r="P109" s="132">
        <f t="shared" si="30"/>
        <v>673</v>
      </c>
      <c r="Q109" s="132">
        <f t="shared" si="30"/>
        <v>673</v>
      </c>
      <c r="R109" s="132">
        <f t="shared" si="30"/>
        <v>673</v>
      </c>
      <c r="S109" s="132">
        <f t="shared" si="30"/>
        <v>673</v>
      </c>
      <c r="T109" s="132">
        <f t="shared" si="30"/>
        <v>673</v>
      </c>
      <c r="U109" s="132">
        <f t="shared" si="30"/>
        <v>673</v>
      </c>
      <c r="V109" s="132">
        <f t="shared" si="30"/>
        <v>673</v>
      </c>
      <c r="W109" s="132">
        <f t="shared" si="30"/>
        <v>673</v>
      </c>
      <c r="X109" s="132">
        <f t="shared" si="30"/>
        <v>673</v>
      </c>
      <c r="Y109" s="360"/>
      <c r="AA109" s="355">
        <f t="shared" si="28"/>
        <v>12787</v>
      </c>
      <c r="AB109" s="356">
        <f t="shared" si="20"/>
        <v>6393.5</v>
      </c>
    </row>
    <row r="110" spans="1:28" s="128" customFormat="1">
      <c r="A110" s="128" t="s">
        <v>138</v>
      </c>
      <c r="D110" s="143">
        <f>D104*'FPLE_Wind Summary'!J31</f>
        <v>1395.2694622525714</v>
      </c>
      <c r="F110" s="132">
        <f>ROUND(D110/$B$109,0)</f>
        <v>47</v>
      </c>
      <c r="G110" s="132">
        <f>F110</f>
        <v>47</v>
      </c>
      <c r="H110" s="132">
        <f t="shared" si="30"/>
        <v>47</v>
      </c>
      <c r="I110" s="132">
        <f t="shared" si="30"/>
        <v>47</v>
      </c>
      <c r="J110" s="132">
        <f t="shared" si="30"/>
        <v>47</v>
      </c>
      <c r="K110" s="132">
        <f t="shared" si="30"/>
        <v>47</v>
      </c>
      <c r="L110" s="132">
        <f t="shared" si="30"/>
        <v>47</v>
      </c>
      <c r="M110" s="132">
        <f t="shared" si="30"/>
        <v>47</v>
      </c>
      <c r="N110" s="132">
        <f t="shared" si="30"/>
        <v>47</v>
      </c>
      <c r="O110" s="132">
        <f t="shared" si="30"/>
        <v>47</v>
      </c>
      <c r="P110" s="132">
        <f t="shared" si="30"/>
        <v>47</v>
      </c>
      <c r="Q110" s="132">
        <f t="shared" si="30"/>
        <v>47</v>
      </c>
      <c r="R110" s="132">
        <f t="shared" si="30"/>
        <v>47</v>
      </c>
      <c r="S110" s="132">
        <f t="shared" si="30"/>
        <v>47</v>
      </c>
      <c r="T110" s="132">
        <f t="shared" si="30"/>
        <v>47</v>
      </c>
      <c r="U110" s="132">
        <f t="shared" si="30"/>
        <v>47</v>
      </c>
      <c r="V110" s="132">
        <f t="shared" si="30"/>
        <v>47</v>
      </c>
      <c r="W110" s="132">
        <f t="shared" si="30"/>
        <v>47</v>
      </c>
      <c r="X110" s="132">
        <f t="shared" si="30"/>
        <v>47</v>
      </c>
      <c r="Y110" s="360"/>
      <c r="AA110" s="355">
        <f t="shared" si="28"/>
        <v>893</v>
      </c>
      <c r="AB110" s="356">
        <f t="shared" si="20"/>
        <v>446.5</v>
      </c>
    </row>
    <row r="111" spans="1:28" s="128" customFormat="1">
      <c r="AA111" s="355">
        <f t="shared" si="28"/>
        <v>0</v>
      </c>
      <c r="AB111" s="356">
        <f t="shared" si="20"/>
        <v>0</v>
      </c>
    </row>
    <row r="112" spans="1:28" s="128" customFormat="1">
      <c r="A112" s="103" t="s">
        <v>59</v>
      </c>
      <c r="AA112" s="355">
        <f t="shared" si="28"/>
        <v>0</v>
      </c>
      <c r="AB112" s="356">
        <f t="shared" si="20"/>
        <v>0</v>
      </c>
    </row>
    <row r="113" spans="1:28" s="128" customFormat="1">
      <c r="A113" s="104" t="s">
        <v>60</v>
      </c>
      <c r="D113" s="143">
        <f>D109</f>
        <v>20202.055630992789</v>
      </c>
      <c r="AA113" s="355">
        <f t="shared" si="28"/>
        <v>0</v>
      </c>
      <c r="AB113" s="356">
        <f t="shared" si="20"/>
        <v>0</v>
      </c>
    </row>
    <row r="114" spans="1:28" s="128" customFormat="1">
      <c r="A114" s="128" t="s">
        <v>61</v>
      </c>
      <c r="E114" s="144"/>
      <c r="F114" s="180">
        <v>0.2</v>
      </c>
      <c r="G114" s="180">
        <v>0.32</v>
      </c>
      <c r="H114" s="180">
        <v>0.192</v>
      </c>
      <c r="I114" s="180">
        <v>0.1152</v>
      </c>
      <c r="J114" s="180">
        <v>0.1152</v>
      </c>
      <c r="K114" s="180">
        <v>5.7599999999999998E-2</v>
      </c>
      <c r="L114" s="180">
        <v>0</v>
      </c>
      <c r="M114" s="180">
        <v>0</v>
      </c>
      <c r="N114" s="180">
        <v>0</v>
      </c>
      <c r="O114" s="180">
        <v>0</v>
      </c>
      <c r="P114" s="180">
        <v>0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45"/>
      <c r="AA114" s="355">
        <f t="shared" si="28"/>
        <v>0.99999999999999989</v>
      </c>
      <c r="AB114" s="356">
        <f t="shared" si="20"/>
        <v>0.49999999999999994</v>
      </c>
    </row>
    <row r="115" spans="1:28" s="128" customFormat="1">
      <c r="A115" s="128" t="s">
        <v>59</v>
      </c>
      <c r="F115" s="132">
        <f t="shared" ref="F115:X115" si="31">$D$113*F114</f>
        <v>4040.4111261985581</v>
      </c>
      <c r="G115" s="132">
        <f t="shared" si="31"/>
        <v>6464.6578019176923</v>
      </c>
      <c r="H115" s="132">
        <f t="shared" si="31"/>
        <v>3878.7946811506154</v>
      </c>
      <c r="I115" s="132">
        <f t="shared" si="31"/>
        <v>2327.2768086903693</v>
      </c>
      <c r="J115" s="132">
        <f t="shared" si="31"/>
        <v>2327.2768086903693</v>
      </c>
      <c r="K115" s="132">
        <f t="shared" si="31"/>
        <v>1163.6384043451847</v>
      </c>
      <c r="L115" s="132">
        <f t="shared" si="31"/>
        <v>0</v>
      </c>
      <c r="M115" s="132">
        <f t="shared" si="31"/>
        <v>0</v>
      </c>
      <c r="N115" s="132">
        <f t="shared" si="31"/>
        <v>0</v>
      </c>
      <c r="O115" s="132">
        <f t="shared" si="31"/>
        <v>0</v>
      </c>
      <c r="P115" s="132">
        <f t="shared" si="31"/>
        <v>0</v>
      </c>
      <c r="Q115" s="132">
        <f t="shared" si="31"/>
        <v>0</v>
      </c>
      <c r="R115" s="132">
        <f t="shared" si="31"/>
        <v>0</v>
      </c>
      <c r="S115" s="132">
        <f t="shared" si="31"/>
        <v>0</v>
      </c>
      <c r="T115" s="132">
        <f t="shared" si="31"/>
        <v>0</v>
      </c>
      <c r="U115" s="132">
        <f t="shared" si="31"/>
        <v>0</v>
      </c>
      <c r="V115" s="132">
        <f t="shared" si="31"/>
        <v>0</v>
      </c>
      <c r="W115" s="132">
        <f t="shared" si="31"/>
        <v>0</v>
      </c>
      <c r="X115" s="132">
        <f t="shared" si="31"/>
        <v>0</v>
      </c>
      <c r="Y115" s="360"/>
      <c r="AA115" s="355">
        <f t="shared" si="28"/>
        <v>20202.055630992789</v>
      </c>
      <c r="AB115" s="356">
        <f t="shared" si="20"/>
        <v>10101.027815496394</v>
      </c>
    </row>
    <row r="116" spans="1:28" s="128" customFormat="1">
      <c r="A116" s="128" t="s">
        <v>138</v>
      </c>
      <c r="D116" s="143">
        <f>D110</f>
        <v>1395.2694622525714</v>
      </c>
      <c r="F116" s="132">
        <f>$D$116*F114</f>
        <v>279.0538924505143</v>
      </c>
      <c r="G116" s="132">
        <f t="shared" ref="G116:X116" si="32">$D$116*G114</f>
        <v>446.48622792082284</v>
      </c>
      <c r="H116" s="132">
        <f t="shared" si="32"/>
        <v>267.89173675249373</v>
      </c>
      <c r="I116" s="132">
        <f t="shared" si="32"/>
        <v>160.73504205149624</v>
      </c>
      <c r="J116" s="132">
        <f t="shared" si="32"/>
        <v>160.73504205149624</v>
      </c>
      <c r="K116" s="132">
        <f t="shared" si="32"/>
        <v>80.367521025748118</v>
      </c>
      <c r="L116" s="132">
        <f t="shared" si="32"/>
        <v>0</v>
      </c>
      <c r="M116" s="132">
        <f t="shared" si="32"/>
        <v>0</v>
      </c>
      <c r="N116" s="132">
        <f t="shared" si="32"/>
        <v>0</v>
      </c>
      <c r="O116" s="132">
        <f t="shared" si="32"/>
        <v>0</v>
      </c>
      <c r="P116" s="132">
        <f t="shared" si="32"/>
        <v>0</v>
      </c>
      <c r="Q116" s="132">
        <f t="shared" si="32"/>
        <v>0</v>
      </c>
      <c r="R116" s="132">
        <f t="shared" si="32"/>
        <v>0</v>
      </c>
      <c r="S116" s="132">
        <f t="shared" si="32"/>
        <v>0</v>
      </c>
      <c r="T116" s="132">
        <f t="shared" si="32"/>
        <v>0</v>
      </c>
      <c r="U116" s="132">
        <f t="shared" si="32"/>
        <v>0</v>
      </c>
      <c r="V116" s="132">
        <f t="shared" si="32"/>
        <v>0</v>
      </c>
      <c r="W116" s="132">
        <f t="shared" si="32"/>
        <v>0</v>
      </c>
      <c r="X116" s="132">
        <f t="shared" si="32"/>
        <v>0</v>
      </c>
      <c r="Y116" s="360"/>
      <c r="AA116" s="355">
        <f t="shared" si="28"/>
        <v>1395.2694622525717</v>
      </c>
      <c r="AB116" s="356">
        <f t="shared" si="20"/>
        <v>697.63473112628583</v>
      </c>
    </row>
    <row r="117" spans="1:28" s="128" customFormat="1">
      <c r="AA117" s="355">
        <f t="shared" si="28"/>
        <v>0</v>
      </c>
      <c r="AB117" s="356">
        <f t="shared" si="20"/>
        <v>0</v>
      </c>
    </row>
    <row r="118" spans="1:28" s="128" customFormat="1">
      <c r="AA118" s="355">
        <f t="shared" si="28"/>
        <v>0</v>
      </c>
      <c r="AB118" s="356">
        <f t="shared" si="20"/>
        <v>0</v>
      </c>
    </row>
    <row r="119" spans="1:28" s="128" customFormat="1" ht="13.5" thickBot="1">
      <c r="F119" s="99">
        <f>F107</f>
        <v>2001</v>
      </c>
      <c r="G119" s="99">
        <f t="shared" ref="G119:Y119" si="33">G107</f>
        <v>2002</v>
      </c>
      <c r="H119" s="99">
        <f t="shared" si="33"/>
        <v>2003</v>
      </c>
      <c r="I119" s="99">
        <f t="shared" si="33"/>
        <v>2004</v>
      </c>
      <c r="J119" s="99">
        <f t="shared" si="33"/>
        <v>2005</v>
      </c>
      <c r="K119" s="99">
        <f t="shared" si="33"/>
        <v>2006</v>
      </c>
      <c r="L119" s="99">
        <f t="shared" si="33"/>
        <v>2007</v>
      </c>
      <c r="M119" s="99">
        <f t="shared" si="33"/>
        <v>2008</v>
      </c>
      <c r="N119" s="99">
        <f t="shared" si="33"/>
        <v>2009</v>
      </c>
      <c r="O119" s="99">
        <f t="shared" si="33"/>
        <v>2010</v>
      </c>
      <c r="P119" s="99">
        <f t="shared" si="33"/>
        <v>2011</v>
      </c>
      <c r="Q119" s="99">
        <f t="shared" si="33"/>
        <v>2012</v>
      </c>
      <c r="R119" s="99">
        <f t="shared" si="33"/>
        <v>2013</v>
      </c>
      <c r="S119" s="99">
        <f t="shared" si="33"/>
        <v>2014</v>
      </c>
      <c r="T119" s="99">
        <f t="shared" si="33"/>
        <v>2015</v>
      </c>
      <c r="U119" s="99">
        <f t="shared" si="33"/>
        <v>2016</v>
      </c>
      <c r="V119" s="99">
        <f t="shared" si="33"/>
        <v>2017</v>
      </c>
      <c r="W119" s="99">
        <f t="shared" si="33"/>
        <v>2018</v>
      </c>
      <c r="X119" s="99">
        <f t="shared" si="33"/>
        <v>2019</v>
      </c>
      <c r="Y119" s="99">
        <f t="shared" si="33"/>
        <v>2020</v>
      </c>
      <c r="AA119" s="355">
        <f t="shared" si="28"/>
        <v>40210</v>
      </c>
      <c r="AB119" s="356">
        <f t="shared" si="20"/>
        <v>20105</v>
      </c>
    </row>
    <row r="120" spans="1:28" s="128" customFormat="1">
      <c r="A120" s="98" t="s">
        <v>62</v>
      </c>
      <c r="AA120" s="355">
        <f t="shared" si="28"/>
        <v>0</v>
      </c>
      <c r="AB120" s="356">
        <f t="shared" si="20"/>
        <v>0</v>
      </c>
    </row>
    <row r="121" spans="1:28" s="128" customFormat="1">
      <c r="A121" s="146" t="str">
        <f>A64</f>
        <v>EBITDA</v>
      </c>
      <c r="F121" s="132">
        <f>F39</f>
        <v>2407.2027138376834</v>
      </c>
      <c r="G121" s="132">
        <f t="shared" ref="G121:Y121" si="34">G39</f>
        <v>2004.1379953160927</v>
      </c>
      <c r="H121" s="132">
        <f t="shared" si="34"/>
        <v>2043.4277211093886</v>
      </c>
      <c r="I121" s="132">
        <f t="shared" si="34"/>
        <v>2057.6411734743911</v>
      </c>
      <c r="J121" s="132">
        <f>J39</f>
        <v>2107.022892335558</v>
      </c>
      <c r="K121" s="132">
        <f t="shared" si="34"/>
        <v>2141.2321267577199</v>
      </c>
      <c r="L121" s="132">
        <f t="shared" si="34"/>
        <v>2176.9588967140353</v>
      </c>
      <c r="M121" s="132">
        <f t="shared" si="34"/>
        <v>2245.7432977896242</v>
      </c>
      <c r="N121" s="132">
        <f t="shared" si="34"/>
        <v>2268.8939277252539</v>
      </c>
      <c r="O121" s="132">
        <f t="shared" si="34"/>
        <v>2293.0231523762131</v>
      </c>
      <c r="P121" s="132">
        <f t="shared" si="34"/>
        <v>2316.232079902542</v>
      </c>
      <c r="Q121" s="132">
        <f t="shared" si="34"/>
        <v>2392.1535603870852</v>
      </c>
      <c r="R121" s="132">
        <f t="shared" si="34"/>
        <v>2369.848313739787</v>
      </c>
      <c r="S121" s="132">
        <f t="shared" si="34"/>
        <v>2344.798378837876</v>
      </c>
      <c r="T121" s="132">
        <f t="shared" si="34"/>
        <v>2314.6367405619958</v>
      </c>
      <c r="U121" s="132">
        <f t="shared" si="34"/>
        <v>2280.2864567615034</v>
      </c>
      <c r="V121" s="132">
        <f t="shared" si="34"/>
        <v>2379.8907326295885</v>
      </c>
      <c r="W121" s="132">
        <f t="shared" si="34"/>
        <v>2482.4125324978459</v>
      </c>
      <c r="X121" s="132">
        <f t="shared" si="34"/>
        <v>2587.9364645622845</v>
      </c>
      <c r="Y121" s="132">
        <f t="shared" si="34"/>
        <v>0</v>
      </c>
      <c r="AA121" s="355">
        <f t="shared" si="28"/>
        <v>43213.479157316469</v>
      </c>
      <c r="AB121" s="356">
        <f t="shared" si="20"/>
        <v>21606.739578658235</v>
      </c>
    </row>
    <row r="122" spans="1:28" s="128" customFormat="1">
      <c r="A122" s="128" t="s">
        <v>63</v>
      </c>
      <c r="F122" s="132">
        <f>-F115</f>
        <v>-4040.4111261985581</v>
      </c>
      <c r="G122" s="132">
        <f t="shared" ref="G122:Y122" si="35">-G115</f>
        <v>-6464.6578019176923</v>
      </c>
      <c r="H122" s="132">
        <f t="shared" si="35"/>
        <v>-3878.7946811506154</v>
      </c>
      <c r="I122" s="132">
        <f t="shared" si="35"/>
        <v>-2327.2768086903693</v>
      </c>
      <c r="J122" s="132">
        <f t="shared" si="35"/>
        <v>-2327.2768086903693</v>
      </c>
      <c r="K122" s="132">
        <f t="shared" si="35"/>
        <v>-1163.6384043451847</v>
      </c>
      <c r="L122" s="132">
        <f t="shared" si="35"/>
        <v>0</v>
      </c>
      <c r="M122" s="132">
        <f t="shared" si="35"/>
        <v>0</v>
      </c>
      <c r="N122" s="132">
        <f t="shared" si="35"/>
        <v>0</v>
      </c>
      <c r="O122" s="132">
        <f t="shared" si="35"/>
        <v>0</v>
      </c>
      <c r="P122" s="132">
        <f t="shared" si="35"/>
        <v>0</v>
      </c>
      <c r="Q122" s="132">
        <f t="shared" si="35"/>
        <v>0</v>
      </c>
      <c r="R122" s="132">
        <f t="shared" si="35"/>
        <v>0</v>
      </c>
      <c r="S122" s="132">
        <f t="shared" si="35"/>
        <v>0</v>
      </c>
      <c r="T122" s="132">
        <f t="shared" si="35"/>
        <v>0</v>
      </c>
      <c r="U122" s="132">
        <f t="shared" si="35"/>
        <v>0</v>
      </c>
      <c r="V122" s="132">
        <f t="shared" si="35"/>
        <v>0</v>
      </c>
      <c r="W122" s="132">
        <f t="shared" si="35"/>
        <v>0</v>
      </c>
      <c r="X122" s="132">
        <f t="shared" si="35"/>
        <v>0</v>
      </c>
      <c r="Y122" s="132">
        <f t="shared" si="35"/>
        <v>0</v>
      </c>
      <c r="AA122" s="355">
        <f t="shared" si="28"/>
        <v>-20202.055630992789</v>
      </c>
      <c r="AB122" s="356">
        <f t="shared" si="20"/>
        <v>-10101.027815496394</v>
      </c>
    </row>
    <row r="123" spans="1:28" s="128" customFormat="1">
      <c r="A123" s="128" t="s">
        <v>64</v>
      </c>
      <c r="F123" s="147">
        <f>-F46</f>
        <v>0</v>
      </c>
      <c r="G123" s="147">
        <f t="shared" ref="G123:Y123" si="36">-G46</f>
        <v>0</v>
      </c>
      <c r="H123" s="147">
        <f t="shared" si="36"/>
        <v>0</v>
      </c>
      <c r="I123" s="147">
        <f t="shared" si="36"/>
        <v>0</v>
      </c>
      <c r="J123" s="147">
        <f t="shared" si="36"/>
        <v>0</v>
      </c>
      <c r="K123" s="147">
        <f t="shared" si="36"/>
        <v>0</v>
      </c>
      <c r="L123" s="147">
        <f t="shared" si="36"/>
        <v>0</v>
      </c>
      <c r="M123" s="147">
        <f t="shared" si="36"/>
        <v>0</v>
      </c>
      <c r="N123" s="147">
        <f t="shared" si="36"/>
        <v>0</v>
      </c>
      <c r="O123" s="147">
        <f t="shared" si="36"/>
        <v>0</v>
      </c>
      <c r="P123" s="147">
        <f t="shared" si="36"/>
        <v>0</v>
      </c>
      <c r="Q123" s="147">
        <f t="shared" si="36"/>
        <v>0</v>
      </c>
      <c r="R123" s="147">
        <f t="shared" si="36"/>
        <v>0</v>
      </c>
      <c r="S123" s="147">
        <f t="shared" si="36"/>
        <v>0</v>
      </c>
      <c r="T123" s="147">
        <f t="shared" si="36"/>
        <v>0</v>
      </c>
      <c r="U123" s="147">
        <f t="shared" si="36"/>
        <v>0</v>
      </c>
      <c r="V123" s="147">
        <f t="shared" si="36"/>
        <v>0</v>
      </c>
      <c r="W123" s="147">
        <f t="shared" si="36"/>
        <v>0</v>
      </c>
      <c r="X123" s="147">
        <f t="shared" si="36"/>
        <v>0</v>
      </c>
      <c r="Y123" s="147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28" customFormat="1">
      <c r="A124" s="128" t="s">
        <v>65</v>
      </c>
      <c r="F124" s="132">
        <f>SUM(F121:F123)</f>
        <v>-1633.2084123608747</v>
      </c>
      <c r="G124" s="132">
        <f t="shared" ref="G124:Y124" si="37">SUM(G121:G123)</f>
        <v>-4460.5198066016001</v>
      </c>
      <c r="H124" s="132">
        <f t="shared" si="37"/>
        <v>-1835.3669600412268</v>
      </c>
      <c r="I124" s="132">
        <f t="shared" si="37"/>
        <v>-269.63563521597825</v>
      </c>
      <c r="J124" s="132">
        <f t="shared" si="37"/>
        <v>-220.25391635481128</v>
      </c>
      <c r="K124" s="132">
        <f t="shared" si="37"/>
        <v>977.59372241253527</v>
      </c>
      <c r="L124" s="132">
        <f t="shared" si="37"/>
        <v>2176.9588967140353</v>
      </c>
      <c r="M124" s="132">
        <f t="shared" si="37"/>
        <v>2245.7432977896242</v>
      </c>
      <c r="N124" s="132">
        <f t="shared" si="37"/>
        <v>2268.8939277252539</v>
      </c>
      <c r="O124" s="132">
        <f t="shared" si="37"/>
        <v>2293.0231523762131</v>
      </c>
      <c r="P124" s="132">
        <f t="shared" si="37"/>
        <v>2316.232079902542</v>
      </c>
      <c r="Q124" s="132">
        <f t="shared" si="37"/>
        <v>2392.1535603870852</v>
      </c>
      <c r="R124" s="132">
        <f t="shared" si="37"/>
        <v>2369.848313739787</v>
      </c>
      <c r="S124" s="132">
        <f t="shared" si="37"/>
        <v>2344.798378837876</v>
      </c>
      <c r="T124" s="132">
        <f t="shared" si="37"/>
        <v>2314.6367405619958</v>
      </c>
      <c r="U124" s="132">
        <f t="shared" si="37"/>
        <v>2280.2864567615034</v>
      </c>
      <c r="V124" s="132">
        <f t="shared" si="37"/>
        <v>2379.8907326295885</v>
      </c>
      <c r="W124" s="132">
        <f t="shared" si="37"/>
        <v>2482.4125324978459</v>
      </c>
      <c r="X124" s="132">
        <f t="shared" si="37"/>
        <v>2587.9364645622845</v>
      </c>
      <c r="Y124" s="132">
        <f t="shared" si="37"/>
        <v>0</v>
      </c>
      <c r="AA124" s="355">
        <f t="shared" si="28"/>
        <v>23011.423526323681</v>
      </c>
      <c r="AB124" s="356">
        <f t="shared" si="20"/>
        <v>11505.71176316184</v>
      </c>
    </row>
    <row r="125" spans="1:28" s="128" customFormat="1">
      <c r="AA125" s="355">
        <f t="shared" si="28"/>
        <v>0</v>
      </c>
      <c r="AB125" s="356">
        <f t="shared" si="20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81.660420618043744</v>
      </c>
      <c r="G126" s="132">
        <f t="shared" ref="G126:Y126" si="38">-G124*$C$126</f>
        <v>223.02599033008002</v>
      </c>
      <c r="H126" s="132">
        <f t="shared" si="38"/>
        <v>91.768348002061344</v>
      </c>
      <c r="I126" s="132">
        <f t="shared" si="38"/>
        <v>13.481781760798913</v>
      </c>
      <c r="J126" s="132">
        <f t="shared" si="38"/>
        <v>11.012695817740564</v>
      </c>
      <c r="K126" s="132">
        <f t="shared" si="38"/>
        <v>-48.879686120626765</v>
      </c>
      <c r="L126" s="132">
        <f t="shared" si="38"/>
        <v>-108.84794483570177</v>
      </c>
      <c r="M126" s="132">
        <f t="shared" si="38"/>
        <v>-112.28716488948122</v>
      </c>
      <c r="N126" s="132">
        <f t="shared" si="38"/>
        <v>-113.44469638626271</v>
      </c>
      <c r="O126" s="132">
        <f t="shared" si="38"/>
        <v>-114.65115761881066</v>
      </c>
      <c r="P126" s="132">
        <f t="shared" si="38"/>
        <v>-115.8116039951271</v>
      </c>
      <c r="Q126" s="132">
        <f t="shared" si="38"/>
        <v>-119.60767801935427</v>
      </c>
      <c r="R126" s="132">
        <f t="shared" si="38"/>
        <v>-118.49241568698936</v>
      </c>
      <c r="S126" s="132">
        <f t="shared" si="38"/>
        <v>-117.23991894189381</v>
      </c>
      <c r="T126" s="132">
        <f t="shared" si="38"/>
        <v>-115.73183702809979</v>
      </c>
      <c r="U126" s="132">
        <f t="shared" si="38"/>
        <v>-114.01432283807517</v>
      </c>
      <c r="V126" s="132">
        <f t="shared" si="38"/>
        <v>-118.99453663147943</v>
      </c>
      <c r="W126" s="132">
        <f t="shared" si="38"/>
        <v>-124.1206266248923</v>
      </c>
      <c r="X126" s="132">
        <f t="shared" si="38"/>
        <v>-129.39682322811424</v>
      </c>
      <c r="Y126" s="132">
        <f t="shared" si="38"/>
        <v>0</v>
      </c>
      <c r="AA126" s="355">
        <f t="shared" si="28"/>
        <v>-1150.5711763161842</v>
      </c>
      <c r="AB126" s="356">
        <f t="shared" si="20"/>
        <v>-575.28558815809208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543.04179710999085</v>
      </c>
      <c r="G127" s="132">
        <f t="shared" ref="G127:Y127" si="39">-(G124+G126)*$C$127</f>
        <v>1483.1228356950319</v>
      </c>
      <c r="H127" s="132">
        <f t="shared" si="39"/>
        <v>610.2595142137078</v>
      </c>
      <c r="I127" s="132">
        <f t="shared" si="39"/>
        <v>89.653848709312754</v>
      </c>
      <c r="J127" s="132">
        <f t="shared" si="39"/>
        <v>73.234427187974745</v>
      </c>
      <c r="K127" s="132">
        <f t="shared" si="39"/>
        <v>-325.04991270216794</v>
      </c>
      <c r="L127" s="132">
        <f t="shared" si="39"/>
        <v>-723.83883315741673</v>
      </c>
      <c r="M127" s="132">
        <f t="shared" si="39"/>
        <v>-746.70964651505005</v>
      </c>
      <c r="N127" s="132">
        <f t="shared" si="39"/>
        <v>-754.40723096864679</v>
      </c>
      <c r="O127" s="132">
        <f t="shared" si="39"/>
        <v>-762.43019816509093</v>
      </c>
      <c r="P127" s="132">
        <f t="shared" si="39"/>
        <v>-770.14716656759526</v>
      </c>
      <c r="Q127" s="132">
        <f t="shared" si="39"/>
        <v>-795.39105882870581</v>
      </c>
      <c r="R127" s="132">
        <f t="shared" si="39"/>
        <v>-787.97456431847922</v>
      </c>
      <c r="S127" s="132">
        <f t="shared" si="39"/>
        <v>-779.64546096359368</v>
      </c>
      <c r="T127" s="132">
        <f t="shared" si="39"/>
        <v>-769.61671623686345</v>
      </c>
      <c r="U127" s="132">
        <f t="shared" si="39"/>
        <v>-758.19524687319984</v>
      </c>
      <c r="V127" s="132">
        <f t="shared" si="39"/>
        <v>-791.31366859933803</v>
      </c>
      <c r="W127" s="132">
        <f t="shared" si="39"/>
        <v>-825.40216705553371</v>
      </c>
      <c r="X127" s="132">
        <f t="shared" si="39"/>
        <v>-860.4888744669596</v>
      </c>
      <c r="Y127" s="132">
        <f t="shared" si="39"/>
        <v>0</v>
      </c>
      <c r="AA127" s="355">
        <f t="shared" si="28"/>
        <v>-7651.2983225026237</v>
      </c>
      <c r="AB127" s="356">
        <f t="shared" si="20"/>
        <v>-3825.6491612513119</v>
      </c>
    </row>
    <row r="128" spans="1:28" s="128" customFormat="1">
      <c r="AA128" s="355">
        <f t="shared" si="28"/>
        <v>0</v>
      </c>
      <c r="AB128" s="356">
        <f t="shared" si="20"/>
        <v>0</v>
      </c>
    </row>
    <row r="129" spans="1:28" s="128" customFormat="1">
      <c r="AA129" s="355">
        <f t="shared" si="28"/>
        <v>0</v>
      </c>
      <c r="AB129" s="356">
        <f t="shared" si="20"/>
        <v>0</v>
      </c>
    </row>
    <row r="130" spans="1:28" s="128" customFormat="1">
      <c r="AA130" s="355">
        <f t="shared" si="28"/>
        <v>0</v>
      </c>
      <c r="AB130" s="356">
        <f t="shared" si="20"/>
        <v>0</v>
      </c>
    </row>
    <row r="131" spans="1:28" s="128" customFormat="1">
      <c r="AA131" s="355">
        <f t="shared" si="28"/>
        <v>0</v>
      </c>
      <c r="AB131" s="356">
        <f t="shared" si="20"/>
        <v>0</v>
      </c>
    </row>
    <row r="132" spans="1:28" s="128" customFormat="1">
      <c r="AA132" s="355">
        <f t="shared" si="28"/>
        <v>0</v>
      </c>
      <c r="AB132" s="356">
        <f t="shared" si="20"/>
        <v>0</v>
      </c>
    </row>
    <row r="133" spans="1:28" s="128" customFormat="1">
      <c r="AA133" s="355">
        <f t="shared" si="28"/>
        <v>0</v>
      </c>
      <c r="AB133" s="356">
        <f t="shared" si="20"/>
        <v>0</v>
      </c>
    </row>
    <row r="134" spans="1:28" s="128" customFormat="1">
      <c r="AA134" s="355">
        <f t="shared" si="28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0">G119</f>
        <v>2002</v>
      </c>
      <c r="H135" s="99">
        <f t="shared" si="40"/>
        <v>2003</v>
      </c>
      <c r="I135" s="99">
        <f t="shared" si="40"/>
        <v>2004</v>
      </c>
      <c r="J135" s="99">
        <f t="shared" si="40"/>
        <v>2005</v>
      </c>
      <c r="K135" s="99">
        <f t="shared" si="40"/>
        <v>2006</v>
      </c>
      <c r="L135" s="99">
        <f t="shared" si="40"/>
        <v>2007</v>
      </c>
      <c r="M135" s="99">
        <f t="shared" si="40"/>
        <v>2008</v>
      </c>
      <c r="N135" s="99">
        <f t="shared" si="40"/>
        <v>2009</v>
      </c>
      <c r="O135" s="99">
        <f t="shared" si="40"/>
        <v>2010</v>
      </c>
      <c r="P135" s="99">
        <f t="shared" si="40"/>
        <v>2011</v>
      </c>
      <c r="Q135" s="99">
        <f t="shared" si="40"/>
        <v>2012</v>
      </c>
      <c r="R135" s="99">
        <f t="shared" si="40"/>
        <v>2013</v>
      </c>
      <c r="S135" s="99">
        <f t="shared" si="40"/>
        <v>2014</v>
      </c>
      <c r="T135" s="99">
        <f t="shared" si="40"/>
        <v>2015</v>
      </c>
      <c r="U135" s="99">
        <f t="shared" si="40"/>
        <v>2016</v>
      </c>
      <c r="V135" s="99">
        <f t="shared" si="40"/>
        <v>2017</v>
      </c>
      <c r="W135" s="99">
        <f t="shared" si="40"/>
        <v>2018</v>
      </c>
      <c r="X135" s="99">
        <f t="shared" si="40"/>
        <v>2019</v>
      </c>
      <c r="Y135" s="9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28" customFormat="1">
      <c r="AA136" s="355">
        <f t="shared" si="28"/>
        <v>0</v>
      </c>
      <c r="AB136" s="356">
        <f t="shared" si="41"/>
        <v>0</v>
      </c>
    </row>
    <row r="137" spans="1:28" s="128" customFormat="1">
      <c r="A137" s="128" t="s">
        <v>78</v>
      </c>
      <c r="F137" s="181">
        <f>F46</f>
        <v>0</v>
      </c>
      <c r="G137" s="181">
        <f t="shared" ref="G137:Y137" si="42">G46</f>
        <v>0</v>
      </c>
      <c r="H137" s="181">
        <f t="shared" si="42"/>
        <v>0</v>
      </c>
      <c r="I137" s="181">
        <f t="shared" si="42"/>
        <v>0</v>
      </c>
      <c r="J137" s="181">
        <f t="shared" si="42"/>
        <v>0</v>
      </c>
      <c r="K137" s="181">
        <f t="shared" si="42"/>
        <v>0</v>
      </c>
      <c r="L137" s="181">
        <f t="shared" si="42"/>
        <v>0</v>
      </c>
      <c r="M137" s="181">
        <f t="shared" si="42"/>
        <v>0</v>
      </c>
      <c r="N137" s="181">
        <f t="shared" si="42"/>
        <v>0</v>
      </c>
      <c r="O137" s="181">
        <f t="shared" si="42"/>
        <v>0</v>
      </c>
      <c r="P137" s="181">
        <f t="shared" si="42"/>
        <v>0</v>
      </c>
      <c r="Q137" s="181">
        <f t="shared" si="42"/>
        <v>0</v>
      </c>
      <c r="R137" s="181">
        <f t="shared" si="42"/>
        <v>0</v>
      </c>
      <c r="S137" s="181">
        <f t="shared" si="42"/>
        <v>0</v>
      </c>
      <c r="T137" s="181">
        <f t="shared" si="42"/>
        <v>0</v>
      </c>
      <c r="U137" s="181">
        <f t="shared" si="42"/>
        <v>0</v>
      </c>
      <c r="V137" s="181">
        <f t="shared" si="42"/>
        <v>0</v>
      </c>
      <c r="W137" s="181">
        <f t="shared" si="42"/>
        <v>0</v>
      </c>
      <c r="X137" s="181">
        <f t="shared" si="42"/>
        <v>0</v>
      </c>
      <c r="Y137" s="181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28" customFormat="1">
      <c r="A138" s="128" t="s">
        <v>67</v>
      </c>
      <c r="F138" s="147">
        <f t="shared" ref="F138:Y138" si="43">SUM(F33:F35)</f>
        <v>0</v>
      </c>
      <c r="G138" s="147">
        <f t="shared" si="43"/>
        <v>0</v>
      </c>
      <c r="H138" s="147">
        <f t="shared" si="43"/>
        <v>0</v>
      </c>
      <c r="I138" s="147">
        <f t="shared" si="43"/>
        <v>0</v>
      </c>
      <c r="J138" s="147">
        <f t="shared" si="43"/>
        <v>0</v>
      </c>
      <c r="K138" s="147">
        <f t="shared" si="43"/>
        <v>0</v>
      </c>
      <c r="L138" s="147">
        <f t="shared" si="43"/>
        <v>0</v>
      </c>
      <c r="M138" s="147">
        <f t="shared" si="43"/>
        <v>0</v>
      </c>
      <c r="N138" s="147">
        <f t="shared" si="43"/>
        <v>0</v>
      </c>
      <c r="O138" s="147">
        <f t="shared" si="43"/>
        <v>0</v>
      </c>
      <c r="P138" s="147">
        <f t="shared" si="43"/>
        <v>0</v>
      </c>
      <c r="Q138" s="147">
        <f t="shared" si="43"/>
        <v>0</v>
      </c>
      <c r="R138" s="147">
        <f t="shared" si="43"/>
        <v>0</v>
      </c>
      <c r="S138" s="147">
        <f t="shared" si="43"/>
        <v>0</v>
      </c>
      <c r="T138" s="147">
        <f t="shared" si="43"/>
        <v>0</v>
      </c>
      <c r="U138" s="147">
        <f t="shared" si="43"/>
        <v>0</v>
      </c>
      <c r="V138" s="147">
        <f t="shared" si="43"/>
        <v>0</v>
      </c>
      <c r="W138" s="147">
        <f t="shared" si="43"/>
        <v>0</v>
      </c>
      <c r="X138" s="147">
        <f t="shared" si="43"/>
        <v>0</v>
      </c>
      <c r="Y138" s="147">
        <f t="shared" si="43"/>
        <v>0</v>
      </c>
      <c r="AA138" s="355">
        <f t="shared" si="28"/>
        <v>0</v>
      </c>
      <c r="AB138" s="356">
        <f t="shared" si="41"/>
        <v>0</v>
      </c>
    </row>
    <row r="139" spans="1:28" s="128" customFormat="1">
      <c r="A139" s="128" t="s">
        <v>68</v>
      </c>
      <c r="F139" s="132">
        <f>F137+F138</f>
        <v>0</v>
      </c>
      <c r="G139" s="132">
        <f t="shared" ref="G139:Y139" si="44">G137+G138</f>
        <v>0</v>
      </c>
      <c r="H139" s="132">
        <f t="shared" si="44"/>
        <v>0</v>
      </c>
      <c r="I139" s="132">
        <f t="shared" si="44"/>
        <v>0</v>
      </c>
      <c r="J139" s="132">
        <f t="shared" si="44"/>
        <v>0</v>
      </c>
      <c r="K139" s="132">
        <f t="shared" si="44"/>
        <v>0</v>
      </c>
      <c r="L139" s="132">
        <f t="shared" si="44"/>
        <v>0</v>
      </c>
      <c r="M139" s="132">
        <f t="shared" si="44"/>
        <v>0</v>
      </c>
      <c r="N139" s="132">
        <f t="shared" si="44"/>
        <v>0</v>
      </c>
      <c r="O139" s="132">
        <f t="shared" si="44"/>
        <v>0</v>
      </c>
      <c r="P139" s="132">
        <f t="shared" si="44"/>
        <v>0</v>
      </c>
      <c r="Q139" s="132">
        <f t="shared" si="44"/>
        <v>0</v>
      </c>
      <c r="R139" s="132">
        <f t="shared" si="44"/>
        <v>0</v>
      </c>
      <c r="S139" s="132">
        <f t="shared" si="44"/>
        <v>0</v>
      </c>
      <c r="T139" s="132">
        <f t="shared" si="44"/>
        <v>0</v>
      </c>
      <c r="U139" s="132">
        <f t="shared" si="44"/>
        <v>0</v>
      </c>
      <c r="V139" s="132">
        <f t="shared" si="44"/>
        <v>0</v>
      </c>
      <c r="W139" s="132">
        <f t="shared" si="44"/>
        <v>0</v>
      </c>
      <c r="X139" s="132">
        <f t="shared" si="44"/>
        <v>0</v>
      </c>
      <c r="Y139" s="132">
        <f t="shared" si="44"/>
        <v>0</v>
      </c>
      <c r="AA139" s="355">
        <f t="shared" si="28"/>
        <v>0</v>
      </c>
      <c r="AB139" s="356">
        <f t="shared" si="41"/>
        <v>0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0</v>
      </c>
      <c r="G140" s="132">
        <f t="shared" ref="G140:Y140" si="45">G139*$C$140</f>
        <v>0</v>
      </c>
      <c r="H140" s="132">
        <f t="shared" si="45"/>
        <v>0</v>
      </c>
      <c r="I140" s="132">
        <f t="shared" si="45"/>
        <v>0</v>
      </c>
      <c r="J140" s="132">
        <f t="shared" si="45"/>
        <v>0</v>
      </c>
      <c r="K140" s="132">
        <f t="shared" si="45"/>
        <v>0</v>
      </c>
      <c r="L140" s="132">
        <f t="shared" si="45"/>
        <v>0</v>
      </c>
      <c r="M140" s="132">
        <f t="shared" si="45"/>
        <v>0</v>
      </c>
      <c r="N140" s="132">
        <f t="shared" si="45"/>
        <v>0</v>
      </c>
      <c r="O140" s="132">
        <f t="shared" si="45"/>
        <v>0</v>
      </c>
      <c r="P140" s="132">
        <f t="shared" si="45"/>
        <v>0</v>
      </c>
      <c r="Q140" s="132">
        <f t="shared" si="45"/>
        <v>0</v>
      </c>
      <c r="R140" s="132">
        <f t="shared" si="45"/>
        <v>0</v>
      </c>
      <c r="S140" s="132">
        <f t="shared" si="45"/>
        <v>0</v>
      </c>
      <c r="T140" s="132">
        <f t="shared" si="45"/>
        <v>0</v>
      </c>
      <c r="U140" s="132">
        <f t="shared" si="45"/>
        <v>0</v>
      </c>
      <c r="V140" s="132">
        <f t="shared" si="45"/>
        <v>0</v>
      </c>
      <c r="W140" s="132">
        <f t="shared" si="45"/>
        <v>0</v>
      </c>
      <c r="X140" s="132">
        <f t="shared" si="45"/>
        <v>0</v>
      </c>
      <c r="Y140" s="132">
        <f t="shared" si="45"/>
        <v>0</v>
      </c>
      <c r="AA140" s="355">
        <f t="shared" si="28"/>
        <v>0</v>
      </c>
      <c r="AB140" s="356">
        <f t="shared" si="41"/>
        <v>0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0</v>
      </c>
      <c r="G141" s="147">
        <f t="shared" ref="G141:Y141" si="46">(G139-G140)*$C$141</f>
        <v>0</v>
      </c>
      <c r="H141" s="147">
        <f t="shared" si="46"/>
        <v>0</v>
      </c>
      <c r="I141" s="147">
        <f t="shared" si="46"/>
        <v>0</v>
      </c>
      <c r="J141" s="147">
        <f t="shared" si="46"/>
        <v>0</v>
      </c>
      <c r="K141" s="147">
        <f t="shared" si="46"/>
        <v>0</v>
      </c>
      <c r="L141" s="147">
        <f t="shared" si="46"/>
        <v>0</v>
      </c>
      <c r="M141" s="147">
        <f t="shared" si="46"/>
        <v>0</v>
      </c>
      <c r="N141" s="147">
        <f t="shared" si="46"/>
        <v>0</v>
      </c>
      <c r="O141" s="147">
        <f t="shared" si="46"/>
        <v>0</v>
      </c>
      <c r="P141" s="147">
        <f t="shared" si="46"/>
        <v>0</v>
      </c>
      <c r="Q141" s="147">
        <f t="shared" si="46"/>
        <v>0</v>
      </c>
      <c r="R141" s="147">
        <f t="shared" si="46"/>
        <v>0</v>
      </c>
      <c r="S141" s="147">
        <f t="shared" si="46"/>
        <v>0</v>
      </c>
      <c r="T141" s="147">
        <f t="shared" si="46"/>
        <v>0</v>
      </c>
      <c r="U141" s="147">
        <f t="shared" si="46"/>
        <v>0</v>
      </c>
      <c r="V141" s="147">
        <f t="shared" si="46"/>
        <v>0</v>
      </c>
      <c r="W141" s="147">
        <f t="shared" si="46"/>
        <v>0</v>
      </c>
      <c r="X141" s="147">
        <f t="shared" si="46"/>
        <v>0</v>
      </c>
      <c r="Y141" s="147">
        <f t="shared" si="46"/>
        <v>0</v>
      </c>
      <c r="AA141" s="355">
        <f t="shared" si="28"/>
        <v>0</v>
      </c>
      <c r="AB141" s="356">
        <f t="shared" si="41"/>
        <v>0</v>
      </c>
    </row>
    <row r="142" spans="1:28" s="128" customFormat="1">
      <c r="A142" s="128" t="s">
        <v>71</v>
      </c>
      <c r="F142" s="132">
        <f>F139-F140-F141</f>
        <v>0</v>
      </c>
      <c r="G142" s="132">
        <f t="shared" ref="G142:Y142" si="47">G139-G140-G141</f>
        <v>0</v>
      </c>
      <c r="H142" s="132">
        <f t="shared" si="47"/>
        <v>0</v>
      </c>
      <c r="I142" s="132">
        <f t="shared" si="47"/>
        <v>0</v>
      </c>
      <c r="J142" s="132">
        <f t="shared" si="47"/>
        <v>0</v>
      </c>
      <c r="K142" s="132">
        <f t="shared" si="47"/>
        <v>0</v>
      </c>
      <c r="L142" s="132">
        <f t="shared" si="47"/>
        <v>0</v>
      </c>
      <c r="M142" s="132">
        <f t="shared" si="47"/>
        <v>0</v>
      </c>
      <c r="N142" s="132">
        <f t="shared" si="47"/>
        <v>0</v>
      </c>
      <c r="O142" s="132">
        <f t="shared" si="47"/>
        <v>0</v>
      </c>
      <c r="P142" s="132">
        <f t="shared" si="47"/>
        <v>0</v>
      </c>
      <c r="Q142" s="132">
        <f t="shared" si="47"/>
        <v>0</v>
      </c>
      <c r="R142" s="132">
        <f t="shared" si="47"/>
        <v>0</v>
      </c>
      <c r="S142" s="132">
        <f t="shared" si="47"/>
        <v>0</v>
      </c>
      <c r="T142" s="132">
        <f t="shared" si="47"/>
        <v>0</v>
      </c>
      <c r="U142" s="132">
        <f t="shared" si="47"/>
        <v>0</v>
      </c>
      <c r="V142" s="132">
        <f t="shared" si="47"/>
        <v>0</v>
      </c>
      <c r="W142" s="132">
        <f t="shared" si="47"/>
        <v>0</v>
      </c>
      <c r="X142" s="132">
        <f t="shared" si="47"/>
        <v>0</v>
      </c>
      <c r="Y142" s="132">
        <f t="shared" si="47"/>
        <v>0</v>
      </c>
      <c r="AA142" s="355">
        <f t="shared" si="28"/>
        <v>0</v>
      </c>
      <c r="AB142" s="356">
        <f t="shared" si="41"/>
        <v>0</v>
      </c>
    </row>
    <row r="143" spans="1:28" s="128" customFormat="1">
      <c r="AA143" s="355">
        <f t="shared" si="28"/>
        <v>0</v>
      </c>
      <c r="AB143" s="356">
        <f t="shared" si="41"/>
        <v>0</v>
      </c>
    </row>
    <row r="144" spans="1:28" s="128" customFormat="1">
      <c r="A144" s="146" t="str">
        <f>A76</f>
        <v>Net Income to FPLE</v>
      </c>
      <c r="F144" s="149">
        <f>F76</f>
        <v>535.43508789738473</v>
      </c>
      <c r="G144" s="149">
        <f t="shared" ref="G144:Y144" si="48">G76</f>
        <v>410.98885605384362</v>
      </c>
      <c r="H144" s="149">
        <f t="shared" si="48"/>
        <v>423.11955889252374</v>
      </c>
      <c r="I144" s="149">
        <f t="shared" si="48"/>
        <v>427.5079623102182</v>
      </c>
      <c r="J144" s="149">
        <f t="shared" si="48"/>
        <v>442.7545680086036</v>
      </c>
      <c r="K144" s="149">
        <f t="shared" si="48"/>
        <v>453.31666913644602</v>
      </c>
      <c r="L144" s="149">
        <f t="shared" si="48"/>
        <v>464.34730936045844</v>
      </c>
      <c r="M144" s="149">
        <f t="shared" si="48"/>
        <v>485.58449319254646</v>
      </c>
      <c r="N144" s="149">
        <f t="shared" si="48"/>
        <v>492.73225018517212</v>
      </c>
      <c r="O144" s="149">
        <f t="shared" si="48"/>
        <v>500.18214829615584</v>
      </c>
      <c r="P144" s="149">
        <f t="shared" si="48"/>
        <v>507.34790466990984</v>
      </c>
      <c r="Q144" s="149">
        <f t="shared" si="48"/>
        <v>530.7886617695126</v>
      </c>
      <c r="R144" s="149">
        <f t="shared" si="48"/>
        <v>523.90191686715923</v>
      </c>
      <c r="S144" s="149">
        <f t="shared" si="48"/>
        <v>516.16774946619421</v>
      </c>
      <c r="T144" s="149">
        <f t="shared" si="48"/>
        <v>506.85534364851623</v>
      </c>
      <c r="U144" s="149">
        <f t="shared" si="48"/>
        <v>496.2496935251142</v>
      </c>
      <c r="V144" s="149">
        <f t="shared" si="48"/>
        <v>527.00251369938542</v>
      </c>
      <c r="W144" s="149">
        <f t="shared" si="48"/>
        <v>558.65611940870997</v>
      </c>
      <c r="X144" s="149">
        <f t="shared" si="48"/>
        <v>591.23663343360545</v>
      </c>
      <c r="Y144" s="149">
        <f t="shared" si="48"/>
        <v>0</v>
      </c>
      <c r="AA144" s="355">
        <f t="shared" si="28"/>
        <v>9394.175439821458</v>
      </c>
      <c r="AB144" s="356">
        <f t="shared" si="41"/>
        <v>9394.175439821458</v>
      </c>
    </row>
    <row r="145" spans="1:28" s="128" customFormat="1">
      <c r="A145" s="103" t="s">
        <v>79</v>
      </c>
      <c r="F145" s="142">
        <f>F142+F144</f>
        <v>535.43508789738473</v>
      </c>
      <c r="G145" s="142">
        <f t="shared" ref="G145:Y145" si="49">G142+G144</f>
        <v>410.98885605384362</v>
      </c>
      <c r="H145" s="142">
        <f t="shared" si="49"/>
        <v>423.11955889252374</v>
      </c>
      <c r="I145" s="142">
        <f t="shared" si="49"/>
        <v>427.5079623102182</v>
      </c>
      <c r="J145" s="142">
        <f t="shared" si="49"/>
        <v>442.7545680086036</v>
      </c>
      <c r="K145" s="142">
        <f t="shared" si="49"/>
        <v>453.31666913644602</v>
      </c>
      <c r="L145" s="142">
        <f t="shared" si="49"/>
        <v>464.34730936045844</v>
      </c>
      <c r="M145" s="142">
        <f t="shared" si="49"/>
        <v>485.58449319254646</v>
      </c>
      <c r="N145" s="142">
        <f t="shared" si="49"/>
        <v>492.73225018517212</v>
      </c>
      <c r="O145" s="142">
        <f t="shared" si="49"/>
        <v>500.18214829615584</v>
      </c>
      <c r="P145" s="142">
        <f t="shared" si="49"/>
        <v>507.34790466990984</v>
      </c>
      <c r="Q145" s="142">
        <f t="shared" si="49"/>
        <v>530.7886617695126</v>
      </c>
      <c r="R145" s="142">
        <f t="shared" si="49"/>
        <v>523.90191686715923</v>
      </c>
      <c r="S145" s="142">
        <f t="shared" si="49"/>
        <v>516.16774946619421</v>
      </c>
      <c r="T145" s="142">
        <f t="shared" si="49"/>
        <v>506.85534364851623</v>
      </c>
      <c r="U145" s="142">
        <f t="shared" si="49"/>
        <v>496.2496935251142</v>
      </c>
      <c r="V145" s="142">
        <f t="shared" si="49"/>
        <v>527.00251369938542</v>
      </c>
      <c r="W145" s="142">
        <f t="shared" si="49"/>
        <v>558.65611940870997</v>
      </c>
      <c r="X145" s="142">
        <f t="shared" si="49"/>
        <v>591.23663343360545</v>
      </c>
      <c r="Y145" s="142">
        <f t="shared" si="49"/>
        <v>0</v>
      </c>
      <c r="AA145" s="355">
        <f t="shared" si="28"/>
        <v>9394.175439821458</v>
      </c>
      <c r="AB145" s="356">
        <f t="shared" si="41"/>
        <v>9394.175439821458</v>
      </c>
    </row>
    <row r="146" spans="1:28" s="128" customFormat="1">
      <c r="AA146" s="355">
        <f t="shared" si="28"/>
        <v>0</v>
      </c>
      <c r="AB146" s="356">
        <f t="shared" si="41"/>
        <v>0</v>
      </c>
    </row>
    <row r="147" spans="1:28" s="128" customFormat="1">
      <c r="AA147" s="355">
        <f t="shared" si="28"/>
        <v>0</v>
      </c>
      <c r="AB147" s="356">
        <f t="shared" si="41"/>
        <v>0</v>
      </c>
    </row>
    <row r="148" spans="1:28" s="128" customFormat="1">
      <c r="AA148" s="355">
        <f t="shared" si="28"/>
        <v>0</v>
      </c>
      <c r="AB148" s="356">
        <f t="shared" si="41"/>
        <v>0</v>
      </c>
    </row>
    <row r="149" spans="1:28" s="128" customFormat="1">
      <c r="A149" s="105" t="s">
        <v>110</v>
      </c>
      <c r="AA149" s="355">
        <f t="shared" si="28"/>
        <v>0</v>
      </c>
      <c r="AB149" s="356">
        <f t="shared" si="41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0</v>
      </c>
      <c r="G150" s="129">
        <f t="shared" ref="G150:Y150" si="50">G142</f>
        <v>0</v>
      </c>
      <c r="H150" s="129">
        <f t="shared" si="50"/>
        <v>0</v>
      </c>
      <c r="I150" s="129">
        <f t="shared" si="50"/>
        <v>0</v>
      </c>
      <c r="J150" s="129">
        <f t="shared" si="50"/>
        <v>0</v>
      </c>
      <c r="K150" s="129">
        <f t="shared" si="50"/>
        <v>0</v>
      </c>
      <c r="L150" s="129">
        <f t="shared" si="50"/>
        <v>0</v>
      </c>
      <c r="M150" s="129">
        <f t="shared" si="50"/>
        <v>0</v>
      </c>
      <c r="N150" s="129">
        <f t="shared" si="50"/>
        <v>0</v>
      </c>
      <c r="O150" s="129">
        <f t="shared" si="50"/>
        <v>0</v>
      </c>
      <c r="P150" s="129">
        <f t="shared" si="50"/>
        <v>0</v>
      </c>
      <c r="Q150" s="129">
        <f t="shared" si="50"/>
        <v>0</v>
      </c>
      <c r="R150" s="129">
        <f t="shared" si="50"/>
        <v>0</v>
      </c>
      <c r="S150" s="129">
        <f t="shared" si="50"/>
        <v>0</v>
      </c>
      <c r="T150" s="129">
        <f t="shared" si="50"/>
        <v>0</v>
      </c>
      <c r="U150" s="129">
        <f t="shared" si="50"/>
        <v>0</v>
      </c>
      <c r="V150" s="129">
        <f t="shared" si="50"/>
        <v>0</v>
      </c>
      <c r="W150" s="129">
        <f t="shared" si="50"/>
        <v>0</v>
      </c>
      <c r="X150" s="129">
        <f t="shared" si="50"/>
        <v>0</v>
      </c>
      <c r="Y150" s="129">
        <f t="shared" si="50"/>
        <v>0</v>
      </c>
      <c r="AA150" s="355">
        <f t="shared" si="28"/>
        <v>0</v>
      </c>
      <c r="AB150" s="356">
        <f t="shared" si="41"/>
        <v>0</v>
      </c>
    </row>
    <row r="151" spans="1:28" s="128" customFormat="1">
      <c r="A151" s="128" t="s">
        <v>111</v>
      </c>
      <c r="F151" s="182">
        <v>0</v>
      </c>
      <c r="G151" s="182">
        <v>0</v>
      </c>
      <c r="H151" s="182">
        <v>0</v>
      </c>
      <c r="I151" s="182">
        <v>0</v>
      </c>
      <c r="J151" s="182">
        <v>0</v>
      </c>
      <c r="K151" s="182">
        <v>0</v>
      </c>
      <c r="L151" s="182">
        <v>0</v>
      </c>
      <c r="M151" s="182">
        <v>0</v>
      </c>
      <c r="N151" s="182">
        <v>0</v>
      </c>
      <c r="O151" s="182">
        <v>0</v>
      </c>
      <c r="P151" s="182">
        <v>0</v>
      </c>
      <c r="Q151" s="182">
        <v>0</v>
      </c>
      <c r="R151" s="182">
        <v>0</v>
      </c>
      <c r="S151" s="182">
        <v>0</v>
      </c>
      <c r="T151" s="182">
        <v>0</v>
      </c>
      <c r="U151" s="182">
        <v>0</v>
      </c>
      <c r="V151" s="182">
        <v>0</v>
      </c>
      <c r="W151" s="182">
        <v>0</v>
      </c>
      <c r="X151" s="182">
        <v>0</v>
      </c>
      <c r="Y151" s="182">
        <v>0</v>
      </c>
      <c r="AA151" s="355">
        <f t="shared" si="28"/>
        <v>0</v>
      </c>
      <c r="AB151" s="356">
        <f t="shared" si="41"/>
        <v>0</v>
      </c>
    </row>
    <row r="152" spans="1:28" s="128" customFormat="1">
      <c r="F152" s="129">
        <f>F150+F151</f>
        <v>0</v>
      </c>
      <c r="G152" s="129">
        <f t="shared" ref="G152:Y152" si="51">G150+G151</f>
        <v>0</v>
      </c>
      <c r="H152" s="129">
        <f t="shared" si="51"/>
        <v>0</v>
      </c>
      <c r="I152" s="129">
        <f t="shared" si="51"/>
        <v>0</v>
      </c>
      <c r="J152" s="129">
        <f t="shared" si="51"/>
        <v>0</v>
      </c>
      <c r="K152" s="129">
        <f t="shared" si="51"/>
        <v>0</v>
      </c>
      <c r="L152" s="129">
        <f t="shared" si="51"/>
        <v>0</v>
      </c>
      <c r="M152" s="129">
        <f t="shared" si="51"/>
        <v>0</v>
      </c>
      <c r="N152" s="129">
        <f t="shared" si="51"/>
        <v>0</v>
      </c>
      <c r="O152" s="129">
        <f t="shared" si="51"/>
        <v>0</v>
      </c>
      <c r="P152" s="129">
        <f t="shared" si="51"/>
        <v>0</v>
      </c>
      <c r="Q152" s="129">
        <f t="shared" si="51"/>
        <v>0</v>
      </c>
      <c r="R152" s="129">
        <f t="shared" si="51"/>
        <v>0</v>
      </c>
      <c r="S152" s="129">
        <f t="shared" si="51"/>
        <v>0</v>
      </c>
      <c r="T152" s="129">
        <f t="shared" si="51"/>
        <v>0</v>
      </c>
      <c r="U152" s="129">
        <f t="shared" si="51"/>
        <v>0</v>
      </c>
      <c r="V152" s="129">
        <f t="shared" si="51"/>
        <v>0</v>
      </c>
      <c r="W152" s="129">
        <f t="shared" si="51"/>
        <v>0</v>
      </c>
      <c r="X152" s="129">
        <f t="shared" si="51"/>
        <v>0</v>
      </c>
      <c r="Y152" s="129">
        <f t="shared" si="51"/>
        <v>0</v>
      </c>
      <c r="AA152" s="355">
        <f t="shared" si="28"/>
        <v>0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0</v>
      </c>
    </row>
    <row r="156" spans="1:28" s="128" customFormat="1" ht="13.5" thickBot="1">
      <c r="A156" s="128" t="s">
        <v>48</v>
      </c>
      <c r="C156" s="152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11223.364239440438</v>
      </c>
    </row>
    <row r="161" spans="1:25" s="128" customFormat="1">
      <c r="A161" s="108" t="s">
        <v>74</v>
      </c>
      <c r="B161" s="109"/>
      <c r="C161" s="109"/>
      <c r="D161" s="183">
        <v>0</v>
      </c>
      <c r="F161" s="150"/>
    </row>
    <row r="162" spans="1:25" s="128" customFormat="1">
      <c r="A162" s="108" t="s">
        <v>75</v>
      </c>
      <c r="B162" s="109"/>
      <c r="C162" s="109"/>
      <c r="D162" s="111">
        <f>C155-D161</f>
        <v>0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11223.364239440438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/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/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/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/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17"/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17"/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/>
      <c r="B175" s="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17"/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/>
      <c r="B177" s="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/>
      <c r="B178" s="17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/>
      <c r="B179" s="1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17"/>
      <c r="B180" s="1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17"/>
      <c r="B181" s="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17"/>
      <c r="B182" s="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/>
      <c r="B183" s="17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3.5" outlineLevel="1">
      <c r="A184" s="97"/>
      <c r="B184" s="6"/>
      <c r="C184" s="6"/>
      <c r="D184" s="31"/>
      <c r="E184" s="6"/>
      <c r="F184" s="6"/>
      <c r="G184" s="31"/>
      <c r="H184" s="6"/>
      <c r="I184" s="6"/>
      <c r="J184" s="6"/>
      <c r="K184" s="6"/>
      <c r="L184" s="6"/>
      <c r="M184" s="6"/>
      <c r="N184" s="6"/>
      <c r="O184" s="6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17"/>
      <c r="B185" s="6"/>
      <c r="C185" s="33"/>
      <c r="D185" s="31"/>
      <c r="E185" s="31"/>
      <c r="F185" s="31"/>
      <c r="G185" s="184"/>
      <c r="H185" s="185"/>
      <c r="I185" s="185"/>
      <c r="J185" s="185"/>
      <c r="K185" s="185"/>
      <c r="L185" s="185"/>
      <c r="M185" s="185"/>
      <c r="N185" s="185"/>
      <c r="O185" s="185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17"/>
      <c r="B186" s="36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36"/>
      <c r="B187" s="36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36"/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36"/>
      <c r="B189" s="6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6"/>
      <c r="B190" s="1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17"/>
      <c r="B191" s="1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1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6"/>
      <c r="B194" s="1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17"/>
      <c r="B195" s="6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38"/>
      <c r="B196" s="6"/>
      <c r="C196" s="6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40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39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8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40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" customHeight="1" outlineLevel="1">
      <c r="A219" s="40"/>
      <c r="B219" s="6"/>
      <c r="C219" s="6"/>
      <c r="D219" s="6"/>
      <c r="E219" s="27"/>
      <c r="F219" s="27"/>
      <c r="G219" s="2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4.25" customHeight="1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outlineLevel="1">
      <c r="A223" s="40"/>
      <c r="B223" s="6"/>
      <c r="C223" s="6"/>
      <c r="D223" s="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outlineLevel="1">
      <c r="A224" s="42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27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6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17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6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6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3"/>
      <c r="B236" s="3"/>
      <c r="C236" s="3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outlineLevel="1">
      <c r="A237" s="40"/>
      <c r="B237" s="6"/>
      <c r="C237" s="6"/>
      <c r="D237" s="6"/>
      <c r="E237" s="27"/>
      <c r="F237" s="27"/>
      <c r="G237" s="2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outlineLevel="1">
      <c r="A238" s="39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8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27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40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39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20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27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40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27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40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39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40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39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8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8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40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9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39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8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40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6"/>
      <c r="B279" s="6"/>
      <c r="C279" s="6"/>
      <c r="D279" s="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outlineLevel="1">
      <c r="A280" s="6"/>
      <c r="B280" s="6"/>
      <c r="C280" s="6"/>
      <c r="D280" s="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6"/>
      <c r="B281" s="6"/>
      <c r="C281" s="6"/>
      <c r="D281" s="6"/>
      <c r="E281" s="6"/>
      <c r="F281" s="6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3"/>
      <c r="B282" s="3"/>
      <c r="C282" s="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outlineLevel="1">
      <c r="A283" s="17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17"/>
      <c r="B284" s="43"/>
      <c r="C284" s="4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17"/>
      <c r="B287" s="17"/>
      <c r="C287" s="17"/>
      <c r="D287" s="1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44"/>
      <c r="B288" s="17"/>
      <c r="C288" s="17"/>
      <c r="D288" s="17"/>
      <c r="E288" s="45"/>
      <c r="F288" s="45"/>
      <c r="G288" s="45"/>
      <c r="H288" s="45"/>
      <c r="I288" s="45"/>
      <c r="J288" s="45"/>
      <c r="K288" s="45"/>
      <c r="L288" s="45"/>
      <c r="M288" s="6"/>
      <c r="N288" s="4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17"/>
      <c r="C289" s="17"/>
      <c r="D289" s="17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3"/>
      <c r="C292" s="3"/>
      <c r="D292" s="3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6"/>
      <c r="B293" s="6"/>
      <c r="C293" s="6"/>
      <c r="D293" s="6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17"/>
      <c r="B294" s="17"/>
      <c r="C294" s="17"/>
      <c r="D294" s="17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44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17"/>
      <c r="B306" s="17"/>
      <c r="C306" s="17"/>
      <c r="D306" s="17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17"/>
      <c r="B309" s="17"/>
      <c r="C309" s="17"/>
      <c r="D309" s="17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17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6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46"/>
      <c r="C312" s="46"/>
      <c r="D312" s="46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17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44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17"/>
      <c r="B315" s="17"/>
      <c r="C315" s="17"/>
      <c r="D315" s="17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6"/>
      <c r="B316" s="6"/>
      <c r="C316" s="6"/>
      <c r="D316" s="6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17"/>
      <c r="B317" s="17"/>
      <c r="C317" s="17"/>
      <c r="D317" s="17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6"/>
      <c r="C323" s="6"/>
      <c r="D323" s="6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17"/>
      <c r="B324" s="17"/>
      <c r="C324" s="17"/>
      <c r="D324" s="17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17"/>
      <c r="B325" s="17"/>
      <c r="C325" s="17"/>
      <c r="D325" s="17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6"/>
      <c r="B326" s="6"/>
      <c r="C326" s="6"/>
      <c r="D326" s="6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47"/>
      <c r="C327" s="47"/>
      <c r="D327" s="6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43"/>
      <c r="C328" s="43"/>
      <c r="D328" s="43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48"/>
      <c r="C330" s="48"/>
      <c r="D330" s="6"/>
      <c r="E330" s="6"/>
      <c r="F330" s="6"/>
      <c r="G330" s="20"/>
      <c r="H330" s="20"/>
      <c r="I330" s="20"/>
      <c r="J330" s="20"/>
      <c r="K330" s="20"/>
      <c r="L330" s="2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6"/>
      <c r="C331" s="6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s="187" customFormat="1" outlineLevel="1">
      <c r="A339" s="186"/>
    </row>
    <row r="340" spans="1:25" outlineLevel="1">
      <c r="A340" s="1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outlineLevel="1">
      <c r="A341" s="17"/>
      <c r="B341" s="6"/>
      <c r="C341" s="6"/>
      <c r="D341" s="6"/>
      <c r="E341" s="6"/>
      <c r="F341" s="6"/>
      <c r="G341" s="51"/>
      <c r="H341" s="51"/>
      <c r="I341" s="51"/>
      <c r="J341" s="51"/>
      <c r="K341" s="51"/>
      <c r="L341" s="5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7"/>
      <c r="B342" s="6"/>
      <c r="C342" s="6"/>
      <c r="D342" s="6"/>
      <c r="E342" s="6"/>
      <c r="F342" s="6"/>
      <c r="G342" s="51"/>
      <c r="H342" s="51"/>
      <c r="I342" s="51"/>
      <c r="J342" s="51"/>
      <c r="K342" s="51"/>
      <c r="L342" s="5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6"/>
      <c r="B343" s="52"/>
      <c r="C343" s="52"/>
      <c r="D343" s="52"/>
      <c r="E343" s="6"/>
      <c r="F343" s="6"/>
      <c r="G343" s="53"/>
      <c r="H343" s="53"/>
      <c r="I343" s="53"/>
      <c r="J343" s="53"/>
      <c r="K343" s="53"/>
      <c r="L343" s="5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7"/>
      <c r="B344" s="56"/>
      <c r="C344" s="56"/>
      <c r="D344" s="5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18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88"/>
      <c r="B346" s="6"/>
      <c r="C346" s="6"/>
      <c r="D346" s="6"/>
      <c r="E346" s="6"/>
      <c r="F346" s="6"/>
      <c r="G346" s="20"/>
      <c r="H346" s="20"/>
      <c r="I346" s="20"/>
      <c r="J346" s="20"/>
      <c r="K346" s="20"/>
      <c r="L346" s="2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88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88"/>
      <c r="B350" s="6"/>
      <c r="C350" s="6"/>
      <c r="D350" s="6"/>
      <c r="E350" s="6"/>
      <c r="F350" s="6"/>
      <c r="G350" s="51"/>
      <c r="H350" s="51"/>
      <c r="I350" s="51"/>
      <c r="J350" s="51"/>
      <c r="K350" s="51"/>
      <c r="L350" s="5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7"/>
      <c r="B351" s="6"/>
      <c r="C351" s="6"/>
      <c r="D351" s="6"/>
      <c r="E351" s="6"/>
      <c r="F351" s="6"/>
      <c r="G351" s="56"/>
      <c r="H351" s="56"/>
      <c r="I351" s="56"/>
      <c r="J351" s="56"/>
      <c r="K351" s="56"/>
      <c r="L351" s="5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88"/>
      <c r="B352" s="14"/>
      <c r="C352" s="14"/>
      <c r="D352" s="14"/>
      <c r="E352" s="6"/>
      <c r="F352" s="6"/>
      <c r="G352" s="189"/>
      <c r="H352" s="189"/>
      <c r="I352" s="189"/>
      <c r="J352" s="189"/>
      <c r="K352" s="189"/>
      <c r="L352" s="18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88"/>
      <c r="B353" s="6"/>
      <c r="C353" s="6"/>
      <c r="D353" s="6"/>
      <c r="E353" s="6"/>
      <c r="F353" s="6"/>
      <c r="G353" s="189"/>
      <c r="H353" s="189"/>
      <c r="I353" s="189"/>
      <c r="J353" s="189"/>
      <c r="K353" s="189"/>
      <c r="L353" s="18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188"/>
      <c r="B354" s="6"/>
      <c r="C354" s="6"/>
      <c r="D354" s="6"/>
      <c r="E354" s="6"/>
      <c r="F354" s="6"/>
      <c r="G354" s="189"/>
      <c r="H354" s="189"/>
      <c r="I354" s="189"/>
      <c r="J354" s="189"/>
      <c r="K354" s="189"/>
      <c r="L354" s="18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188"/>
      <c r="B355" s="6"/>
      <c r="C355" s="6"/>
      <c r="D355" s="6"/>
      <c r="E355" s="6"/>
      <c r="F355" s="6"/>
      <c r="G355" s="189"/>
      <c r="H355" s="189"/>
      <c r="I355" s="189"/>
      <c r="J355" s="189"/>
      <c r="K355" s="189"/>
      <c r="L355" s="18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188"/>
      <c r="B356" s="6"/>
      <c r="C356" s="6"/>
      <c r="D356" s="6"/>
      <c r="E356" s="6"/>
      <c r="F356" s="6"/>
      <c r="G356" s="56"/>
      <c r="H356" s="56"/>
      <c r="I356" s="56"/>
      <c r="J356" s="56"/>
      <c r="K356" s="56"/>
      <c r="L356" s="5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6"/>
      <c r="B358" s="6"/>
      <c r="C358" s="6"/>
      <c r="D358" s="6"/>
      <c r="E358" s="6"/>
      <c r="F358" s="6"/>
      <c r="G358" s="20"/>
      <c r="H358" s="20"/>
      <c r="I358" s="20"/>
      <c r="J358" s="20"/>
      <c r="K358" s="20"/>
      <c r="L358" s="2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20"/>
      <c r="F361" s="20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51"/>
      <c r="H364" s="51"/>
      <c r="I364" s="51"/>
      <c r="J364" s="51"/>
      <c r="K364" s="51"/>
      <c r="L364" s="5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188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188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188"/>
      <c r="B367" s="6"/>
      <c r="C367" s="6"/>
      <c r="D367" s="6"/>
      <c r="E367" s="20"/>
      <c r="F367" s="20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6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17"/>
      <c r="B375" s="6"/>
      <c r="C375" s="6"/>
      <c r="D375" s="6"/>
      <c r="E375" s="59"/>
      <c r="F375" s="59"/>
      <c r="G375" s="59"/>
      <c r="H375" s="59"/>
      <c r="I375" s="59"/>
      <c r="J375" s="59"/>
      <c r="K375" s="59"/>
      <c r="L375" s="5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14"/>
      <c r="E376" s="20"/>
      <c r="F376" s="20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59"/>
      <c r="F377" s="59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6"/>
      <c r="E378" s="6"/>
      <c r="F378" s="6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45"/>
      <c r="H383" s="45"/>
      <c r="I383" s="45"/>
      <c r="J383" s="45"/>
      <c r="K383" s="45"/>
      <c r="L383" s="4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59"/>
      <c r="H384" s="59"/>
      <c r="I384" s="59"/>
      <c r="J384" s="59"/>
      <c r="K384" s="59"/>
      <c r="L384" s="5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30" outlineLevel="1">
      <c r="A385" s="6"/>
      <c r="B385" s="6"/>
      <c r="C385" s="6"/>
      <c r="D385" s="6"/>
      <c r="E385" s="6"/>
      <c r="F385" s="6"/>
      <c r="G385" s="45"/>
      <c r="H385" s="45"/>
      <c r="I385" s="45"/>
      <c r="J385" s="45"/>
      <c r="K385" s="45"/>
      <c r="L385" s="4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30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30" outlineLevel="1">
      <c r="A387" s="6"/>
      <c r="B387" s="6"/>
      <c r="C387" s="6"/>
      <c r="D387" s="6"/>
      <c r="E387" s="6"/>
      <c r="F387" s="6"/>
      <c r="G387" s="45"/>
      <c r="H387" s="45"/>
      <c r="I387" s="45"/>
      <c r="J387" s="45"/>
      <c r="K387" s="45"/>
      <c r="L387" s="4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30" outlineLevel="1">
      <c r="A388" s="6"/>
      <c r="B388" s="6"/>
      <c r="C388" s="6"/>
      <c r="D388" s="6"/>
      <c r="E388" s="6"/>
      <c r="F388" s="6"/>
      <c r="G388" s="61"/>
      <c r="H388" s="61"/>
      <c r="I388" s="61"/>
      <c r="J388" s="61"/>
      <c r="K388" s="61"/>
      <c r="L388" s="6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30" outlineLevel="1">
      <c r="A389" s="6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30" hidden="1" outlineLevel="2">
      <c r="A390" s="17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30" hidden="1" outlineLevel="2">
      <c r="A391" s="17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30" hidden="1" outlineLevel="2">
      <c r="A392" s="6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30" hidden="1" outlineLevel="2">
      <c r="A393" s="17"/>
      <c r="B393" s="9"/>
      <c r="C393" s="9"/>
      <c r="D393" s="9"/>
      <c r="E393" s="10"/>
      <c r="F393" s="10"/>
      <c r="G393" s="10"/>
      <c r="H393" s="9"/>
      <c r="I393" s="9"/>
      <c r="J393" s="10"/>
      <c r="K393" s="10"/>
      <c r="L393" s="9"/>
      <c r="M393" s="10"/>
      <c r="N393" s="10"/>
      <c r="O393" s="10"/>
      <c r="P393" s="9"/>
      <c r="Q393" s="10"/>
      <c r="R393" s="10"/>
      <c r="S393" s="6"/>
      <c r="T393" s="6"/>
      <c r="U393" s="6"/>
      <c r="V393" s="6"/>
      <c r="W393" s="6"/>
      <c r="X393" s="10"/>
      <c r="Y393" s="6"/>
    </row>
    <row r="394" spans="1:30" hidden="1" outlineLevel="2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30" hidden="1" outlineLevel="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30" hidden="1" outlineLevel="2">
      <c r="A396" s="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6"/>
      <c r="T396" s="6"/>
      <c r="U396" s="6"/>
      <c r="V396" s="6"/>
      <c r="W396" s="6"/>
      <c r="X396" s="45"/>
      <c r="Y396" s="6"/>
    </row>
    <row r="397" spans="1:30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30" hidden="1" outlineLevel="2">
      <c r="A398" s="6"/>
      <c r="B398" s="59"/>
      <c r="C398" s="59"/>
      <c r="D398" s="59"/>
      <c r="E398" s="59"/>
      <c r="F398" s="59"/>
      <c r="G398" s="59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30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30" hidden="1" outlineLevel="2">
      <c r="A400" s="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45"/>
      <c r="Z400" s="45"/>
      <c r="AA400" s="45"/>
      <c r="AB400" s="45"/>
      <c r="AC400" s="45"/>
      <c r="AD400" s="45"/>
    </row>
    <row r="401" spans="1:25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6"/>
    </row>
    <row r="403" spans="1:25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idden="1" outlineLevel="2">
      <c r="A404" s="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6"/>
      <c r="T404" s="6"/>
      <c r="U404" s="6"/>
      <c r="V404" s="6"/>
      <c r="W404" s="6"/>
      <c r="X404" s="45"/>
      <c r="Y404" s="45"/>
    </row>
    <row r="405" spans="1:25" hidden="1" outlineLevel="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idden="1" outlineLevel="2">
      <c r="A406" s="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6"/>
      <c r="T406" s="6"/>
      <c r="U406" s="6"/>
      <c r="V406" s="6"/>
      <c r="W406" s="6"/>
      <c r="X406" s="45"/>
      <c r="Y406" s="45"/>
    </row>
    <row r="407" spans="1:25" hidden="1" outlineLevel="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1" collapsed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1">
      <c r="A411" s="3"/>
      <c r="B411" s="3"/>
      <c r="C411" s="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outlineLevel="1">
      <c r="A412" s="17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outlineLevel="1">
      <c r="A413" s="17"/>
      <c r="B413" s="43"/>
      <c r="C413" s="4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outlineLevel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outlineLevel="1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outlineLevel="1">
      <c r="A416" s="17"/>
      <c r="B416" s="17"/>
      <c r="C416" s="1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>
      <c r="A417" s="44"/>
      <c r="B417" s="17"/>
      <c r="C417" s="17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outlineLevel="1">
      <c r="A418" s="44"/>
      <c r="B418" s="17"/>
      <c r="C418" s="17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3"/>
      <c r="C421" s="3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6"/>
      <c r="B422" s="6"/>
      <c r="C422" s="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17"/>
      <c r="B423" s="17"/>
      <c r="C423" s="17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44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17"/>
      <c r="B435" s="17"/>
      <c r="C435" s="17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6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17"/>
      <c r="B439" s="17"/>
      <c r="C439" s="17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6"/>
      <c r="B440" s="6"/>
      <c r="C440" s="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17"/>
      <c r="B441" s="17"/>
      <c r="C441" s="17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6"/>
      <c r="C445" s="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17"/>
      <c r="B446" s="17"/>
      <c r="C446" s="17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17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44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3"/>
      <c r="B453" s="46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17"/>
      <c r="B454" s="17"/>
      <c r="C454" s="17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6"/>
      <c r="B455" s="6"/>
      <c r="C455" s="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43"/>
      <c r="C456" s="43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3"/>
      <c r="B461" s="3"/>
      <c r="C461" s="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17"/>
      <c r="B462" s="17"/>
      <c r="C462" s="1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17"/>
      <c r="B463" s="43"/>
      <c r="C463" s="4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6"/>
      <c r="T465" s="6"/>
      <c r="U465" s="6"/>
      <c r="V465" s="6"/>
      <c r="W465" s="6"/>
      <c r="X465" s="6"/>
      <c r="Y465" s="6"/>
    </row>
    <row r="466" spans="1:25" outlineLevel="1">
      <c r="A466" s="17"/>
      <c r="B466" s="17"/>
      <c r="C466" s="17"/>
      <c r="D466" s="1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outlineLevel="1">
      <c r="A467" s="44"/>
      <c r="B467" s="17"/>
      <c r="C467" s="17"/>
      <c r="D467" s="17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17"/>
      <c r="C468" s="17"/>
      <c r="D468" s="17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44"/>
      <c r="C469" s="44"/>
      <c r="D469" s="44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44"/>
      <c r="C470" s="44"/>
      <c r="D470" s="44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3"/>
      <c r="C471" s="3"/>
      <c r="D471" s="3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3"/>
      <c r="C472" s="3"/>
      <c r="D472" s="3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17"/>
      <c r="B473" s="17"/>
      <c r="C473" s="17"/>
      <c r="D473" s="17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17"/>
      <c r="C474" s="17"/>
      <c r="D474" s="17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44"/>
      <c r="C484" s="44"/>
      <c r="D484" s="44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44"/>
      <c r="C485" s="44"/>
      <c r="D485" s="44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17"/>
      <c r="B486" s="17"/>
      <c r="C486" s="17"/>
      <c r="D486" s="17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6"/>
      <c r="B487" s="17"/>
      <c r="C487" s="17"/>
      <c r="D487" s="17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44"/>
      <c r="B488" s="44"/>
      <c r="C488" s="44"/>
      <c r="D488" s="44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17"/>
      <c r="B489" s="17"/>
      <c r="C489" s="17"/>
      <c r="D489" s="17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44"/>
      <c r="B490" s="46"/>
      <c r="C490" s="46"/>
      <c r="D490" s="46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43"/>
      <c r="C494" s="43"/>
      <c r="D494" s="43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6"/>
      <c r="T498" s="6"/>
      <c r="U498" s="6"/>
      <c r="V498" s="6"/>
      <c r="W498" s="6"/>
      <c r="X498" s="6"/>
      <c r="Y498" s="6"/>
    </row>
    <row r="499" spans="1:25" outlineLevel="1">
      <c r="A499" s="6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</row>
    <row r="500" spans="1:25" outlineLevel="1">
      <c r="A500" s="6"/>
      <c r="B500" s="45"/>
      <c r="C500" s="45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spans="1:25" outlineLevel="1">
      <c r="A501" s="6"/>
      <c r="B501" s="43"/>
      <c r="C501" s="43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3"/>
      <c r="C502" s="43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6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17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6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6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17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17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6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6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outlineLevel="1">
      <c r="A514" s="6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outlineLevel="1">
      <c r="A515" s="6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outlineLevel="1">
      <c r="A516" s="6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spans="1:25" outlineLevel="1">
      <c r="A517" s="6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6"/>
      <c r="T517" s="6"/>
      <c r="U517" s="6"/>
      <c r="V517" s="6"/>
      <c r="W517" s="6"/>
      <c r="X517" s="6"/>
      <c r="Y517" s="6"/>
    </row>
    <row r="518" spans="1:25" outlineLevel="1">
      <c r="A518" s="17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6"/>
      <c r="F522" s="6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6"/>
      <c r="T522" s="6"/>
      <c r="U522" s="6"/>
      <c r="V522" s="6"/>
      <c r="W522" s="6"/>
      <c r="X522" s="6"/>
      <c r="Y522" s="6"/>
    </row>
    <row r="523" spans="1:25" outlineLevel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outlineLevel="1">
      <c r="A529" s="6"/>
      <c r="B529" s="6"/>
      <c r="C529" s="6"/>
      <c r="D529" s="6"/>
      <c r="E529" s="6"/>
      <c r="F529" s="6"/>
      <c r="G529" s="3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outlineLevel="1">
      <c r="A530" s="17"/>
      <c r="B530" s="6"/>
      <c r="C530" s="6"/>
      <c r="D530" s="6"/>
      <c r="E530" s="6"/>
      <c r="F530" s="6"/>
      <c r="G530" s="31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6"/>
      <c r="T530" s="6"/>
      <c r="U530" s="6"/>
      <c r="V530" s="6"/>
      <c r="W530" s="6"/>
      <c r="X530" s="6"/>
      <c r="Y530" s="6"/>
    </row>
    <row r="531" spans="1:25" outlineLevel="1">
      <c r="A531" s="6"/>
      <c r="B531" s="6"/>
      <c r="C531" s="6"/>
      <c r="D531" s="6"/>
      <c r="E531" s="6"/>
      <c r="F531" s="6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188"/>
      <c r="B535" s="6"/>
      <c r="C535" s="6"/>
      <c r="D535" s="6"/>
      <c r="E535" s="6"/>
      <c r="F535" s="6"/>
      <c r="G535" s="3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6"/>
      <c r="T535" s="6"/>
      <c r="U535" s="6"/>
      <c r="V535" s="6"/>
      <c r="W535" s="6"/>
      <c r="X535" s="6"/>
      <c r="Y535" s="6"/>
    </row>
    <row r="536" spans="1:25" outlineLevel="1">
      <c r="A536" s="188"/>
      <c r="B536" s="6"/>
      <c r="C536" s="6"/>
      <c r="D536" s="6"/>
      <c r="E536" s="6"/>
      <c r="F536" s="6"/>
      <c r="G536" s="3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6"/>
      <c r="T536" s="6"/>
      <c r="U536" s="6"/>
      <c r="V536" s="6"/>
      <c r="W536" s="6"/>
      <c r="X536" s="6"/>
      <c r="Y536" s="6"/>
    </row>
    <row r="537" spans="1:25" outlineLevel="1">
      <c r="A537" s="17"/>
      <c r="B537" s="6"/>
      <c r="C537" s="6"/>
      <c r="D537" s="6"/>
      <c r="E537" s="6"/>
      <c r="F537" s="6"/>
      <c r="G537" s="3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outlineLevel="1">
      <c r="A538" s="6"/>
      <c r="B538" s="6"/>
      <c r="C538" s="6"/>
      <c r="D538" s="6"/>
      <c r="E538" s="6"/>
      <c r="F538" s="6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3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17"/>
      <c r="B540" s="6"/>
      <c r="C540" s="6"/>
      <c r="D540" s="6"/>
      <c r="E540" s="6"/>
      <c r="F540" s="6"/>
      <c r="G540" s="31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6"/>
      <c r="T540" s="6"/>
      <c r="U540" s="6"/>
      <c r="V540" s="6"/>
      <c r="W540" s="6"/>
      <c r="X540" s="6"/>
      <c r="Y540" s="6"/>
    </row>
    <row r="541" spans="1:25" outlineLevel="1">
      <c r="A541" s="6"/>
      <c r="B541" s="14"/>
      <c r="C541" s="14"/>
      <c r="D541" s="6"/>
      <c r="E541" s="6"/>
      <c r="F541" s="6"/>
      <c r="G541" s="3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6"/>
      <c r="T541" s="6"/>
      <c r="U541" s="6"/>
      <c r="V541" s="6"/>
      <c r="W541" s="6"/>
      <c r="X541" s="6"/>
      <c r="Y541" s="6"/>
    </row>
    <row r="542" spans="1:25" outlineLevel="1">
      <c r="A542" s="17"/>
      <c r="B542" s="6"/>
      <c r="C542" s="6"/>
      <c r="D542" s="6"/>
      <c r="E542" s="6"/>
      <c r="F542" s="6"/>
      <c r="G542" s="3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outlineLevel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s="67" customFormat="1" outlineLevel="1">
      <c r="A545" s="66"/>
      <c r="B545" s="66"/>
      <c r="C545" s="66"/>
      <c r="D545" s="66"/>
      <c r="E545" s="66"/>
      <c r="F545" s="66"/>
      <c r="G545" s="66"/>
    </row>
    <row r="546" spans="1:25" s="67" customFormat="1" outlineLevel="1">
      <c r="A546" s="66"/>
      <c r="B546" s="66"/>
      <c r="C546" s="66"/>
      <c r="D546" s="66"/>
      <c r="E546" s="66"/>
      <c r="F546" s="68"/>
      <c r="G546" s="69"/>
      <c r="H546" s="66"/>
      <c r="I546" s="70"/>
    </row>
    <row r="547" spans="1:25" s="67" customFormat="1" outlineLevel="1">
      <c r="A547" s="66"/>
      <c r="B547" s="69"/>
      <c r="C547" s="69"/>
      <c r="D547" s="69"/>
      <c r="E547" s="69"/>
      <c r="F547" s="71"/>
      <c r="G547" s="47"/>
      <c r="H547" s="47"/>
      <c r="I547" s="70"/>
    </row>
    <row r="548" spans="1:25" s="67" customFormat="1" outlineLevel="1">
      <c r="A548" s="66"/>
      <c r="B548" s="47"/>
      <c r="C548" s="47"/>
      <c r="D548" s="47"/>
      <c r="E548" s="47"/>
      <c r="F548" s="47"/>
      <c r="G548" s="70"/>
      <c r="H548" s="47"/>
      <c r="I548" s="71"/>
    </row>
    <row r="549" spans="1:25" s="67" customFormat="1" outlineLevel="1">
      <c r="A549" s="72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 spans="1:25" s="67" customFormat="1" outlineLevel="1">
      <c r="A550" s="40"/>
      <c r="B550" s="66"/>
      <c r="C550" s="66"/>
      <c r="D550" s="66"/>
      <c r="E550" s="66"/>
      <c r="F550" s="66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s="67" customFormat="1" outlineLevel="1">
      <c r="A551" s="39"/>
      <c r="B551" s="66"/>
      <c r="C551" s="66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74"/>
      <c r="C552" s="74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155"/>
      <c r="C553" s="155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8"/>
      <c r="B554" s="72"/>
      <c r="C554" s="72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27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40"/>
      <c r="B556" s="66"/>
      <c r="C556" s="66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76"/>
      <c r="B557" s="77"/>
      <c r="C557" s="7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42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40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39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39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40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39"/>
      <c r="B575" s="77"/>
      <c r="C575" s="7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 spans="1:25" s="67" customFormat="1" outlineLevel="1">
      <c r="A576" s="39"/>
      <c r="B576" s="80"/>
      <c r="C576" s="80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ht="13.9" customHeight="1" outlineLevel="1">
      <c r="A577" s="38"/>
      <c r="B577" s="80"/>
      <c r="C577" s="80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outlineLevel="1">
      <c r="A578" s="39"/>
      <c r="B578" s="74"/>
      <c r="C578" s="74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8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74"/>
      <c r="C581" s="74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74"/>
      <c r="C582" s="74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74"/>
      <c r="C583" s="74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40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40"/>
      <c r="B585" s="66"/>
      <c r="C585" s="66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39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39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82"/>
      <c r="C592" s="8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39"/>
      <c r="B593" s="82"/>
      <c r="C593" s="8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8"/>
      <c r="B594" s="80"/>
      <c r="C594" s="80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40"/>
      <c r="B595" s="66"/>
      <c r="C595" s="66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80"/>
      <c r="C598" s="80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outlineLevel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83"/>
      <c r="B606" s="6"/>
      <c r="C606" s="6"/>
      <c r="D606" s="6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3"/>
      <c r="B608" s="3"/>
      <c r="C608" s="3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idden="1" outlineLevel="2">
      <c r="A609" s="1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44"/>
      <c r="B610" s="6"/>
      <c r="C610" s="6"/>
      <c r="D610" s="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6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17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44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6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44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6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17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44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outlineLevel="1" collapsed="1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6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6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17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>
      <c r="A643" s="6"/>
      <c r="B643" s="6"/>
      <c r="C643" s="6"/>
      <c r="D643" s="6"/>
      <c r="E643" s="6"/>
      <c r="F643" s="6"/>
      <c r="G643" s="6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D856"/>
  <sheetViews>
    <sheetView zoomScale="75" zoomScaleNormal="75" workbookViewId="0">
      <selection activeCell="C1" sqref="C1:D1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100</v>
      </c>
      <c r="C1" s="418">
        <v>12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Z8" s="18"/>
      <c r="AA8" s="334"/>
      <c r="AB8" s="337"/>
    </row>
    <row r="9" spans="1:28">
      <c r="A9" s="95" t="s">
        <v>6</v>
      </c>
      <c r="B9" s="9"/>
      <c r="C9" s="9"/>
      <c r="D9" s="9"/>
      <c r="Z9" s="18"/>
      <c r="AA9" s="334"/>
      <c r="AB9" s="337"/>
    </row>
    <row r="10" spans="1:28">
      <c r="A10" s="4" t="s">
        <v>7</v>
      </c>
      <c r="B10" s="9"/>
      <c r="C10" s="9"/>
      <c r="D10" s="123">
        <v>1</v>
      </c>
      <c r="E10" s="321">
        <f>[20]Financials!I$11</f>
        <v>1082.7186504627193</v>
      </c>
      <c r="F10" s="321">
        <f>[20]Financials!J$11</f>
        <v>1082.7186504627193</v>
      </c>
      <c r="G10" s="321">
        <f>[20]Financials!K$11</f>
        <v>1082.7186504627193</v>
      </c>
      <c r="H10" s="321">
        <f>[20]Financials!L$11</f>
        <v>1082.7186504627193</v>
      </c>
      <c r="I10" s="321">
        <f>[20]Financials!M$11</f>
        <v>1082.7186504627193</v>
      </c>
      <c r="J10" s="321">
        <f>[20]Financials!N$11</f>
        <v>1082.7186504627193</v>
      </c>
      <c r="K10" s="321">
        <f>[20]Financials!O$11</f>
        <v>1082.7186504627193</v>
      </c>
      <c r="L10" s="321">
        <f>[20]Financials!P$11</f>
        <v>1082.7186504627193</v>
      </c>
      <c r="M10" s="321">
        <f>[20]Financials!Q$11</f>
        <v>1082.7186504627193</v>
      </c>
      <c r="N10" s="321">
        <f>[20]Financials!R$11</f>
        <v>1082.7186504627193</v>
      </c>
      <c r="O10" s="321">
        <f>[20]Financials!S$11</f>
        <v>1082.7186504627193</v>
      </c>
      <c r="P10" s="321">
        <f>[20]Financials!T$11</f>
        <v>1082.7186504627193</v>
      </c>
      <c r="Q10" s="321">
        <f>[20]Financials!U$11</f>
        <v>1082.7186504627193</v>
      </c>
      <c r="R10" s="321">
        <f>[20]Financials!V$11</f>
        <v>1082.7186504627193</v>
      </c>
      <c r="S10" s="321">
        <f>[20]Financials!W$11</f>
        <v>1082.7186504627193</v>
      </c>
      <c r="T10" s="321">
        <f>[20]Financials!X$11</f>
        <v>1082.7186504627193</v>
      </c>
      <c r="U10" s="321">
        <f>[20]Financials!Y$11</f>
        <v>601.92301996924971</v>
      </c>
      <c r="V10" s="321">
        <f>[20]Financials!Z$11</f>
        <v>601.92301996924971</v>
      </c>
      <c r="W10" s="321">
        <f>[20]Financials!AA$11</f>
        <v>601.92301996924971</v>
      </c>
      <c r="X10" s="321">
        <f>[20]Financials!AB$11</f>
        <v>0</v>
      </c>
      <c r="Y10" s="321">
        <f>[20]Financials!AC$11</f>
        <v>0</v>
      </c>
      <c r="Z10" s="18"/>
      <c r="AA10" s="355">
        <f t="shared" ref="AA10:AA38" si="1">SUM(F10:Y10)</f>
        <v>18046.548816848535</v>
      </c>
      <c r="AB10" s="356">
        <f>AA10*$C$60</f>
        <v>9023.2744084242677</v>
      </c>
    </row>
    <row r="11" spans="1:28">
      <c r="A11" s="4" t="s">
        <v>8</v>
      </c>
      <c r="B11" s="9"/>
      <c r="C11" s="9"/>
      <c r="D11" s="123">
        <v>1</v>
      </c>
      <c r="E11" s="321">
        <f>[20]Financials!I$10</f>
        <v>1103.2615219337627</v>
      </c>
      <c r="F11" s="321">
        <f>[20]Financials!J$10</f>
        <v>1158.5114881326163</v>
      </c>
      <c r="G11" s="321">
        <f>[20]Financials!K$10</f>
        <v>1205.6193574728043</v>
      </c>
      <c r="H11" s="321">
        <f>[20]Financials!L$10</f>
        <v>1253.2755191987576</v>
      </c>
      <c r="I11" s="321">
        <f>[20]Financials!M$10</f>
        <v>1295.483344564554</v>
      </c>
      <c r="J11" s="321">
        <f>[20]Financials!N$10</f>
        <v>1347.6765183245484</v>
      </c>
      <c r="K11" s="321">
        <f>[20]Financials!O$10</f>
        <v>1397.7247253136813</v>
      </c>
      <c r="L11" s="321">
        <f>[20]Financials!P$10</f>
        <v>1431.4274055468609</v>
      </c>
      <c r="M11" s="321">
        <f>[20]Financials!Q$10</f>
        <v>1474.2327229966461</v>
      </c>
      <c r="N11" s="321">
        <f>[20]Financials!R$10</f>
        <v>1507.5152897666999</v>
      </c>
      <c r="O11" s="321">
        <f>[20]Financials!S$10</f>
        <v>1541.7061832320469</v>
      </c>
      <c r="P11" s="321">
        <f>[20]Financials!T$10</f>
        <v>1585.2727342651851</v>
      </c>
      <c r="Q11" s="321">
        <f>[20]Financials!U$10</f>
        <v>1643.4372439347449</v>
      </c>
      <c r="R11" s="321">
        <f>[20]Financials!V$10</f>
        <v>1681.3172392615011</v>
      </c>
      <c r="S11" s="321">
        <f>[20]Financials!W$10</f>
        <v>1720.1871979609155</v>
      </c>
      <c r="T11" s="321">
        <f>[20]Financials!X$10</f>
        <v>1755.644356420748</v>
      </c>
      <c r="U11" s="321">
        <f>[20]Financials!Y$10</f>
        <v>770.22405249321855</v>
      </c>
      <c r="V11" s="321">
        <f>[20]Financials!Z$10</f>
        <v>781.68182340124542</v>
      </c>
      <c r="W11" s="321">
        <f>[20]Financials!AA$10</f>
        <v>793.15638659379101</v>
      </c>
      <c r="X11" s="321">
        <f>[20]Financials!AB$10</f>
        <v>0</v>
      </c>
      <c r="Y11" s="321">
        <f>[20]Financials!AC$10</f>
        <v>0</v>
      </c>
      <c r="Z11" s="18"/>
      <c r="AA11" s="355">
        <f t="shared" si="1"/>
        <v>24344.093588880565</v>
      </c>
      <c r="AB11" s="356">
        <f t="shared" ref="AB11:AB74" si="2">AA11*$C$60</f>
        <v>12172.046794440283</v>
      </c>
    </row>
    <row r="12" spans="1:28">
      <c r="A12" s="4" t="s">
        <v>9</v>
      </c>
      <c r="B12" s="9"/>
      <c r="C12" s="9"/>
      <c r="D12" s="123">
        <v>1</v>
      </c>
      <c r="E12" s="321">
        <f>[20]Financials!I$12+[20]Financials!I$13</f>
        <v>2338.3019100000001</v>
      </c>
      <c r="F12" s="321">
        <f>[20]Financials!J$12+[20]Financials!J$13</f>
        <v>169.452</v>
      </c>
      <c r="G12" s="321">
        <f>[20]Financials!K$12+[20]Financials!K$13</f>
        <v>0</v>
      </c>
      <c r="H12" s="321">
        <f>[20]Financials!L$12+[20]Financials!L$13</f>
        <v>0</v>
      </c>
      <c r="I12" s="321">
        <f>[20]Financials!M$12+[20]Financials!M$13</f>
        <v>0</v>
      </c>
      <c r="J12" s="321">
        <f>[20]Financials!N$12+[20]Financials!N$13</f>
        <v>0</v>
      </c>
      <c r="K12" s="321">
        <f>[20]Financials!O$12+[20]Financials!O$13</f>
        <v>0</v>
      </c>
      <c r="L12" s="321">
        <f>[20]Financials!P$12+[20]Financials!P$13</f>
        <v>0</v>
      </c>
      <c r="M12" s="321">
        <f>[20]Financials!Q$12+[20]Financials!Q$13</f>
        <v>0</v>
      </c>
      <c r="N12" s="321">
        <f>[20]Financials!R$12+[20]Financials!R$13</f>
        <v>0</v>
      </c>
      <c r="O12" s="321">
        <f>[20]Financials!S$12+[20]Financials!S$13</f>
        <v>0</v>
      </c>
      <c r="P12" s="321">
        <f>[20]Financials!T$12+[20]Financials!T$13</f>
        <v>0</v>
      </c>
      <c r="Q12" s="321">
        <f>[20]Financials!U$12+[20]Financials!U$13</f>
        <v>0</v>
      </c>
      <c r="R12" s="321">
        <f>[20]Financials!V$12+[20]Financials!V$13</f>
        <v>0</v>
      </c>
      <c r="S12" s="321">
        <f>[20]Financials!W$12+[20]Financials!W$13</f>
        <v>0</v>
      </c>
      <c r="T12" s="321">
        <f>[20]Financials!X$12+[20]Financials!X$13</f>
        <v>0</v>
      </c>
      <c r="U12" s="321">
        <f>[20]Financials!Y$12+[20]Financials!Y$13</f>
        <v>0</v>
      </c>
      <c r="V12" s="321">
        <f>[20]Financials!Z$12+[20]Financials!Z$13</f>
        <v>0</v>
      </c>
      <c r="W12" s="321">
        <f>[20]Financials!AA$12+[20]Financials!AA$13</f>
        <v>0</v>
      </c>
      <c r="X12" s="321">
        <f>[20]Financials!AB$12+[20]Financials!AB$13</f>
        <v>0</v>
      </c>
      <c r="Y12" s="321">
        <f>[20]Financials!AC$12+[20]Financials!AC$13</f>
        <v>0</v>
      </c>
      <c r="Z12" s="18"/>
      <c r="AA12" s="355">
        <f t="shared" si="1"/>
        <v>169.452</v>
      </c>
      <c r="AB12" s="356">
        <f t="shared" si="2"/>
        <v>84.725999999999999</v>
      </c>
    </row>
    <row r="13" spans="1:28">
      <c r="A13" s="6"/>
      <c r="B13" s="9"/>
      <c r="C13" s="9"/>
      <c r="D13" s="124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18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124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18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123">
        <v>1</v>
      </c>
      <c r="E15" s="321"/>
      <c r="F15" s="321"/>
      <c r="G15" s="321"/>
      <c r="H15" s="321"/>
      <c r="I15" s="321"/>
      <c r="J15" s="321"/>
      <c r="K15" s="321"/>
      <c r="L15" s="321"/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21"/>
      <c r="Z15" s="18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123">
        <v>1</v>
      </c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s="321"/>
      <c r="P16" s="321"/>
      <c r="Q16" s="321"/>
      <c r="R16" s="321"/>
      <c r="S16" s="321"/>
      <c r="T16" s="321"/>
      <c r="U16" s="321"/>
      <c r="V16" s="321"/>
      <c r="W16" s="321"/>
      <c r="X16" s="321"/>
      <c r="Y16" s="321"/>
      <c r="Z16" s="18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123">
        <v>1</v>
      </c>
      <c r="E17" s="321"/>
      <c r="F17" s="321"/>
      <c r="G17" s="321"/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18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124"/>
      <c r="E18" s="323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3"/>
      <c r="S18" s="323"/>
      <c r="T18" s="323"/>
      <c r="U18" s="323"/>
      <c r="V18" s="323"/>
      <c r="W18" s="323"/>
      <c r="X18" s="323"/>
      <c r="Y18" s="323"/>
      <c r="Z18" s="18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125">
        <v>1</v>
      </c>
      <c r="E19" s="324">
        <v>0</v>
      </c>
      <c r="F19" s="324">
        <v>0</v>
      </c>
      <c r="G19" s="324">
        <v>0</v>
      </c>
      <c r="H19" s="324">
        <v>0</v>
      </c>
      <c r="I19" s="324">
        <v>0</v>
      </c>
      <c r="J19" s="324">
        <v>0</v>
      </c>
      <c r="K19" s="324">
        <v>0</v>
      </c>
      <c r="L19" s="324">
        <v>0</v>
      </c>
      <c r="M19" s="324">
        <v>0</v>
      </c>
      <c r="N19" s="324">
        <v>0</v>
      </c>
      <c r="O19" s="324">
        <v>0</v>
      </c>
      <c r="P19" s="324">
        <v>0</v>
      </c>
      <c r="Q19" s="324">
        <v>0</v>
      </c>
      <c r="R19" s="324">
        <v>0</v>
      </c>
      <c r="S19" s="324">
        <v>0</v>
      </c>
      <c r="T19" s="324">
        <v>0</v>
      </c>
      <c r="U19" s="324">
        <v>0</v>
      </c>
      <c r="V19" s="324">
        <v>0</v>
      </c>
      <c r="W19" s="324">
        <v>0</v>
      </c>
      <c r="X19" s="324">
        <v>0</v>
      </c>
      <c r="Y19" s="324">
        <v>0</v>
      </c>
      <c r="Z19" s="18"/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4524.2820823964821</v>
      </c>
      <c r="F20" s="86">
        <f t="shared" si="3"/>
        <v>2410.6821385953353</v>
      </c>
      <c r="G20" s="86">
        <f t="shared" si="3"/>
        <v>2288.3380079355238</v>
      </c>
      <c r="H20" s="86">
        <f t="shared" si="3"/>
        <v>2335.9941696614769</v>
      </c>
      <c r="I20" s="86">
        <f t="shared" si="3"/>
        <v>2378.2019950272734</v>
      </c>
      <c r="J20" s="86">
        <f t="shared" si="3"/>
        <v>2430.3951687872677</v>
      </c>
      <c r="K20" s="86">
        <f t="shared" si="3"/>
        <v>2480.4433757764009</v>
      </c>
      <c r="L20" s="86">
        <f t="shared" si="3"/>
        <v>2514.1460560095802</v>
      </c>
      <c r="M20" s="86">
        <f t="shared" si="3"/>
        <v>2556.9513734593656</v>
      </c>
      <c r="N20" s="86">
        <f t="shared" si="3"/>
        <v>2590.2339402294192</v>
      </c>
      <c r="O20" s="86">
        <f t="shared" si="3"/>
        <v>2624.4248336947662</v>
      </c>
      <c r="P20" s="86">
        <f t="shared" si="3"/>
        <v>2667.9913847279045</v>
      </c>
      <c r="Q20" s="86">
        <f t="shared" si="3"/>
        <v>2726.1558943974642</v>
      </c>
      <c r="R20" s="86">
        <f t="shared" si="3"/>
        <v>2764.0358897242204</v>
      </c>
      <c r="S20" s="86">
        <f t="shared" si="3"/>
        <v>2802.9058484236348</v>
      </c>
      <c r="T20" s="86">
        <f t="shared" si="3"/>
        <v>2838.3630068834673</v>
      </c>
      <c r="U20" s="86">
        <f t="shared" si="3"/>
        <v>1372.1470724624683</v>
      </c>
      <c r="V20" s="86">
        <f t="shared" si="3"/>
        <v>1383.604843370495</v>
      </c>
      <c r="W20" s="86">
        <f t="shared" si="3"/>
        <v>1395.0794065630407</v>
      </c>
      <c r="X20" s="86">
        <f t="shared" si="3"/>
        <v>0</v>
      </c>
      <c r="Y20" s="86">
        <f t="shared" si="3"/>
        <v>0</v>
      </c>
      <c r="Z20" s="18"/>
      <c r="AA20" s="355">
        <f t="shared" si="1"/>
        <v>42560.094405729105</v>
      </c>
      <c r="AB20" s="356">
        <f t="shared" si="2"/>
        <v>21280.047202864553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117.79328967806653</v>
      </c>
      <c r="F23" s="417">
        <f>F25/$C$1</f>
        <v>110.89353657665252</v>
      </c>
      <c r="G23" s="417">
        <f>G25/$C$1</f>
        <v>124.81325303640345</v>
      </c>
      <c r="H23" s="417">
        <f>H25/$C$1</f>
        <v>127.91589074765045</v>
      </c>
      <c r="I23" s="417">
        <f t="shared" ref="I23:Y23" si="4">I25/$C$1</f>
        <v>131.03624954837764</v>
      </c>
      <c r="J23" s="417">
        <f t="shared" si="4"/>
        <v>134.31515220196934</v>
      </c>
      <c r="K23" s="417">
        <f t="shared" si="4"/>
        <v>137.64640454002151</v>
      </c>
      <c r="L23" s="417">
        <f t="shared" si="4"/>
        <v>140.9471471216622</v>
      </c>
      <c r="M23" s="417">
        <f t="shared" si="4"/>
        <v>144.4212758067481</v>
      </c>
      <c r="N23" s="417">
        <f t="shared" si="4"/>
        <v>147.90669593194693</v>
      </c>
      <c r="O23" s="417">
        <f t="shared" si="4"/>
        <v>151.49091127753246</v>
      </c>
      <c r="P23" s="417">
        <f t="shared" si="4"/>
        <v>155.24507725738411</v>
      </c>
      <c r="Q23" s="417">
        <f t="shared" si="4"/>
        <v>159.2602362437853</v>
      </c>
      <c r="R23" s="417">
        <f t="shared" si="4"/>
        <v>163.20109329809864</v>
      </c>
      <c r="S23" s="417">
        <f t="shared" si="4"/>
        <v>167.26315306955527</v>
      </c>
      <c r="T23" s="417">
        <f t="shared" si="4"/>
        <v>168.0945867227359</v>
      </c>
      <c r="U23" s="417">
        <f t="shared" si="4"/>
        <v>103.59649547419012</v>
      </c>
      <c r="V23" s="417">
        <f t="shared" si="4"/>
        <v>106.07673289133005</v>
      </c>
      <c r="W23" s="417">
        <f t="shared" si="4"/>
        <v>108.62752723046866</v>
      </c>
      <c r="X23" s="417">
        <f t="shared" si="4"/>
        <v>0</v>
      </c>
      <c r="Y23" s="417">
        <f t="shared" si="4"/>
        <v>0</v>
      </c>
      <c r="AA23" s="355">
        <f t="shared" si="1"/>
        <v>2482.7514189765129</v>
      </c>
      <c r="AB23" s="356">
        <f t="shared" si="2"/>
        <v>1241.3757094882565</v>
      </c>
    </row>
    <row r="24" spans="1:28">
      <c r="A24" s="4" t="s">
        <v>36</v>
      </c>
      <c r="D24" s="123">
        <v>0</v>
      </c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123">
        <v>0</v>
      </c>
      <c r="E25" s="321">
        <f>[20]Financials!I$28</f>
        <v>1413.5194761367984</v>
      </c>
      <c r="F25" s="321">
        <f>[20]Financials!J$28</f>
        <v>1330.7224389198302</v>
      </c>
      <c r="G25" s="321">
        <f>[20]Financials!K$28</f>
        <v>1497.7590364368414</v>
      </c>
      <c r="H25" s="321">
        <f>[20]Financials!L$28</f>
        <v>1534.9906889718054</v>
      </c>
      <c r="I25" s="321">
        <f>[20]Financials!M$28</f>
        <v>1572.4349945805318</v>
      </c>
      <c r="J25" s="321">
        <f>[20]Financials!N$28</f>
        <v>1611.7818264236321</v>
      </c>
      <c r="K25" s="321">
        <f>[20]Financials!O$28</f>
        <v>1651.756854480258</v>
      </c>
      <c r="L25" s="321">
        <f>[20]Financials!P$28</f>
        <v>1691.3657654599465</v>
      </c>
      <c r="M25" s="321">
        <f>[20]Financials!Q$28</f>
        <v>1733.0553096809772</v>
      </c>
      <c r="N25" s="321">
        <f>[20]Financials!R$28</f>
        <v>1774.8803511833632</v>
      </c>
      <c r="O25" s="321">
        <f>[20]Financials!S$28</f>
        <v>1817.8909353303895</v>
      </c>
      <c r="P25" s="321">
        <f>[20]Financials!T$28</f>
        <v>1862.9409270886092</v>
      </c>
      <c r="Q25" s="321">
        <f>[20]Financials!U$28</f>
        <v>1911.1228349254236</v>
      </c>
      <c r="R25" s="321">
        <f>[20]Financials!V$28</f>
        <v>1958.4131195771838</v>
      </c>
      <c r="S25" s="321">
        <f>[20]Financials!W$28</f>
        <v>2007.1578368346634</v>
      </c>
      <c r="T25" s="321">
        <f>[20]Financials!X$28</f>
        <v>2017.1350406728309</v>
      </c>
      <c r="U25" s="321">
        <f>[20]Financials!Y$28</f>
        <v>1243.1579456902814</v>
      </c>
      <c r="V25" s="321">
        <f>[20]Financials!Z$28</f>
        <v>1272.9207946959607</v>
      </c>
      <c r="W25" s="321">
        <f>[20]Financials!AA$28</f>
        <v>1303.5303267656238</v>
      </c>
      <c r="X25" s="321">
        <f>[20]Financials!AB$28</f>
        <v>0</v>
      </c>
      <c r="Y25" s="321">
        <f>[20]Financials!AC$28</f>
        <v>0</v>
      </c>
      <c r="AA25" s="355">
        <f t="shared" si="1"/>
        <v>29793.01702771815</v>
      </c>
      <c r="AB25" s="356">
        <f t="shared" si="2"/>
        <v>14896.508513859075</v>
      </c>
    </row>
    <row r="26" spans="1:28">
      <c r="A26" s="4" t="s">
        <v>16</v>
      </c>
      <c r="D26" s="123">
        <v>0</v>
      </c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123">
        <v>0</v>
      </c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123">
        <v>0</v>
      </c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321"/>
      <c r="U28" s="321"/>
      <c r="V28" s="321"/>
      <c r="W28" s="321"/>
      <c r="X28" s="321"/>
      <c r="Y28" s="321"/>
      <c r="AA28" s="355">
        <f t="shared" si="1"/>
        <v>0</v>
      </c>
      <c r="AB28" s="356">
        <f t="shared" si="2"/>
        <v>0</v>
      </c>
    </row>
    <row r="29" spans="1:28">
      <c r="A29" s="4" t="s">
        <v>3</v>
      </c>
      <c r="D29" s="123">
        <v>0</v>
      </c>
      <c r="E29" s="321"/>
      <c r="F29" s="321"/>
      <c r="G29" s="321"/>
      <c r="H29" s="321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321"/>
      <c r="U29" s="321"/>
      <c r="V29" s="321"/>
      <c r="W29" s="321"/>
      <c r="X29" s="321"/>
      <c r="Y29" s="321"/>
      <c r="AA29" s="355">
        <f t="shared" si="1"/>
        <v>0</v>
      </c>
      <c r="AB29" s="356">
        <f t="shared" si="2"/>
        <v>0</v>
      </c>
    </row>
    <row r="30" spans="1:28">
      <c r="A30" s="4" t="s">
        <v>38</v>
      </c>
      <c r="D30" s="123">
        <v>0</v>
      </c>
      <c r="E30" s="321"/>
      <c r="F30" s="321"/>
      <c r="G30" s="321"/>
      <c r="H30" s="321"/>
      <c r="I30" s="321"/>
      <c r="J30" s="321"/>
      <c r="K30" s="321"/>
      <c r="L30" s="321"/>
      <c r="M30" s="321"/>
      <c r="N30" s="321"/>
      <c r="O30" s="321"/>
      <c r="P30" s="321"/>
      <c r="Q30" s="321"/>
      <c r="R30" s="321"/>
      <c r="S30" s="321"/>
      <c r="T30" s="321"/>
      <c r="U30" s="321"/>
      <c r="V30" s="321"/>
      <c r="W30" s="321"/>
      <c r="X30" s="321"/>
      <c r="Y30" s="321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123">
        <v>0</v>
      </c>
      <c r="E31" s="321"/>
      <c r="F31" s="321"/>
      <c r="G31" s="321"/>
      <c r="H31" s="321"/>
      <c r="I31" s="321"/>
      <c r="J31" s="321"/>
      <c r="K31" s="321"/>
      <c r="L31" s="321"/>
      <c r="M31" s="321"/>
      <c r="N31" s="321"/>
      <c r="O31" s="321"/>
      <c r="P31" s="321"/>
      <c r="Q31" s="321"/>
      <c r="R31" s="321"/>
      <c r="S31" s="321"/>
      <c r="T31" s="321"/>
      <c r="U31" s="321"/>
      <c r="V31" s="321"/>
      <c r="W31" s="321"/>
      <c r="X31" s="321"/>
      <c r="Y31" s="321"/>
      <c r="AA31" s="355">
        <f t="shared" si="1"/>
        <v>0</v>
      </c>
      <c r="AB31" s="356">
        <f t="shared" si="2"/>
        <v>0</v>
      </c>
    </row>
    <row r="32" spans="1:28">
      <c r="A32" s="4" t="s">
        <v>34</v>
      </c>
      <c r="D32" s="123">
        <v>0</v>
      </c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1"/>
      <c r="T32" s="321"/>
      <c r="U32" s="321"/>
      <c r="V32" s="321"/>
      <c r="W32" s="321"/>
      <c r="X32" s="321"/>
      <c r="Y32" s="321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123">
        <v>0</v>
      </c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1"/>
      <c r="P33" s="321"/>
      <c r="Q33" s="321"/>
      <c r="R33" s="321"/>
      <c r="S33" s="321"/>
      <c r="T33" s="321"/>
      <c r="U33" s="321"/>
      <c r="V33" s="321"/>
      <c r="W33" s="321"/>
      <c r="X33" s="321"/>
      <c r="Y33" s="321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123">
        <v>0</v>
      </c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AA34" s="355">
        <f t="shared" si="1"/>
        <v>0</v>
      </c>
      <c r="AB34" s="356">
        <f t="shared" si="2"/>
        <v>0</v>
      </c>
    </row>
    <row r="35" spans="1:28">
      <c r="A35" s="4" t="s">
        <v>19</v>
      </c>
      <c r="B35" s="6"/>
      <c r="C35" s="6"/>
      <c r="D35" s="125">
        <v>0</v>
      </c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1413.5194761367984</v>
      </c>
      <c r="F36" s="86">
        <f t="shared" si="5"/>
        <v>1330.7224389198302</v>
      </c>
      <c r="G36" s="86">
        <f t="shared" si="5"/>
        <v>1497.7590364368414</v>
      </c>
      <c r="H36" s="86">
        <f t="shared" si="5"/>
        <v>1534.9906889718054</v>
      </c>
      <c r="I36" s="86">
        <f t="shared" si="5"/>
        <v>1572.4349945805318</v>
      </c>
      <c r="J36" s="86">
        <f t="shared" si="5"/>
        <v>1611.7818264236321</v>
      </c>
      <c r="K36" s="86">
        <f t="shared" si="5"/>
        <v>1651.756854480258</v>
      </c>
      <c r="L36" s="86">
        <f t="shared" si="5"/>
        <v>1691.3657654599465</v>
      </c>
      <c r="M36" s="86">
        <f t="shared" si="5"/>
        <v>1733.0553096809772</v>
      </c>
      <c r="N36" s="86">
        <f t="shared" si="5"/>
        <v>1774.8803511833632</v>
      </c>
      <c r="O36" s="86">
        <f t="shared" si="5"/>
        <v>1817.8909353303895</v>
      </c>
      <c r="P36" s="86">
        <f t="shared" si="5"/>
        <v>1862.9409270886092</v>
      </c>
      <c r="Q36" s="86">
        <f t="shared" si="5"/>
        <v>1911.1228349254236</v>
      </c>
      <c r="R36" s="86">
        <f t="shared" si="5"/>
        <v>1958.4131195771838</v>
      </c>
      <c r="S36" s="86">
        <f t="shared" si="5"/>
        <v>2007.1578368346634</v>
      </c>
      <c r="T36" s="86">
        <f t="shared" si="5"/>
        <v>2017.1350406728309</v>
      </c>
      <c r="U36" s="86">
        <f t="shared" si="5"/>
        <v>1243.1579456902814</v>
      </c>
      <c r="V36" s="86">
        <f t="shared" si="5"/>
        <v>1272.9207946959607</v>
      </c>
      <c r="W36" s="86">
        <f t="shared" si="5"/>
        <v>1303.5303267656238</v>
      </c>
      <c r="X36" s="86">
        <f t="shared" si="5"/>
        <v>0</v>
      </c>
      <c r="Y36" s="86">
        <f t="shared" si="5"/>
        <v>0</v>
      </c>
      <c r="AA36" s="355">
        <f t="shared" si="1"/>
        <v>29793.01702771815</v>
      </c>
      <c r="AB36" s="356">
        <f t="shared" si="2"/>
        <v>14896.508513859075</v>
      </c>
    </row>
    <row r="37" spans="1:28" outlineLevel="1">
      <c r="A37" s="4"/>
      <c r="B37" s="92"/>
      <c r="C37" s="92"/>
      <c r="D37" s="86"/>
      <c r="E37" s="416">
        <f>E36/E20</f>
        <v>0.31242956349619705</v>
      </c>
      <c r="F37" s="416">
        <f t="shared" ref="F37:Y37" si="6">F36/F20</f>
        <v>0.55201074318956878</v>
      </c>
      <c r="G37" s="416">
        <f t="shared" si="6"/>
        <v>0.65451827100843318</v>
      </c>
      <c r="H37" s="416">
        <f t="shared" si="6"/>
        <v>0.65710381854003097</v>
      </c>
      <c r="I37" s="416">
        <f t="shared" si="6"/>
        <v>0.66118647527351815</v>
      </c>
      <c r="J37" s="416">
        <f t="shared" si="6"/>
        <v>0.66317685581472252</v>
      </c>
      <c r="K37" s="416">
        <f t="shared" si="6"/>
        <v>0.66591193760399525</v>
      </c>
      <c r="L37" s="416">
        <f t="shared" si="6"/>
        <v>0.67273966101414973</v>
      </c>
      <c r="M37" s="416">
        <f t="shared" si="6"/>
        <v>0.67778188027732489</v>
      </c>
      <c r="N37" s="416">
        <f t="shared" si="6"/>
        <v>0.68522009677093509</v>
      </c>
      <c r="O37" s="416">
        <f t="shared" si="6"/>
        <v>0.69268165427740325</v>
      </c>
      <c r="P37" s="416">
        <f t="shared" si="6"/>
        <v>0.69825597554491414</v>
      </c>
      <c r="Q37" s="416">
        <f t="shared" si="6"/>
        <v>0.7010321159009949</v>
      </c>
      <c r="R37" s="416">
        <f t="shared" si="6"/>
        <v>0.7085338967044249</v>
      </c>
      <c r="S37" s="416">
        <f t="shared" si="6"/>
        <v>0.71609891497550549</v>
      </c>
      <c r="T37" s="416">
        <f t="shared" si="6"/>
        <v>0.71066845071647555</v>
      </c>
      <c r="U37" s="416">
        <f t="shared" si="6"/>
        <v>0.90599467844164716</v>
      </c>
      <c r="V37" s="416">
        <f t="shared" si="6"/>
        <v>0.92000313586290627</v>
      </c>
      <c r="W37" s="416">
        <f t="shared" si="6"/>
        <v>0.93437715490119666</v>
      </c>
      <c r="X37" s="416" t="e">
        <f t="shared" si="6"/>
        <v>#DIV/0!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3110.7626062596837</v>
      </c>
      <c r="F39" s="89">
        <f t="shared" si="7"/>
        <v>1079.9596996755051</v>
      </c>
      <c r="G39" s="89">
        <f t="shared" si="7"/>
        <v>790.57897149868245</v>
      </c>
      <c r="H39" s="89">
        <f t="shared" si="7"/>
        <v>801.00348068967151</v>
      </c>
      <c r="I39" s="89">
        <f t="shared" si="7"/>
        <v>805.76700044674158</v>
      </c>
      <c r="J39" s="89">
        <f t="shared" si="7"/>
        <v>818.61334236363564</v>
      </c>
      <c r="K39" s="89">
        <f t="shared" si="7"/>
        <v>828.68652129614293</v>
      </c>
      <c r="L39" s="89">
        <f t="shared" si="7"/>
        <v>822.78029054963372</v>
      </c>
      <c r="M39" s="89">
        <f t="shared" si="7"/>
        <v>823.89606377838845</v>
      </c>
      <c r="N39" s="89">
        <f t="shared" si="7"/>
        <v>815.35358904605596</v>
      </c>
      <c r="O39" s="89">
        <f t="shared" si="7"/>
        <v>806.53389836437668</v>
      </c>
      <c r="P39" s="89">
        <f t="shared" si="7"/>
        <v>805.05045763929525</v>
      </c>
      <c r="Q39" s="89">
        <f t="shared" si="7"/>
        <v>815.03305947204058</v>
      </c>
      <c r="R39" s="89">
        <f t="shared" si="7"/>
        <v>805.62277014703659</v>
      </c>
      <c r="S39" s="89">
        <f t="shared" si="7"/>
        <v>795.74801158897139</v>
      </c>
      <c r="T39" s="89">
        <f t="shared" si="7"/>
        <v>821.2279662106364</v>
      </c>
      <c r="U39" s="89">
        <f t="shared" si="7"/>
        <v>128.98912677218686</v>
      </c>
      <c r="V39" s="89">
        <f t="shared" si="7"/>
        <v>110.68404867453432</v>
      </c>
      <c r="W39" s="89">
        <f t="shared" si="7"/>
        <v>91.54907979741688</v>
      </c>
      <c r="X39" s="89">
        <f t="shared" si="7"/>
        <v>0</v>
      </c>
      <c r="Y39" s="89">
        <f t="shared" si="7"/>
        <v>0</v>
      </c>
      <c r="AA39" s="355">
        <f>SUM(F39:Y39)</f>
        <v>12767.077378010952</v>
      </c>
      <c r="AB39" s="356">
        <f t="shared" si="2"/>
        <v>6383.538689005476</v>
      </c>
    </row>
    <row r="40" spans="1:28" s="17" customFormat="1">
      <c r="A40" s="1"/>
      <c r="B40" s="1"/>
      <c r="C40" s="1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113">
        <v>0</v>
      </c>
      <c r="F41" s="86">
        <f>+F109</f>
        <v>181</v>
      </c>
      <c r="G41" s="86">
        <f t="shared" ref="G41:Y41" si="9">+G109</f>
        <v>181</v>
      </c>
      <c r="H41" s="86">
        <f t="shared" si="9"/>
        <v>181</v>
      </c>
      <c r="I41" s="86">
        <f t="shared" si="9"/>
        <v>181</v>
      </c>
      <c r="J41" s="86">
        <f t="shared" si="9"/>
        <v>181</v>
      </c>
      <c r="K41" s="86">
        <f t="shared" si="9"/>
        <v>181</v>
      </c>
      <c r="L41" s="86">
        <f t="shared" si="9"/>
        <v>181</v>
      </c>
      <c r="M41" s="86">
        <f t="shared" si="9"/>
        <v>181</v>
      </c>
      <c r="N41" s="86">
        <f t="shared" si="9"/>
        <v>181</v>
      </c>
      <c r="O41" s="86">
        <f t="shared" si="9"/>
        <v>181</v>
      </c>
      <c r="P41" s="86">
        <f t="shared" si="9"/>
        <v>181</v>
      </c>
      <c r="Q41" s="86">
        <f t="shared" si="9"/>
        <v>181</v>
      </c>
      <c r="R41" s="86">
        <f t="shared" si="9"/>
        <v>181</v>
      </c>
      <c r="S41" s="86">
        <f t="shared" si="9"/>
        <v>181</v>
      </c>
      <c r="T41" s="86">
        <f t="shared" si="9"/>
        <v>181</v>
      </c>
      <c r="U41" s="86">
        <f t="shared" si="9"/>
        <v>181</v>
      </c>
      <c r="V41" s="86">
        <f t="shared" si="9"/>
        <v>181</v>
      </c>
      <c r="W41" s="86">
        <f t="shared" si="9"/>
        <v>181</v>
      </c>
      <c r="X41" s="86">
        <f t="shared" si="9"/>
        <v>0</v>
      </c>
      <c r="Y41" s="86">
        <f t="shared" si="9"/>
        <v>0</v>
      </c>
      <c r="AA41" s="355">
        <f t="shared" si="8"/>
        <v>3258</v>
      </c>
      <c r="AB41" s="356">
        <f t="shared" si="2"/>
        <v>1629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3110.7626062596837</v>
      </c>
      <c r="F44" s="89">
        <f t="shared" si="10"/>
        <v>898.95969967550514</v>
      </c>
      <c r="G44" s="89">
        <f t="shared" si="10"/>
        <v>609.57897149868245</v>
      </c>
      <c r="H44" s="89">
        <f t="shared" si="10"/>
        <v>620.00348068967151</v>
      </c>
      <c r="I44" s="89">
        <f t="shared" si="10"/>
        <v>624.76700044674158</v>
      </c>
      <c r="J44" s="89">
        <f t="shared" si="10"/>
        <v>637.61334236363564</v>
      </c>
      <c r="K44" s="89">
        <f t="shared" si="10"/>
        <v>647.68652129614293</v>
      </c>
      <c r="L44" s="89">
        <f t="shared" si="10"/>
        <v>641.78029054963372</v>
      </c>
      <c r="M44" s="89">
        <f t="shared" si="10"/>
        <v>642.89606377838845</v>
      </c>
      <c r="N44" s="89">
        <f t="shared" si="10"/>
        <v>634.35358904605596</v>
      </c>
      <c r="O44" s="89">
        <f t="shared" si="10"/>
        <v>625.53389836437668</v>
      </c>
      <c r="P44" s="89">
        <f t="shared" si="10"/>
        <v>624.05045763929525</v>
      </c>
      <c r="Q44" s="89">
        <f t="shared" si="10"/>
        <v>634.03305947204058</v>
      </c>
      <c r="R44" s="89">
        <f t="shared" si="10"/>
        <v>624.62277014703659</v>
      </c>
      <c r="S44" s="89">
        <f t="shared" si="10"/>
        <v>614.74801158897139</v>
      </c>
      <c r="T44" s="89">
        <f t="shared" si="10"/>
        <v>640.2279662106364</v>
      </c>
      <c r="U44" s="89">
        <f t="shared" si="10"/>
        <v>-52.010873227813136</v>
      </c>
      <c r="V44" s="89">
        <f t="shared" si="10"/>
        <v>-70.315951325465676</v>
      </c>
      <c r="W44" s="89">
        <f t="shared" si="10"/>
        <v>-89.45092020258312</v>
      </c>
      <c r="X44" s="89">
        <f t="shared" si="10"/>
        <v>0</v>
      </c>
      <c r="Y44" s="89">
        <f t="shared" si="10"/>
        <v>0</v>
      </c>
      <c r="AA44" s="355">
        <f t="shared" si="8"/>
        <v>9509.0773780109521</v>
      </c>
      <c r="AB44" s="356">
        <f t="shared" si="2"/>
        <v>4754.538689005476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205">
        <v>0</v>
      </c>
      <c r="F46" s="325">
        <v>0</v>
      </c>
      <c r="G46" s="325">
        <v>0</v>
      </c>
      <c r="H46" s="325">
        <v>0</v>
      </c>
      <c r="I46" s="325">
        <v>0</v>
      </c>
      <c r="J46" s="325">
        <v>0</v>
      </c>
      <c r="K46" s="325">
        <v>0</v>
      </c>
      <c r="L46" s="325">
        <v>0</v>
      </c>
      <c r="M46" s="325">
        <v>0</v>
      </c>
      <c r="N46" s="325">
        <v>0</v>
      </c>
      <c r="O46" s="325">
        <v>0</v>
      </c>
      <c r="P46" s="325">
        <v>0</v>
      </c>
      <c r="Q46" s="325">
        <v>0</v>
      </c>
      <c r="R46" s="325">
        <v>0</v>
      </c>
      <c r="S46" s="325">
        <v>0</v>
      </c>
      <c r="T46" s="325">
        <v>0</v>
      </c>
      <c r="U46" s="325">
        <v>0</v>
      </c>
      <c r="V46" s="325">
        <v>0</v>
      </c>
      <c r="W46" s="325">
        <v>0</v>
      </c>
      <c r="X46" s="325">
        <v>0</v>
      </c>
      <c r="Y46" s="325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3110.7626062596837</v>
      </c>
      <c r="F49" s="89">
        <f t="shared" si="11"/>
        <v>898.95969967550514</v>
      </c>
      <c r="G49" s="89">
        <f t="shared" si="11"/>
        <v>609.57897149868245</v>
      </c>
      <c r="H49" s="89">
        <f t="shared" si="11"/>
        <v>620.00348068967151</v>
      </c>
      <c r="I49" s="89">
        <f t="shared" si="11"/>
        <v>624.76700044674158</v>
      </c>
      <c r="J49" s="89">
        <f t="shared" si="11"/>
        <v>637.61334236363564</v>
      </c>
      <c r="K49" s="89">
        <f t="shared" si="11"/>
        <v>647.68652129614293</v>
      </c>
      <c r="L49" s="89">
        <f t="shared" si="11"/>
        <v>641.78029054963372</v>
      </c>
      <c r="M49" s="89">
        <f t="shared" si="11"/>
        <v>642.89606377838845</v>
      </c>
      <c r="N49" s="89">
        <f t="shared" si="11"/>
        <v>634.35358904605596</v>
      </c>
      <c r="O49" s="89">
        <f t="shared" si="11"/>
        <v>625.53389836437668</v>
      </c>
      <c r="P49" s="89">
        <f t="shared" si="11"/>
        <v>624.05045763929525</v>
      </c>
      <c r="Q49" s="89">
        <f t="shared" si="11"/>
        <v>634.03305947204058</v>
      </c>
      <c r="R49" s="89">
        <f t="shared" si="11"/>
        <v>624.62277014703659</v>
      </c>
      <c r="S49" s="89">
        <f t="shared" si="11"/>
        <v>614.74801158897139</v>
      </c>
      <c r="T49" s="89">
        <f t="shared" si="11"/>
        <v>640.2279662106364</v>
      </c>
      <c r="U49" s="89">
        <f t="shared" si="11"/>
        <v>-52.010873227813136</v>
      </c>
      <c r="V49" s="89">
        <f t="shared" si="11"/>
        <v>-70.315951325465676</v>
      </c>
      <c r="W49" s="89">
        <f t="shared" si="11"/>
        <v>-89.45092020258312</v>
      </c>
      <c r="X49" s="89">
        <f t="shared" si="11"/>
        <v>0</v>
      </c>
      <c r="Y49" s="89">
        <f t="shared" si="11"/>
        <v>0</v>
      </c>
      <c r="AA49" s="355">
        <f t="shared" si="8"/>
        <v>9509.0773780109521</v>
      </c>
      <c r="AB49" s="356">
        <f t="shared" si="2"/>
        <v>4754.538689005476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326">
        <v>0.05</v>
      </c>
      <c r="D51" s="86"/>
      <c r="E51" s="86">
        <f t="shared" ref="E51:Y51" si="12">E49*-$C$51</f>
        <v>-155.53813031298421</v>
      </c>
      <c r="F51" s="86">
        <f t="shared" si="12"/>
        <v>-44.947984983775257</v>
      </c>
      <c r="G51" s="51">
        <f t="shared" si="12"/>
        <v>-30.478948574934122</v>
      </c>
      <c r="H51" s="86">
        <f t="shared" si="12"/>
        <v>-31.000174034483578</v>
      </c>
      <c r="I51" s="86">
        <f t="shared" si="12"/>
        <v>-31.23835002233708</v>
      </c>
      <c r="J51" s="86">
        <f t="shared" si="12"/>
        <v>-31.880667118181783</v>
      </c>
      <c r="K51" s="86">
        <f t="shared" si="12"/>
        <v>-32.384326064807148</v>
      </c>
      <c r="L51" s="86">
        <f t="shared" si="12"/>
        <v>-32.089014527481687</v>
      </c>
      <c r="M51" s="86">
        <f t="shared" si="12"/>
        <v>-32.144803188919425</v>
      </c>
      <c r="N51" s="86">
        <f t="shared" si="12"/>
        <v>-31.7176794523028</v>
      </c>
      <c r="O51" s="86">
        <f t="shared" si="12"/>
        <v>-31.276694918218837</v>
      </c>
      <c r="P51" s="86">
        <f t="shared" si="12"/>
        <v>-31.202522881964764</v>
      </c>
      <c r="Q51" s="86">
        <f t="shared" si="12"/>
        <v>-31.70165297360203</v>
      </c>
      <c r="R51" s="86">
        <f t="shared" si="12"/>
        <v>-31.23113850735183</v>
      </c>
      <c r="S51" s="86">
        <f t="shared" si="12"/>
        <v>-30.737400579448572</v>
      </c>
      <c r="T51" s="86">
        <f t="shared" si="12"/>
        <v>-32.011398310531824</v>
      </c>
      <c r="U51" s="86">
        <f t="shared" si="12"/>
        <v>2.600543661390657</v>
      </c>
      <c r="V51" s="86">
        <f t="shared" si="12"/>
        <v>3.5157975662732839</v>
      </c>
      <c r="W51" s="86">
        <f t="shared" si="12"/>
        <v>4.4725460101291565</v>
      </c>
      <c r="X51" s="86">
        <f t="shared" si="12"/>
        <v>0</v>
      </c>
      <c r="Y51" s="86">
        <f t="shared" si="12"/>
        <v>0</v>
      </c>
      <c r="AA51" s="355">
        <f t="shared" si="8"/>
        <v>-475.45386890054755</v>
      </c>
      <c r="AB51" s="356">
        <f t="shared" si="2"/>
        <v>-237.72693445027377</v>
      </c>
    </row>
    <row r="52" spans="1:28">
      <c r="A52" s="4" t="s">
        <v>27</v>
      </c>
      <c r="C52" s="114">
        <v>0.35</v>
      </c>
      <c r="D52" s="85"/>
      <c r="E52" s="85">
        <f>((E49+E51)*-$C$52)+E56</f>
        <v>-1034.3285665813448</v>
      </c>
      <c r="F52" s="85">
        <f t="shared" ref="F52:Y52" si="13">((F49+F51)*-$C$52)+F56</f>
        <v>-298.90410014210539</v>
      </c>
      <c r="G52" s="85">
        <f t="shared" si="13"/>
        <v>-202.68500802331192</v>
      </c>
      <c r="H52" s="85">
        <f t="shared" si="13"/>
        <v>-206.15115732931574</v>
      </c>
      <c r="I52" s="85">
        <f t="shared" si="13"/>
        <v>-207.73502764854157</v>
      </c>
      <c r="J52" s="85">
        <f t="shared" si="13"/>
        <v>-212.00643633590883</v>
      </c>
      <c r="K52" s="85">
        <f t="shared" si="13"/>
        <v>-215.35576833096749</v>
      </c>
      <c r="L52" s="85">
        <f t="shared" si="13"/>
        <v>-213.3919466077532</v>
      </c>
      <c r="M52" s="85">
        <f t="shared" si="13"/>
        <v>-213.76294120631414</v>
      </c>
      <c r="N52" s="85">
        <f t="shared" si="13"/>
        <v>-210.92256835781359</v>
      </c>
      <c r="O52" s="85">
        <f t="shared" si="13"/>
        <v>-207.99002120615523</v>
      </c>
      <c r="P52" s="85">
        <f t="shared" si="13"/>
        <v>-207.49677716506565</v>
      </c>
      <c r="Q52" s="85">
        <f t="shared" si="13"/>
        <v>-210.81599227445349</v>
      </c>
      <c r="R52" s="85">
        <f t="shared" si="13"/>
        <v>-207.68707107388965</v>
      </c>
      <c r="S52" s="85">
        <f t="shared" si="13"/>
        <v>-204.40371385333296</v>
      </c>
      <c r="T52" s="85">
        <f t="shared" si="13"/>
        <v>-212.87579876503659</v>
      </c>
      <c r="U52" s="85">
        <f t="shared" si="13"/>
        <v>17.293615348247865</v>
      </c>
      <c r="V52" s="85">
        <f t="shared" si="13"/>
        <v>23.380053815717339</v>
      </c>
      <c r="W52" s="85">
        <f t="shared" si="13"/>
        <v>29.742430967358889</v>
      </c>
      <c r="X52" s="85">
        <f t="shared" si="13"/>
        <v>0</v>
      </c>
      <c r="Y52" s="85">
        <f t="shared" si="13"/>
        <v>0</v>
      </c>
      <c r="AA52" s="355">
        <f t="shared" si="8"/>
        <v>-3161.7682281886414</v>
      </c>
      <c r="AB52" s="356">
        <f t="shared" si="2"/>
        <v>-1580.8841140943207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1920.8959093653546</v>
      </c>
      <c r="F54" s="89">
        <f t="shared" si="14"/>
        <v>555.10761454962449</v>
      </c>
      <c r="G54" s="89">
        <f t="shared" si="14"/>
        <v>376.41501490043646</v>
      </c>
      <c r="H54" s="89">
        <f t="shared" si="14"/>
        <v>382.85214932587212</v>
      </c>
      <c r="I54" s="89">
        <f t="shared" si="14"/>
        <v>385.79362277586296</v>
      </c>
      <c r="J54" s="89">
        <f t="shared" si="14"/>
        <v>393.72623890954503</v>
      </c>
      <c r="K54" s="89">
        <f t="shared" si="14"/>
        <v>399.94642690036824</v>
      </c>
      <c r="L54" s="89">
        <f t="shared" si="14"/>
        <v>396.29932941439881</v>
      </c>
      <c r="M54" s="89">
        <f t="shared" si="14"/>
        <v>396.98831938315482</v>
      </c>
      <c r="N54" s="89">
        <f t="shared" si="14"/>
        <v>391.71334123593954</v>
      </c>
      <c r="O54" s="89">
        <f t="shared" si="14"/>
        <v>386.26718224000263</v>
      </c>
      <c r="P54" s="89">
        <f t="shared" si="14"/>
        <v>385.35115759226483</v>
      </c>
      <c r="Q54" s="89">
        <f t="shared" si="14"/>
        <v>391.51541422398509</v>
      </c>
      <c r="R54" s="89">
        <f t="shared" si="14"/>
        <v>385.70456056579508</v>
      </c>
      <c r="S54" s="89">
        <f t="shared" si="14"/>
        <v>379.6068971561898</v>
      </c>
      <c r="T54" s="89">
        <f t="shared" si="14"/>
        <v>395.34076913506794</v>
      </c>
      <c r="U54" s="89">
        <f t="shared" si="14"/>
        <v>-32.116714218174607</v>
      </c>
      <c r="V54" s="89">
        <f t="shared" si="14"/>
        <v>-43.420099943475059</v>
      </c>
      <c r="W54" s="89">
        <f t="shared" si="14"/>
        <v>-55.235943225095085</v>
      </c>
      <c r="X54" s="89">
        <f t="shared" si="14"/>
        <v>0</v>
      </c>
      <c r="Y54" s="89">
        <f t="shared" si="14"/>
        <v>0</v>
      </c>
      <c r="AA54" s="355">
        <f t="shared" si="8"/>
        <v>5871.8552809217626</v>
      </c>
      <c r="AB54" s="356">
        <f t="shared" si="2"/>
        <v>2935.9276404608813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v>0</v>
      </c>
      <c r="F56" s="169">
        <v>0</v>
      </c>
      <c r="G56" s="169">
        <v>0</v>
      </c>
      <c r="H56" s="169">
        <v>0</v>
      </c>
      <c r="I56" s="169">
        <v>0</v>
      </c>
      <c r="J56" s="169">
        <v>0</v>
      </c>
      <c r="K56" s="169">
        <v>0</v>
      </c>
      <c r="L56" s="169">
        <v>0</v>
      </c>
      <c r="M56" s="169">
        <v>0</v>
      </c>
      <c r="N56" s="169">
        <v>0</v>
      </c>
      <c r="O56" s="169">
        <v>0</v>
      </c>
      <c r="P56" s="169">
        <v>0</v>
      </c>
      <c r="Q56" s="169">
        <v>0</v>
      </c>
      <c r="R56" s="169">
        <v>0</v>
      </c>
      <c r="S56" s="169">
        <v>0</v>
      </c>
      <c r="T56" s="169">
        <v>0</v>
      </c>
      <c r="U56" s="169">
        <v>0</v>
      </c>
      <c r="V56" s="169">
        <v>0</v>
      </c>
      <c r="W56" s="169">
        <v>0</v>
      </c>
      <c r="X56" s="169">
        <v>0</v>
      </c>
      <c r="Y56" s="169">
        <v>0</v>
      </c>
      <c r="AA56" s="355">
        <f t="shared" si="8"/>
        <v>0</v>
      </c>
      <c r="AB56" s="356">
        <f t="shared" si="2"/>
        <v>0</v>
      </c>
    </row>
    <row r="57" spans="1:28" outlineLevel="1">
      <c r="A57" s="12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327">
        <v>0.5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3110.7626062596837</v>
      </c>
      <c r="F64" s="16">
        <f t="shared" si="16"/>
        <v>1079.9596996755051</v>
      </c>
      <c r="G64" s="20">
        <f t="shared" si="16"/>
        <v>790.57897149868245</v>
      </c>
      <c r="H64" s="16">
        <f t="shared" si="16"/>
        <v>801.00348068967151</v>
      </c>
      <c r="I64" s="16">
        <f t="shared" si="16"/>
        <v>805.76700044674158</v>
      </c>
      <c r="J64" s="16">
        <f t="shared" si="16"/>
        <v>818.61334236363564</v>
      </c>
      <c r="K64" s="16">
        <f t="shared" si="16"/>
        <v>828.68652129614293</v>
      </c>
      <c r="L64" s="16">
        <f t="shared" si="16"/>
        <v>822.78029054963372</v>
      </c>
      <c r="M64" s="16">
        <f t="shared" si="16"/>
        <v>823.89606377838845</v>
      </c>
      <c r="N64" s="16">
        <f t="shared" si="16"/>
        <v>815.35358904605596</v>
      </c>
      <c r="O64" s="16">
        <f t="shared" si="16"/>
        <v>806.53389836437668</v>
      </c>
      <c r="P64" s="16">
        <f t="shared" si="16"/>
        <v>805.05045763929525</v>
      </c>
      <c r="Q64" s="16">
        <f t="shared" si="16"/>
        <v>815.03305947204058</v>
      </c>
      <c r="R64" s="16">
        <f t="shared" si="16"/>
        <v>805.62277014703659</v>
      </c>
      <c r="S64" s="16">
        <f t="shared" si="16"/>
        <v>795.74801158897139</v>
      </c>
      <c r="T64" s="16">
        <f t="shared" si="16"/>
        <v>821.2279662106364</v>
      </c>
      <c r="U64" s="16">
        <f t="shared" si="16"/>
        <v>128.98912677218686</v>
      </c>
      <c r="V64" s="16">
        <f t="shared" si="16"/>
        <v>110.68404867453432</v>
      </c>
      <c r="W64" s="16">
        <f t="shared" si="16"/>
        <v>91.54907979741688</v>
      </c>
      <c r="X64" s="16">
        <f t="shared" si="16"/>
        <v>0</v>
      </c>
      <c r="Y64" s="16">
        <f t="shared" si="16"/>
        <v>0</v>
      </c>
      <c r="AA64" s="355">
        <f t="shared" si="8"/>
        <v>12767.077378010952</v>
      </c>
      <c r="AB64" s="356">
        <f t="shared" si="2"/>
        <v>6383.538689005476</v>
      </c>
    </row>
    <row r="65" spans="1:28" outlineLevel="1">
      <c r="A65" s="12" t="s">
        <v>29</v>
      </c>
      <c r="D65" s="16"/>
      <c r="E65" s="121">
        <v>0</v>
      </c>
      <c r="F65" s="121">
        <v>0</v>
      </c>
      <c r="G65" s="121">
        <v>0</v>
      </c>
      <c r="H65" s="121">
        <v>0</v>
      </c>
      <c r="I65" s="121">
        <v>0</v>
      </c>
      <c r="J65" s="121">
        <v>0</v>
      </c>
      <c r="K65" s="121">
        <v>0</v>
      </c>
      <c r="L65" s="121">
        <v>0</v>
      </c>
      <c r="M65" s="121">
        <v>0</v>
      </c>
      <c r="N65" s="121">
        <v>0</v>
      </c>
      <c r="O65" s="121">
        <v>0</v>
      </c>
      <c r="P65" s="121">
        <v>0</v>
      </c>
      <c r="Q65" s="121">
        <v>0</v>
      </c>
      <c r="R65" s="121">
        <v>0</v>
      </c>
      <c r="S65" s="121">
        <v>0</v>
      </c>
      <c r="T65" s="121">
        <v>0</v>
      </c>
      <c r="U65" s="121">
        <v>0</v>
      </c>
      <c r="V65" s="121">
        <v>0</v>
      </c>
      <c r="W65" s="121">
        <v>0</v>
      </c>
      <c r="X65" s="121">
        <v>0</v>
      </c>
      <c r="Y65" s="121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328">
        <v>0</v>
      </c>
      <c r="F66" s="328">
        <v>0</v>
      </c>
      <c r="G66" s="328">
        <v>0</v>
      </c>
      <c r="H66" s="328">
        <v>0</v>
      </c>
      <c r="I66" s="328">
        <v>0</v>
      </c>
      <c r="J66" s="328">
        <v>0</v>
      </c>
      <c r="K66" s="328">
        <v>0</v>
      </c>
      <c r="L66" s="328">
        <v>0</v>
      </c>
      <c r="M66" s="328">
        <v>0</v>
      </c>
      <c r="N66" s="328">
        <v>0</v>
      </c>
      <c r="O66" s="328">
        <v>0</v>
      </c>
      <c r="P66" s="328">
        <v>0</v>
      </c>
      <c r="Q66" s="328">
        <v>0</v>
      </c>
      <c r="R66" s="328">
        <v>0</v>
      </c>
      <c r="S66" s="328">
        <v>0</v>
      </c>
      <c r="T66" s="328">
        <v>0</v>
      </c>
      <c r="U66" s="328">
        <v>0</v>
      </c>
      <c r="V66" s="328">
        <v>0</v>
      </c>
      <c r="W66" s="328">
        <v>0</v>
      </c>
      <c r="X66" s="328">
        <v>0</v>
      </c>
      <c r="Y66" s="328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12"/>
      <c r="D67" s="87"/>
      <c r="E67" s="122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7">SUM(E64:E66)</f>
        <v>3110.7626062596837</v>
      </c>
      <c r="F69" s="91">
        <f t="shared" si="17"/>
        <v>1079.9596996755051</v>
      </c>
      <c r="G69" s="91">
        <f t="shared" si="17"/>
        <v>790.57897149868245</v>
      </c>
      <c r="H69" s="91">
        <f t="shared" si="17"/>
        <v>801.00348068967151</v>
      </c>
      <c r="I69" s="91">
        <f t="shared" si="17"/>
        <v>805.76700044674158</v>
      </c>
      <c r="J69" s="91">
        <f t="shared" si="17"/>
        <v>818.61334236363564</v>
      </c>
      <c r="K69" s="91">
        <f t="shared" si="17"/>
        <v>828.68652129614293</v>
      </c>
      <c r="L69" s="91">
        <f t="shared" si="17"/>
        <v>822.78029054963372</v>
      </c>
      <c r="M69" s="91">
        <f t="shared" si="17"/>
        <v>823.89606377838845</v>
      </c>
      <c r="N69" s="91">
        <f t="shared" si="17"/>
        <v>815.35358904605596</v>
      </c>
      <c r="O69" s="91">
        <f t="shared" si="17"/>
        <v>806.53389836437668</v>
      </c>
      <c r="P69" s="91">
        <f t="shared" si="17"/>
        <v>805.05045763929525</v>
      </c>
      <c r="Q69" s="91">
        <f t="shared" si="17"/>
        <v>815.03305947204058</v>
      </c>
      <c r="R69" s="91">
        <f t="shared" si="17"/>
        <v>805.62277014703659</v>
      </c>
      <c r="S69" s="91">
        <f t="shared" si="17"/>
        <v>795.74801158897139</v>
      </c>
      <c r="T69" s="91">
        <f t="shared" si="17"/>
        <v>821.2279662106364</v>
      </c>
      <c r="U69" s="91">
        <f t="shared" si="17"/>
        <v>128.98912677218686</v>
      </c>
      <c r="V69" s="91">
        <f t="shared" si="17"/>
        <v>110.68404867453432</v>
      </c>
      <c r="W69" s="91">
        <f t="shared" si="17"/>
        <v>91.54907979741688</v>
      </c>
      <c r="X69" s="91">
        <f t="shared" si="17"/>
        <v>0</v>
      </c>
      <c r="Y69" s="91">
        <f t="shared" si="17"/>
        <v>0</v>
      </c>
      <c r="AA69" s="355">
        <f t="shared" si="8"/>
        <v>12767.077378010952</v>
      </c>
      <c r="AB69" s="356">
        <f t="shared" si="2"/>
        <v>6383.538689005476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8">F89</f>
        <v>2.3946735189963579</v>
      </c>
      <c r="G71" s="94">
        <f t="shared" si="18"/>
        <v>362.37035723355729</v>
      </c>
      <c r="H71" s="94">
        <f t="shared" si="18"/>
        <v>92.476256935282649</v>
      </c>
      <c r="I71" s="94">
        <f t="shared" si="18"/>
        <v>-68.889824691429439</v>
      </c>
      <c r="J71" s="94">
        <f t="shared" si="18"/>
        <v>-73.803550474641412</v>
      </c>
      <c r="K71" s="94">
        <f t="shared" si="18"/>
        <v>-197.31456790605006</v>
      </c>
      <c r="L71" s="94">
        <f t="shared" si="18"/>
        <v>-314.71346113523487</v>
      </c>
      <c r="M71" s="94">
        <f t="shared" si="18"/>
        <v>-315.14024439523354</v>
      </c>
      <c r="N71" s="94">
        <f t="shared" si="18"/>
        <v>-311.87274781011638</v>
      </c>
      <c r="O71" s="94">
        <f t="shared" si="18"/>
        <v>-308.49921612437407</v>
      </c>
      <c r="P71" s="94">
        <f t="shared" si="18"/>
        <v>-307.93180004703044</v>
      </c>
      <c r="Q71" s="94">
        <f t="shared" si="18"/>
        <v>-311.75014524805545</v>
      </c>
      <c r="R71" s="94">
        <f t="shared" si="18"/>
        <v>-308.15070958124153</v>
      </c>
      <c r="S71" s="94">
        <f t="shared" si="18"/>
        <v>-304.37361443278155</v>
      </c>
      <c r="T71" s="94">
        <f t="shared" si="18"/>
        <v>-314.11969707556841</v>
      </c>
      <c r="U71" s="94">
        <f t="shared" si="18"/>
        <v>-49.338340990361473</v>
      </c>
      <c r="V71" s="94">
        <f t="shared" si="18"/>
        <v>-42.336648618009377</v>
      </c>
      <c r="W71" s="94">
        <f t="shared" si="18"/>
        <v>-35.017523022511952</v>
      </c>
      <c r="X71" s="94">
        <f t="shared" si="18"/>
        <v>0</v>
      </c>
      <c r="Y71" s="94">
        <f t="shared" si="18"/>
        <v>0</v>
      </c>
      <c r="AA71" s="355">
        <f t="shared" si="8"/>
        <v>-2806.0108038648032</v>
      </c>
      <c r="AB71" s="356">
        <f t="shared" si="2"/>
        <v>-1403.0054019324016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19">E69+E71</f>
        <v>3110.7626062596837</v>
      </c>
      <c r="F73" s="24">
        <f t="shared" si="19"/>
        <v>1082.3543731945015</v>
      </c>
      <c r="G73" s="24">
        <f t="shared" si="19"/>
        <v>1152.9493287322398</v>
      </c>
      <c r="H73" s="24">
        <f t="shared" si="19"/>
        <v>893.47973762495417</v>
      </c>
      <c r="I73" s="24">
        <f t="shared" si="19"/>
        <v>736.87717575531212</v>
      </c>
      <c r="J73" s="24">
        <f t="shared" si="19"/>
        <v>744.80979188899425</v>
      </c>
      <c r="K73" s="24">
        <f t="shared" si="19"/>
        <v>631.37195339009281</v>
      </c>
      <c r="L73" s="24">
        <f t="shared" si="19"/>
        <v>508.06682941439885</v>
      </c>
      <c r="M73" s="24">
        <f t="shared" si="19"/>
        <v>508.75581938315491</v>
      </c>
      <c r="N73" s="24">
        <f t="shared" si="19"/>
        <v>503.48084123593958</v>
      </c>
      <c r="O73" s="24">
        <f t="shared" si="19"/>
        <v>498.03468224000261</v>
      </c>
      <c r="P73" s="24">
        <f t="shared" si="19"/>
        <v>497.11865759226481</v>
      </c>
      <c r="Q73" s="24">
        <f t="shared" si="19"/>
        <v>503.28291422398513</v>
      </c>
      <c r="R73" s="24">
        <f t="shared" si="19"/>
        <v>497.47206056579506</v>
      </c>
      <c r="S73" s="24">
        <f t="shared" si="19"/>
        <v>491.37439715618984</v>
      </c>
      <c r="T73" s="24">
        <f t="shared" si="19"/>
        <v>507.10826913506799</v>
      </c>
      <c r="U73" s="24">
        <f t="shared" si="19"/>
        <v>79.650785781825391</v>
      </c>
      <c r="V73" s="24">
        <f t="shared" si="19"/>
        <v>68.347400056524947</v>
      </c>
      <c r="W73" s="24">
        <f t="shared" si="19"/>
        <v>56.531556774904928</v>
      </c>
      <c r="X73" s="24">
        <f t="shared" si="19"/>
        <v>0</v>
      </c>
      <c r="Y73" s="24">
        <f t="shared" si="19"/>
        <v>0</v>
      </c>
      <c r="AA73" s="355">
        <f t="shared" si="8"/>
        <v>9961.0665741461489</v>
      </c>
      <c r="AB73" s="356">
        <f t="shared" si="2"/>
        <v>4980.5332870730745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"/>
      <c r="C76" s="115">
        <f>+C$60</f>
        <v>0.5</v>
      </c>
      <c r="D76" s="24"/>
      <c r="E76" s="24">
        <f t="shared" ref="E76:Y76" si="21">$C$76*E54</f>
        <v>960.44795468267728</v>
      </c>
      <c r="F76" s="24">
        <f t="shared" si="21"/>
        <v>277.55380727481224</v>
      </c>
      <c r="G76" s="91">
        <f t="shared" si="21"/>
        <v>188.20750745021823</v>
      </c>
      <c r="H76" s="24">
        <f t="shared" si="21"/>
        <v>191.42607466293606</v>
      </c>
      <c r="I76" s="24">
        <f t="shared" si="21"/>
        <v>192.89681138793148</v>
      </c>
      <c r="J76" s="24">
        <f t="shared" si="21"/>
        <v>196.86311945477252</v>
      </c>
      <c r="K76" s="24">
        <f t="shared" si="21"/>
        <v>199.97321345018412</v>
      </c>
      <c r="L76" s="24">
        <f t="shared" si="21"/>
        <v>198.14966470719941</v>
      </c>
      <c r="M76" s="24">
        <f t="shared" si="21"/>
        <v>198.49415969157741</v>
      </c>
      <c r="N76" s="24">
        <f t="shared" si="21"/>
        <v>195.85667061796977</v>
      </c>
      <c r="O76" s="24">
        <f t="shared" si="21"/>
        <v>193.13359112000131</v>
      </c>
      <c r="P76" s="24">
        <f t="shared" si="21"/>
        <v>192.67557879613241</v>
      </c>
      <c r="Q76" s="24">
        <f t="shared" si="21"/>
        <v>195.75770711199254</v>
      </c>
      <c r="R76" s="24">
        <f t="shared" si="21"/>
        <v>192.85228028289754</v>
      </c>
      <c r="S76" s="24">
        <f t="shared" si="21"/>
        <v>189.8034485780949</v>
      </c>
      <c r="T76" s="24">
        <f t="shared" si="21"/>
        <v>197.67038456753397</v>
      </c>
      <c r="U76" s="24">
        <f t="shared" si="21"/>
        <v>-16.058357109087304</v>
      </c>
      <c r="V76" s="24">
        <f t="shared" si="21"/>
        <v>-21.710049971737529</v>
      </c>
      <c r="W76" s="24">
        <f t="shared" si="21"/>
        <v>-27.617971612547542</v>
      </c>
      <c r="X76" s="24">
        <f t="shared" si="21"/>
        <v>0</v>
      </c>
      <c r="Y76" s="24">
        <f t="shared" si="21"/>
        <v>0</v>
      </c>
      <c r="AA76" s="355">
        <f t="shared" si="8"/>
        <v>2935.9276404608813</v>
      </c>
      <c r="AB76" s="356">
        <f>AA76</f>
        <v>2935.9276404608813</v>
      </c>
    </row>
    <row r="77" spans="1:28" outlineLevel="1">
      <c r="A77" s="13" t="s">
        <v>136</v>
      </c>
      <c r="B77" s="22"/>
      <c r="C77" s="115">
        <f>+C60</f>
        <v>0.5</v>
      </c>
      <c r="D77" s="24"/>
      <c r="E77" s="24">
        <f t="shared" ref="E77:Y77" si="22">$C$77*E73</f>
        <v>1555.3813031298419</v>
      </c>
      <c r="F77" s="24">
        <f t="shared" si="22"/>
        <v>541.17718659725074</v>
      </c>
      <c r="G77" s="91">
        <f t="shared" si="22"/>
        <v>576.4746643661199</v>
      </c>
      <c r="H77" s="24">
        <f t="shared" si="22"/>
        <v>446.73986881247708</v>
      </c>
      <c r="I77" s="24">
        <f t="shared" si="22"/>
        <v>368.43858787765606</v>
      </c>
      <c r="J77" s="24">
        <f t="shared" si="22"/>
        <v>372.40489594449713</v>
      </c>
      <c r="K77" s="24">
        <f t="shared" si="22"/>
        <v>315.68597669504641</v>
      </c>
      <c r="L77" s="24">
        <f t="shared" si="22"/>
        <v>254.03341470719943</v>
      </c>
      <c r="M77" s="24">
        <f t="shared" si="22"/>
        <v>254.37790969157746</v>
      </c>
      <c r="N77" s="24">
        <f t="shared" si="22"/>
        <v>251.74042061796979</v>
      </c>
      <c r="O77" s="24">
        <f t="shared" si="22"/>
        <v>249.0173411200013</v>
      </c>
      <c r="P77" s="24">
        <f t="shared" si="22"/>
        <v>248.55932879613241</v>
      </c>
      <c r="Q77" s="24">
        <f t="shared" si="22"/>
        <v>251.64145711199257</v>
      </c>
      <c r="R77" s="24">
        <f t="shared" si="22"/>
        <v>248.73603028289753</v>
      </c>
      <c r="S77" s="24">
        <f t="shared" si="22"/>
        <v>245.68719857809492</v>
      </c>
      <c r="T77" s="24">
        <f t="shared" si="22"/>
        <v>253.55413456753399</v>
      </c>
      <c r="U77" s="24">
        <f t="shared" si="22"/>
        <v>39.825392890912696</v>
      </c>
      <c r="V77" s="24">
        <f t="shared" si="22"/>
        <v>34.173700028262473</v>
      </c>
      <c r="W77" s="24">
        <f t="shared" si="22"/>
        <v>28.265778387452464</v>
      </c>
      <c r="X77" s="24">
        <f t="shared" si="22"/>
        <v>0</v>
      </c>
      <c r="Y77" s="24">
        <f t="shared" si="22"/>
        <v>0</v>
      </c>
      <c r="AA77" s="355">
        <f t="shared" si="8"/>
        <v>4980.5332870730745</v>
      </c>
      <c r="AB77" s="356">
        <f>AA77</f>
        <v>4980.5332870730745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0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0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0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0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0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0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0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0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3">G62</f>
        <v>2002</v>
      </c>
      <c r="H86" s="99">
        <f t="shared" si="23"/>
        <v>2003</v>
      </c>
      <c r="I86" s="99">
        <f t="shared" si="23"/>
        <v>2004</v>
      </c>
      <c r="J86" s="99">
        <f t="shared" si="23"/>
        <v>2005</v>
      </c>
      <c r="K86" s="99">
        <f t="shared" si="23"/>
        <v>2006</v>
      </c>
      <c r="L86" s="99">
        <f t="shared" si="23"/>
        <v>2007</v>
      </c>
      <c r="M86" s="99">
        <f t="shared" si="23"/>
        <v>2008</v>
      </c>
      <c r="N86" s="99">
        <f t="shared" si="23"/>
        <v>2009</v>
      </c>
      <c r="O86" s="99">
        <f t="shared" si="23"/>
        <v>2010</v>
      </c>
      <c r="P86" s="99">
        <f t="shared" si="23"/>
        <v>2011</v>
      </c>
      <c r="Q86" s="99">
        <f t="shared" si="23"/>
        <v>2012</v>
      </c>
      <c r="R86" s="99">
        <f t="shared" si="23"/>
        <v>2013</v>
      </c>
      <c r="S86" s="99">
        <f t="shared" si="23"/>
        <v>2014</v>
      </c>
      <c r="T86" s="99">
        <f t="shared" si="23"/>
        <v>2015</v>
      </c>
      <c r="U86" s="99">
        <f t="shared" si="23"/>
        <v>2016</v>
      </c>
      <c r="V86" s="99">
        <f t="shared" si="23"/>
        <v>2017</v>
      </c>
      <c r="W86" s="99">
        <f t="shared" si="23"/>
        <v>2018</v>
      </c>
      <c r="X86" s="99">
        <f t="shared" si="23"/>
        <v>2019</v>
      </c>
      <c r="Y86" s="99">
        <f t="shared" si="23"/>
        <v>2020</v>
      </c>
      <c r="AA86" s="355">
        <f t="shared" si="8"/>
        <v>40210</v>
      </c>
      <c r="AB86" s="356">
        <f t="shared" si="20"/>
        <v>20105</v>
      </c>
    </row>
    <row r="87" spans="1:30" s="128" customFormat="1">
      <c r="AA87" s="355">
        <f t="shared" si="8"/>
        <v>0</v>
      </c>
      <c r="AB87" s="356">
        <f t="shared" si="20"/>
        <v>0</v>
      </c>
    </row>
    <row r="88" spans="1:30" s="128" customFormat="1">
      <c r="A88" s="11" t="s">
        <v>31</v>
      </c>
      <c r="F88" s="129">
        <f>F69</f>
        <v>1079.9596996755051</v>
      </c>
      <c r="G88" s="129">
        <f t="shared" ref="G88:Y88" si="24">G69</f>
        <v>790.57897149868245</v>
      </c>
      <c r="H88" s="129">
        <f t="shared" si="24"/>
        <v>801.00348068967151</v>
      </c>
      <c r="I88" s="129">
        <f t="shared" si="24"/>
        <v>805.76700044674158</v>
      </c>
      <c r="J88" s="129">
        <f t="shared" si="24"/>
        <v>818.61334236363564</v>
      </c>
      <c r="K88" s="129">
        <f t="shared" si="24"/>
        <v>828.68652129614293</v>
      </c>
      <c r="L88" s="129">
        <f t="shared" si="24"/>
        <v>822.78029054963372</v>
      </c>
      <c r="M88" s="129">
        <f t="shared" si="24"/>
        <v>823.89606377838845</v>
      </c>
      <c r="N88" s="129">
        <f t="shared" si="24"/>
        <v>815.35358904605596</v>
      </c>
      <c r="O88" s="129">
        <f t="shared" si="24"/>
        <v>806.53389836437668</v>
      </c>
      <c r="P88" s="129">
        <f t="shared" si="24"/>
        <v>805.05045763929525</v>
      </c>
      <c r="Q88" s="129">
        <f t="shared" si="24"/>
        <v>815.03305947204058</v>
      </c>
      <c r="R88" s="129">
        <f t="shared" si="24"/>
        <v>805.62277014703659</v>
      </c>
      <c r="S88" s="129">
        <f t="shared" si="24"/>
        <v>795.74801158897139</v>
      </c>
      <c r="T88" s="129">
        <f t="shared" si="24"/>
        <v>821.2279662106364</v>
      </c>
      <c r="U88" s="129">
        <f t="shared" si="24"/>
        <v>128.98912677218686</v>
      </c>
      <c r="V88" s="129">
        <f t="shared" si="24"/>
        <v>110.68404867453432</v>
      </c>
      <c r="W88" s="129">
        <f t="shared" si="24"/>
        <v>91.54907979741688</v>
      </c>
      <c r="X88" s="129">
        <f t="shared" si="24"/>
        <v>0</v>
      </c>
      <c r="Y88" s="129">
        <f t="shared" si="24"/>
        <v>0</v>
      </c>
      <c r="AA88" s="355">
        <f t="shared" si="8"/>
        <v>12767.077378010952</v>
      </c>
      <c r="AB88" s="356">
        <f t="shared" si="20"/>
        <v>6383.538689005476</v>
      </c>
    </row>
    <row r="89" spans="1:30" s="128" customFormat="1">
      <c r="A89" s="128" t="s">
        <v>42</v>
      </c>
      <c r="F89" s="100">
        <f>F126+F127</f>
        <v>2.3946735189963579</v>
      </c>
      <c r="G89" s="100">
        <f t="shared" ref="G89:Y89" si="25">G126+G127</f>
        <v>362.37035723355729</v>
      </c>
      <c r="H89" s="100">
        <f t="shared" si="25"/>
        <v>92.476256935282649</v>
      </c>
      <c r="I89" s="100">
        <f t="shared" si="25"/>
        <v>-68.889824691429439</v>
      </c>
      <c r="J89" s="100">
        <f t="shared" si="25"/>
        <v>-73.803550474641412</v>
      </c>
      <c r="K89" s="100">
        <f t="shared" si="25"/>
        <v>-197.31456790605006</v>
      </c>
      <c r="L89" s="100">
        <f t="shared" si="25"/>
        <v>-314.71346113523487</v>
      </c>
      <c r="M89" s="100">
        <f t="shared" si="25"/>
        <v>-315.14024439523354</v>
      </c>
      <c r="N89" s="100">
        <f t="shared" si="25"/>
        <v>-311.87274781011638</v>
      </c>
      <c r="O89" s="100">
        <f t="shared" si="25"/>
        <v>-308.49921612437407</v>
      </c>
      <c r="P89" s="100">
        <f t="shared" si="25"/>
        <v>-307.93180004703044</v>
      </c>
      <c r="Q89" s="100">
        <f t="shared" si="25"/>
        <v>-311.75014524805545</v>
      </c>
      <c r="R89" s="100">
        <f t="shared" si="25"/>
        <v>-308.15070958124153</v>
      </c>
      <c r="S89" s="100">
        <f t="shared" si="25"/>
        <v>-304.37361443278155</v>
      </c>
      <c r="T89" s="100">
        <f t="shared" si="25"/>
        <v>-314.11969707556841</v>
      </c>
      <c r="U89" s="100">
        <f t="shared" si="25"/>
        <v>-49.338340990361473</v>
      </c>
      <c r="V89" s="100">
        <f t="shared" si="25"/>
        <v>-42.336648618009377</v>
      </c>
      <c r="W89" s="100">
        <f t="shared" si="25"/>
        <v>-35.017523022511952</v>
      </c>
      <c r="X89" s="100">
        <f t="shared" si="25"/>
        <v>0</v>
      </c>
      <c r="Y89" s="100">
        <f t="shared" si="25"/>
        <v>0</v>
      </c>
      <c r="AA89" s="355">
        <f t="shared" si="8"/>
        <v>-2806.0108038648032</v>
      </c>
      <c r="AB89" s="356">
        <f t="shared" si="20"/>
        <v>-1403.0054019324016</v>
      </c>
    </row>
    <row r="90" spans="1:30" s="128" customFormat="1">
      <c r="A90" s="128" t="s">
        <v>109</v>
      </c>
      <c r="F90" s="100">
        <f>F56</f>
        <v>0</v>
      </c>
      <c r="G90" s="100">
        <f t="shared" ref="G90:Y90" si="26">G56</f>
        <v>0</v>
      </c>
      <c r="H90" s="100">
        <f t="shared" si="26"/>
        <v>0</v>
      </c>
      <c r="I90" s="100">
        <f t="shared" si="26"/>
        <v>0</v>
      </c>
      <c r="J90" s="100">
        <f t="shared" si="26"/>
        <v>0</v>
      </c>
      <c r="K90" s="100">
        <f t="shared" si="26"/>
        <v>0</v>
      </c>
      <c r="L90" s="100">
        <f t="shared" si="26"/>
        <v>0</v>
      </c>
      <c r="M90" s="100">
        <f t="shared" si="26"/>
        <v>0</v>
      </c>
      <c r="N90" s="100">
        <f t="shared" si="26"/>
        <v>0</v>
      </c>
      <c r="O90" s="100">
        <f t="shared" si="26"/>
        <v>0</v>
      </c>
      <c r="P90" s="100">
        <f t="shared" si="26"/>
        <v>0</v>
      </c>
      <c r="Q90" s="100">
        <f t="shared" si="26"/>
        <v>0</v>
      </c>
      <c r="R90" s="100">
        <f t="shared" si="26"/>
        <v>0</v>
      </c>
      <c r="S90" s="100">
        <f t="shared" si="26"/>
        <v>0</v>
      </c>
      <c r="T90" s="100">
        <f t="shared" si="26"/>
        <v>0</v>
      </c>
      <c r="U90" s="100">
        <f t="shared" si="26"/>
        <v>0</v>
      </c>
      <c r="V90" s="100">
        <f t="shared" si="26"/>
        <v>0</v>
      </c>
      <c r="W90" s="100">
        <f t="shared" si="26"/>
        <v>0</v>
      </c>
      <c r="X90" s="100">
        <f t="shared" si="26"/>
        <v>0</v>
      </c>
      <c r="Y90" s="100">
        <f t="shared" si="26"/>
        <v>0</v>
      </c>
      <c r="AA90" s="355">
        <f t="shared" si="8"/>
        <v>0</v>
      </c>
      <c r="AB90" s="356">
        <f t="shared" si="20"/>
        <v>0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f>Y99</f>
        <v>732.39263837933504</v>
      </c>
      <c r="X91" s="101">
        <v>0</v>
      </c>
      <c r="Y91" s="101"/>
      <c r="AA91" s="355">
        <f t="shared" si="8"/>
        <v>732.39263837933504</v>
      </c>
      <c r="AB91" s="356">
        <f t="shared" si="20"/>
        <v>366.19631918966752</v>
      </c>
    </row>
    <row r="92" spans="1:30" s="128" customFormat="1">
      <c r="A92" s="128" t="s">
        <v>44</v>
      </c>
      <c r="E92" s="329">
        <v>-6034.5571335494133</v>
      </c>
      <c r="F92" s="129">
        <f>SUM(F88:F91)</f>
        <v>1082.3543731945015</v>
      </c>
      <c r="G92" s="129">
        <f t="shared" ref="G92:Y92" si="27">SUM(G88:G91)</f>
        <v>1152.9493287322398</v>
      </c>
      <c r="H92" s="129">
        <f t="shared" si="27"/>
        <v>893.47973762495417</v>
      </c>
      <c r="I92" s="129">
        <f t="shared" si="27"/>
        <v>736.87717575531212</v>
      </c>
      <c r="J92" s="129">
        <f t="shared" si="27"/>
        <v>744.80979188899425</v>
      </c>
      <c r="K92" s="129">
        <f t="shared" si="27"/>
        <v>631.37195339009281</v>
      </c>
      <c r="L92" s="129">
        <f t="shared" si="27"/>
        <v>508.06682941439885</v>
      </c>
      <c r="M92" s="129">
        <f t="shared" si="27"/>
        <v>508.75581938315491</v>
      </c>
      <c r="N92" s="129">
        <f t="shared" si="27"/>
        <v>503.48084123593958</v>
      </c>
      <c r="O92" s="129">
        <f t="shared" si="27"/>
        <v>498.03468224000261</v>
      </c>
      <c r="P92" s="129">
        <f t="shared" si="27"/>
        <v>497.11865759226481</v>
      </c>
      <c r="Q92" s="129">
        <f t="shared" si="27"/>
        <v>503.28291422398513</v>
      </c>
      <c r="R92" s="129">
        <f t="shared" si="27"/>
        <v>497.47206056579506</v>
      </c>
      <c r="S92" s="129">
        <f t="shared" si="27"/>
        <v>491.37439715618984</v>
      </c>
      <c r="T92" s="129">
        <f t="shared" si="27"/>
        <v>507.10826913506799</v>
      </c>
      <c r="U92" s="129">
        <f t="shared" si="27"/>
        <v>79.650785781825391</v>
      </c>
      <c r="V92" s="129">
        <f t="shared" si="27"/>
        <v>68.347400056524947</v>
      </c>
      <c r="W92" s="129">
        <f t="shared" si="27"/>
        <v>788.92419515424001</v>
      </c>
      <c r="X92" s="129">
        <f t="shared" si="27"/>
        <v>0</v>
      </c>
      <c r="Y92" s="129">
        <f t="shared" si="27"/>
        <v>0</v>
      </c>
      <c r="AA92" s="355">
        <f t="shared" si="8"/>
        <v>10693.459212525484</v>
      </c>
      <c r="AB92" s="356">
        <f t="shared" si="20"/>
        <v>5346.729606262742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0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0"/>
        <v>0</v>
      </c>
    </row>
    <row r="95" spans="1:30" s="128" customFormat="1" ht="13.5" thickBot="1">
      <c r="A95" s="128" t="s">
        <v>46</v>
      </c>
      <c r="E95" s="174">
        <f>NPV(C96,E92:Y92)</f>
        <v>2.3206716874366575E-12</v>
      </c>
      <c r="R95" s="133"/>
      <c r="U95" s="134" t="s">
        <v>47</v>
      </c>
      <c r="V95" s="135"/>
      <c r="W95" s="135"/>
      <c r="X95" s="135"/>
      <c r="Y95" s="136">
        <f>W88</f>
        <v>91.54907979741688</v>
      </c>
      <c r="AA95" s="355">
        <f t="shared" si="8"/>
        <v>91.54907979741688</v>
      </c>
      <c r="AB95" s="356">
        <f t="shared" si="20"/>
        <v>45.77453989870844</v>
      </c>
    </row>
    <row r="96" spans="1:30" s="128" customFormat="1" ht="13.5" thickBot="1">
      <c r="A96" s="128" t="s">
        <v>48</v>
      </c>
      <c r="C96" s="116">
        <v>0.09</v>
      </c>
      <c r="R96" s="129"/>
      <c r="U96" s="137" t="s">
        <v>49</v>
      </c>
      <c r="V96" s="135"/>
      <c r="W96" s="135"/>
      <c r="X96" s="135"/>
      <c r="Y96" s="119">
        <v>1</v>
      </c>
      <c r="AA96" s="355">
        <f t="shared" si="8"/>
        <v>1</v>
      </c>
      <c r="AB96" s="356">
        <f t="shared" si="20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91.54907979741688</v>
      </c>
      <c r="AA97" s="355">
        <f t="shared" si="8"/>
        <v>91.54907979741688</v>
      </c>
      <c r="AB97" s="356">
        <f t="shared" si="20"/>
        <v>45.77453989870844</v>
      </c>
    </row>
    <row r="98" spans="1:28" s="128" customFormat="1">
      <c r="U98" s="137" t="s">
        <v>51</v>
      </c>
      <c r="V98" s="135"/>
      <c r="W98" s="135"/>
      <c r="X98" s="135"/>
      <c r="Y98" s="120">
        <v>8</v>
      </c>
      <c r="AA98" s="355">
        <f t="shared" si="8"/>
        <v>8</v>
      </c>
      <c r="AB98" s="356">
        <f t="shared" si="20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732.39263837933504</v>
      </c>
      <c r="AA99" s="355">
        <f t="shared" si="8"/>
        <v>732.39263837933504</v>
      </c>
      <c r="AB99" s="356">
        <f t="shared" si="20"/>
        <v>366.19631918966752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0"/>
        <v>0</v>
      </c>
    </row>
    <row r="101" spans="1:28" s="128" customFormat="1">
      <c r="A101" s="128" t="s">
        <v>53</v>
      </c>
      <c r="D101" s="261">
        <v>0</v>
      </c>
      <c r="AA101" s="355">
        <f t="shared" si="8"/>
        <v>0</v>
      </c>
      <c r="AB101" s="356">
        <f t="shared" si="20"/>
        <v>0</v>
      </c>
    </row>
    <row r="102" spans="1:28" s="128" customFormat="1" ht="15">
      <c r="A102" s="128" t="s">
        <v>54</v>
      </c>
      <c r="D102" s="101">
        <f>-E92</f>
        <v>6034.5571335494133</v>
      </c>
      <c r="AA102" s="355">
        <f t="shared" si="8"/>
        <v>0</v>
      </c>
      <c r="AB102" s="356">
        <f t="shared" si="20"/>
        <v>0</v>
      </c>
    </row>
    <row r="103" spans="1:28" s="128" customFormat="1">
      <c r="D103" s="142">
        <f>D101+D102</f>
        <v>6034.5571335494133</v>
      </c>
      <c r="AA103" s="355">
        <f t="shared" si="8"/>
        <v>0</v>
      </c>
      <c r="AB103" s="356">
        <f t="shared" si="20"/>
        <v>0</v>
      </c>
    </row>
    <row r="104" spans="1:28" s="128" customFormat="1">
      <c r="A104" s="128" t="s">
        <v>55</v>
      </c>
      <c r="D104" s="117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28" customFormat="1">
      <c r="A105" s="128" t="s">
        <v>56</v>
      </c>
      <c r="D105" s="142">
        <f>D103*D104</f>
        <v>5431.1014201944718</v>
      </c>
      <c r="AA105" s="355">
        <f t="shared" si="28"/>
        <v>0</v>
      </c>
      <c r="AB105" s="356">
        <f t="shared" si="20"/>
        <v>0</v>
      </c>
    </row>
    <row r="106" spans="1:28" s="128" customFormat="1">
      <c r="AA106" s="355">
        <f t="shared" si="28"/>
        <v>0</v>
      </c>
      <c r="AB106" s="356">
        <f t="shared" si="20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29">G107+1</f>
        <v>2003</v>
      </c>
      <c r="I107" s="99">
        <f t="shared" si="29"/>
        <v>2004</v>
      </c>
      <c r="J107" s="99">
        <f t="shared" si="29"/>
        <v>2005</v>
      </c>
      <c r="K107" s="99">
        <f t="shared" si="29"/>
        <v>2006</v>
      </c>
      <c r="L107" s="99">
        <f t="shared" si="29"/>
        <v>2007</v>
      </c>
      <c r="M107" s="99">
        <f t="shared" si="29"/>
        <v>2008</v>
      </c>
      <c r="N107" s="99">
        <f t="shared" si="29"/>
        <v>2009</v>
      </c>
      <c r="O107" s="99">
        <f t="shared" si="29"/>
        <v>2010</v>
      </c>
      <c r="P107" s="99">
        <f t="shared" si="29"/>
        <v>2011</v>
      </c>
      <c r="Q107" s="99">
        <f t="shared" si="29"/>
        <v>2012</v>
      </c>
      <c r="R107" s="99">
        <f t="shared" si="29"/>
        <v>2013</v>
      </c>
      <c r="S107" s="99">
        <f t="shared" si="29"/>
        <v>2014</v>
      </c>
      <c r="T107" s="99">
        <f t="shared" si="29"/>
        <v>2015</v>
      </c>
      <c r="U107" s="99">
        <f t="shared" si="29"/>
        <v>2016</v>
      </c>
      <c r="V107" s="99">
        <f t="shared" si="29"/>
        <v>2017</v>
      </c>
      <c r="W107" s="99">
        <f t="shared" si="29"/>
        <v>2018</v>
      </c>
      <c r="X107" s="99">
        <f t="shared" si="29"/>
        <v>2019</v>
      </c>
      <c r="Y107" s="99">
        <f t="shared" si="29"/>
        <v>2020</v>
      </c>
      <c r="AA107" s="355">
        <f t="shared" si="28"/>
        <v>40210</v>
      </c>
      <c r="AB107" s="356">
        <f t="shared" si="20"/>
        <v>20105</v>
      </c>
    </row>
    <row r="108" spans="1:28" s="128" customFormat="1">
      <c r="A108" s="103" t="s">
        <v>57</v>
      </c>
      <c r="AA108" s="355">
        <f t="shared" si="28"/>
        <v>0</v>
      </c>
      <c r="AB108" s="356">
        <f t="shared" si="20"/>
        <v>0</v>
      </c>
    </row>
    <row r="109" spans="1:28" s="128" customFormat="1">
      <c r="A109" s="128" t="s">
        <v>58</v>
      </c>
      <c r="B109" s="330">
        <v>30</v>
      </c>
      <c r="C109" s="128" t="s">
        <v>0</v>
      </c>
      <c r="D109" s="143">
        <f>D105</f>
        <v>5431.1014201944718</v>
      </c>
      <c r="F109" s="132">
        <f>ROUND(D109/$B$109,0)</f>
        <v>181</v>
      </c>
      <c r="G109" s="132">
        <f>F109</f>
        <v>181</v>
      </c>
      <c r="H109" s="132">
        <f t="shared" ref="H109:W110" si="30">G109</f>
        <v>181</v>
      </c>
      <c r="I109" s="132">
        <f t="shared" si="30"/>
        <v>181</v>
      </c>
      <c r="J109" s="132">
        <f t="shared" si="30"/>
        <v>181</v>
      </c>
      <c r="K109" s="132">
        <f t="shared" si="30"/>
        <v>181</v>
      </c>
      <c r="L109" s="132">
        <f t="shared" si="30"/>
        <v>181</v>
      </c>
      <c r="M109" s="132">
        <f t="shared" si="30"/>
        <v>181</v>
      </c>
      <c r="N109" s="132">
        <f t="shared" si="30"/>
        <v>181</v>
      </c>
      <c r="O109" s="132">
        <f t="shared" si="30"/>
        <v>181</v>
      </c>
      <c r="P109" s="132">
        <f t="shared" si="30"/>
        <v>181</v>
      </c>
      <c r="Q109" s="132">
        <f t="shared" si="30"/>
        <v>181</v>
      </c>
      <c r="R109" s="132">
        <f t="shared" si="30"/>
        <v>181</v>
      </c>
      <c r="S109" s="132">
        <f t="shared" si="30"/>
        <v>181</v>
      </c>
      <c r="T109" s="132">
        <f t="shared" si="30"/>
        <v>181</v>
      </c>
      <c r="U109" s="132">
        <f t="shared" si="30"/>
        <v>181</v>
      </c>
      <c r="V109" s="132">
        <f t="shared" si="30"/>
        <v>181</v>
      </c>
      <c r="W109" s="132">
        <f t="shared" si="30"/>
        <v>181</v>
      </c>
      <c r="X109" s="360"/>
      <c r="Y109" s="360"/>
      <c r="AA109" s="355">
        <f t="shared" si="28"/>
        <v>3258</v>
      </c>
      <c r="AB109" s="356">
        <f t="shared" si="20"/>
        <v>1629</v>
      </c>
    </row>
    <row r="110" spans="1:28" s="128" customFormat="1">
      <c r="A110" s="128" t="s">
        <v>138</v>
      </c>
      <c r="D110" s="143">
        <f>D104*'FPLE_Wind Summary'!J32</f>
        <v>375.10291508990957</v>
      </c>
      <c r="F110" s="132">
        <f>ROUND(D110/$B$109,0)</f>
        <v>13</v>
      </c>
      <c r="G110" s="132">
        <f>F110</f>
        <v>13</v>
      </c>
      <c r="H110" s="132">
        <f t="shared" si="30"/>
        <v>13</v>
      </c>
      <c r="I110" s="132">
        <f t="shared" si="30"/>
        <v>13</v>
      </c>
      <c r="J110" s="132">
        <f t="shared" si="30"/>
        <v>13</v>
      </c>
      <c r="K110" s="132">
        <f t="shared" si="30"/>
        <v>13</v>
      </c>
      <c r="L110" s="132">
        <f t="shared" si="30"/>
        <v>13</v>
      </c>
      <c r="M110" s="132">
        <f t="shared" si="30"/>
        <v>13</v>
      </c>
      <c r="N110" s="132">
        <f t="shared" si="30"/>
        <v>13</v>
      </c>
      <c r="O110" s="132">
        <f t="shared" si="30"/>
        <v>13</v>
      </c>
      <c r="P110" s="132">
        <f t="shared" si="30"/>
        <v>13</v>
      </c>
      <c r="Q110" s="132">
        <f t="shared" si="30"/>
        <v>13</v>
      </c>
      <c r="R110" s="132">
        <f t="shared" si="30"/>
        <v>13</v>
      </c>
      <c r="S110" s="132">
        <f t="shared" si="30"/>
        <v>13</v>
      </c>
      <c r="T110" s="132">
        <f t="shared" si="30"/>
        <v>13</v>
      </c>
      <c r="U110" s="132">
        <f t="shared" si="30"/>
        <v>13</v>
      </c>
      <c r="V110" s="132">
        <f t="shared" si="30"/>
        <v>13</v>
      </c>
      <c r="W110" s="132">
        <f t="shared" si="30"/>
        <v>13</v>
      </c>
      <c r="X110" s="360"/>
      <c r="Y110" s="360"/>
      <c r="AA110" s="355">
        <f t="shared" si="28"/>
        <v>234</v>
      </c>
      <c r="AB110" s="356">
        <f t="shared" si="20"/>
        <v>117</v>
      </c>
    </row>
    <row r="111" spans="1:28" s="128" customFormat="1">
      <c r="AA111" s="355">
        <f t="shared" si="28"/>
        <v>0</v>
      </c>
      <c r="AB111" s="356">
        <f t="shared" si="20"/>
        <v>0</v>
      </c>
    </row>
    <row r="112" spans="1:28" s="128" customFormat="1">
      <c r="A112" s="103" t="s">
        <v>59</v>
      </c>
      <c r="AA112" s="355">
        <f t="shared" si="28"/>
        <v>0</v>
      </c>
      <c r="AB112" s="356">
        <f t="shared" si="20"/>
        <v>0</v>
      </c>
    </row>
    <row r="113" spans="1:28" s="128" customFormat="1">
      <c r="A113" s="104" t="s">
        <v>60</v>
      </c>
      <c r="D113" s="143">
        <f>D109</f>
        <v>5431.1014201944718</v>
      </c>
      <c r="AA113" s="355">
        <f t="shared" si="28"/>
        <v>0</v>
      </c>
      <c r="AB113" s="356">
        <f t="shared" si="20"/>
        <v>0</v>
      </c>
    </row>
    <row r="114" spans="1:28" s="128" customFormat="1">
      <c r="A114" s="128" t="s">
        <v>61</v>
      </c>
      <c r="E114" s="144"/>
      <c r="F114" s="331">
        <v>0.2</v>
      </c>
      <c r="G114" s="331">
        <v>0.32</v>
      </c>
      <c r="H114" s="331">
        <v>0.192</v>
      </c>
      <c r="I114" s="331">
        <v>0.1152</v>
      </c>
      <c r="J114" s="331">
        <v>0.1152</v>
      </c>
      <c r="K114" s="331">
        <v>5.7599999999999998E-2</v>
      </c>
      <c r="L114" s="331">
        <v>0</v>
      </c>
      <c r="M114" s="331">
        <v>0</v>
      </c>
      <c r="N114" s="331">
        <v>0</v>
      </c>
      <c r="O114" s="331">
        <v>0</v>
      </c>
      <c r="P114" s="331">
        <v>0</v>
      </c>
      <c r="Q114" s="331">
        <v>0</v>
      </c>
      <c r="R114" s="331">
        <v>0</v>
      </c>
      <c r="S114" s="331">
        <v>0</v>
      </c>
      <c r="T114" s="331">
        <v>0</v>
      </c>
      <c r="U114" s="331">
        <v>0</v>
      </c>
      <c r="V114" s="331">
        <v>0</v>
      </c>
      <c r="W114" s="331">
        <v>0</v>
      </c>
      <c r="X114" s="331">
        <v>0</v>
      </c>
      <c r="Y114" s="331">
        <v>0</v>
      </c>
      <c r="Z114" s="145"/>
      <c r="AA114" s="355">
        <f t="shared" si="28"/>
        <v>0.99999999999999989</v>
      </c>
      <c r="AB114" s="356">
        <f t="shared" si="20"/>
        <v>0.49999999999999994</v>
      </c>
    </row>
    <row r="115" spans="1:28" s="128" customFormat="1">
      <c r="A115" s="128" t="s">
        <v>59</v>
      </c>
      <c r="F115" s="132">
        <f t="shared" ref="F115:W115" si="31">$D$113*F114</f>
        <v>1086.2202840388943</v>
      </c>
      <c r="G115" s="132">
        <f t="shared" si="31"/>
        <v>1737.9524544622309</v>
      </c>
      <c r="H115" s="132">
        <f t="shared" si="31"/>
        <v>1042.7714726773386</v>
      </c>
      <c r="I115" s="132">
        <f t="shared" si="31"/>
        <v>625.66288360640317</v>
      </c>
      <c r="J115" s="132">
        <f t="shared" si="31"/>
        <v>625.66288360640317</v>
      </c>
      <c r="K115" s="132">
        <f t="shared" si="31"/>
        <v>312.83144180320159</v>
      </c>
      <c r="L115" s="132">
        <f t="shared" si="31"/>
        <v>0</v>
      </c>
      <c r="M115" s="132">
        <f t="shared" si="31"/>
        <v>0</v>
      </c>
      <c r="N115" s="132">
        <f t="shared" si="31"/>
        <v>0</v>
      </c>
      <c r="O115" s="132">
        <f t="shared" si="31"/>
        <v>0</v>
      </c>
      <c r="P115" s="132">
        <f t="shared" si="31"/>
        <v>0</v>
      </c>
      <c r="Q115" s="132">
        <f t="shared" si="31"/>
        <v>0</v>
      </c>
      <c r="R115" s="132">
        <f t="shared" si="31"/>
        <v>0</v>
      </c>
      <c r="S115" s="132">
        <f t="shared" si="31"/>
        <v>0</v>
      </c>
      <c r="T115" s="132">
        <f t="shared" si="31"/>
        <v>0</v>
      </c>
      <c r="U115" s="132">
        <f t="shared" si="31"/>
        <v>0</v>
      </c>
      <c r="V115" s="132">
        <f t="shared" si="31"/>
        <v>0</v>
      </c>
      <c r="W115" s="132">
        <f t="shared" si="31"/>
        <v>0</v>
      </c>
      <c r="X115" s="360"/>
      <c r="Y115" s="360"/>
      <c r="AA115" s="355">
        <f t="shared" si="28"/>
        <v>5431.1014201944708</v>
      </c>
      <c r="AB115" s="356">
        <f t="shared" si="20"/>
        <v>2715.5507100972354</v>
      </c>
    </row>
    <row r="116" spans="1:28" s="128" customFormat="1">
      <c r="A116" s="128" t="s">
        <v>138</v>
      </c>
      <c r="D116" s="143">
        <f>D110</f>
        <v>375.10291508990957</v>
      </c>
      <c r="F116" s="132">
        <f>$D$116*F114</f>
        <v>75.02058301798192</v>
      </c>
      <c r="G116" s="132">
        <f t="shared" ref="G116:W116" si="32">$D$116*G114</f>
        <v>120.03293282877107</v>
      </c>
      <c r="H116" s="132">
        <f t="shared" si="32"/>
        <v>72.019759697262643</v>
      </c>
      <c r="I116" s="132">
        <f t="shared" si="32"/>
        <v>43.211855818357584</v>
      </c>
      <c r="J116" s="132">
        <f t="shared" si="32"/>
        <v>43.211855818357584</v>
      </c>
      <c r="K116" s="132">
        <f t="shared" si="32"/>
        <v>21.605927909178792</v>
      </c>
      <c r="L116" s="132">
        <f t="shared" si="32"/>
        <v>0</v>
      </c>
      <c r="M116" s="132">
        <f t="shared" si="32"/>
        <v>0</v>
      </c>
      <c r="N116" s="132">
        <f t="shared" si="32"/>
        <v>0</v>
      </c>
      <c r="O116" s="132">
        <f t="shared" si="32"/>
        <v>0</v>
      </c>
      <c r="P116" s="132">
        <f t="shared" si="32"/>
        <v>0</v>
      </c>
      <c r="Q116" s="132">
        <f t="shared" si="32"/>
        <v>0</v>
      </c>
      <c r="R116" s="132">
        <f t="shared" si="32"/>
        <v>0</v>
      </c>
      <c r="S116" s="132">
        <f t="shared" si="32"/>
        <v>0</v>
      </c>
      <c r="T116" s="132">
        <f t="shared" si="32"/>
        <v>0</v>
      </c>
      <c r="U116" s="132">
        <f t="shared" si="32"/>
        <v>0</v>
      </c>
      <c r="V116" s="132">
        <f t="shared" si="32"/>
        <v>0</v>
      </c>
      <c r="W116" s="132">
        <f t="shared" si="32"/>
        <v>0</v>
      </c>
      <c r="X116" s="360"/>
      <c r="Y116" s="360"/>
      <c r="AA116" s="355">
        <f t="shared" si="28"/>
        <v>375.10291508990963</v>
      </c>
      <c r="AB116" s="356">
        <f t="shared" si="20"/>
        <v>187.55145754495481</v>
      </c>
    </row>
    <row r="117" spans="1:28" s="128" customFormat="1">
      <c r="AA117" s="355">
        <f t="shared" si="28"/>
        <v>0</v>
      </c>
      <c r="AB117" s="356">
        <f t="shared" si="20"/>
        <v>0</v>
      </c>
    </row>
    <row r="118" spans="1:28" s="128" customFormat="1">
      <c r="AA118" s="355">
        <f t="shared" si="28"/>
        <v>0</v>
      </c>
      <c r="AB118" s="356">
        <f t="shared" si="20"/>
        <v>0</v>
      </c>
    </row>
    <row r="119" spans="1:28" s="128" customFormat="1" ht="13.5" thickBot="1">
      <c r="F119" s="99">
        <f>F107</f>
        <v>2001</v>
      </c>
      <c r="G119" s="99">
        <f t="shared" ref="G119:Y119" si="33">G107</f>
        <v>2002</v>
      </c>
      <c r="H119" s="99">
        <f t="shared" si="33"/>
        <v>2003</v>
      </c>
      <c r="I119" s="99">
        <f t="shared" si="33"/>
        <v>2004</v>
      </c>
      <c r="J119" s="99">
        <f t="shared" si="33"/>
        <v>2005</v>
      </c>
      <c r="K119" s="99">
        <f t="shared" si="33"/>
        <v>2006</v>
      </c>
      <c r="L119" s="99">
        <f t="shared" si="33"/>
        <v>2007</v>
      </c>
      <c r="M119" s="99">
        <f t="shared" si="33"/>
        <v>2008</v>
      </c>
      <c r="N119" s="99">
        <f t="shared" si="33"/>
        <v>2009</v>
      </c>
      <c r="O119" s="99">
        <f t="shared" si="33"/>
        <v>2010</v>
      </c>
      <c r="P119" s="99">
        <f t="shared" si="33"/>
        <v>2011</v>
      </c>
      <c r="Q119" s="99">
        <f t="shared" si="33"/>
        <v>2012</v>
      </c>
      <c r="R119" s="99">
        <f t="shared" si="33"/>
        <v>2013</v>
      </c>
      <c r="S119" s="99">
        <f t="shared" si="33"/>
        <v>2014</v>
      </c>
      <c r="T119" s="99">
        <f t="shared" si="33"/>
        <v>2015</v>
      </c>
      <c r="U119" s="99">
        <f t="shared" si="33"/>
        <v>2016</v>
      </c>
      <c r="V119" s="99">
        <f t="shared" si="33"/>
        <v>2017</v>
      </c>
      <c r="W119" s="99">
        <f t="shared" si="33"/>
        <v>2018</v>
      </c>
      <c r="X119" s="99">
        <f t="shared" si="33"/>
        <v>2019</v>
      </c>
      <c r="Y119" s="99">
        <f t="shared" si="33"/>
        <v>2020</v>
      </c>
      <c r="AA119" s="355">
        <f t="shared" si="28"/>
        <v>40210</v>
      </c>
      <c r="AB119" s="356">
        <f t="shared" si="20"/>
        <v>20105</v>
      </c>
    </row>
    <row r="120" spans="1:28" s="128" customFormat="1">
      <c r="A120" s="98" t="s">
        <v>62</v>
      </c>
      <c r="AA120" s="355">
        <f t="shared" si="28"/>
        <v>0</v>
      </c>
      <c r="AB120" s="356">
        <f t="shared" si="20"/>
        <v>0</v>
      </c>
    </row>
    <row r="121" spans="1:28" s="128" customFormat="1">
      <c r="A121" s="146" t="str">
        <f>A64</f>
        <v>EBITDA</v>
      </c>
      <c r="F121" s="132">
        <f>F39</f>
        <v>1079.9596996755051</v>
      </c>
      <c r="G121" s="132">
        <f t="shared" ref="G121:Y121" si="34">G39</f>
        <v>790.57897149868245</v>
      </c>
      <c r="H121" s="132">
        <f t="shared" si="34"/>
        <v>801.00348068967151</v>
      </c>
      <c r="I121" s="132">
        <f t="shared" si="34"/>
        <v>805.76700044674158</v>
      </c>
      <c r="J121" s="132">
        <f>J39</f>
        <v>818.61334236363564</v>
      </c>
      <c r="K121" s="132">
        <f t="shared" si="34"/>
        <v>828.68652129614293</v>
      </c>
      <c r="L121" s="132">
        <f t="shared" si="34"/>
        <v>822.78029054963372</v>
      </c>
      <c r="M121" s="132">
        <f t="shared" si="34"/>
        <v>823.89606377838845</v>
      </c>
      <c r="N121" s="132">
        <f t="shared" si="34"/>
        <v>815.35358904605596</v>
      </c>
      <c r="O121" s="132">
        <f t="shared" si="34"/>
        <v>806.53389836437668</v>
      </c>
      <c r="P121" s="132">
        <f t="shared" si="34"/>
        <v>805.05045763929525</v>
      </c>
      <c r="Q121" s="132">
        <f t="shared" si="34"/>
        <v>815.03305947204058</v>
      </c>
      <c r="R121" s="132">
        <f t="shared" si="34"/>
        <v>805.62277014703659</v>
      </c>
      <c r="S121" s="132">
        <f t="shared" si="34"/>
        <v>795.74801158897139</v>
      </c>
      <c r="T121" s="132">
        <f t="shared" si="34"/>
        <v>821.2279662106364</v>
      </c>
      <c r="U121" s="132">
        <f t="shared" si="34"/>
        <v>128.98912677218686</v>
      </c>
      <c r="V121" s="132">
        <f t="shared" si="34"/>
        <v>110.68404867453432</v>
      </c>
      <c r="W121" s="132">
        <f t="shared" si="34"/>
        <v>91.54907979741688</v>
      </c>
      <c r="X121" s="132">
        <f t="shared" si="34"/>
        <v>0</v>
      </c>
      <c r="Y121" s="132">
        <f t="shared" si="34"/>
        <v>0</v>
      </c>
      <c r="AA121" s="355">
        <f t="shared" si="28"/>
        <v>12767.077378010952</v>
      </c>
      <c r="AB121" s="356">
        <f t="shared" si="20"/>
        <v>6383.538689005476</v>
      </c>
    </row>
    <row r="122" spans="1:28" s="128" customFormat="1">
      <c r="A122" s="128" t="s">
        <v>63</v>
      </c>
      <c r="F122" s="132">
        <f>-F115</f>
        <v>-1086.2202840388943</v>
      </c>
      <c r="G122" s="132">
        <f t="shared" ref="G122:Y122" si="35">-G115</f>
        <v>-1737.9524544622309</v>
      </c>
      <c r="H122" s="132">
        <f t="shared" si="35"/>
        <v>-1042.7714726773386</v>
      </c>
      <c r="I122" s="132">
        <f t="shared" si="35"/>
        <v>-625.66288360640317</v>
      </c>
      <c r="J122" s="132">
        <f t="shared" si="35"/>
        <v>-625.66288360640317</v>
      </c>
      <c r="K122" s="132">
        <f t="shared" si="35"/>
        <v>-312.83144180320159</v>
      </c>
      <c r="L122" s="132">
        <f t="shared" si="35"/>
        <v>0</v>
      </c>
      <c r="M122" s="132">
        <f t="shared" si="35"/>
        <v>0</v>
      </c>
      <c r="N122" s="132">
        <f t="shared" si="35"/>
        <v>0</v>
      </c>
      <c r="O122" s="132">
        <f t="shared" si="35"/>
        <v>0</v>
      </c>
      <c r="P122" s="132">
        <f t="shared" si="35"/>
        <v>0</v>
      </c>
      <c r="Q122" s="132">
        <f t="shared" si="35"/>
        <v>0</v>
      </c>
      <c r="R122" s="132">
        <f t="shared" si="35"/>
        <v>0</v>
      </c>
      <c r="S122" s="132">
        <f t="shared" si="35"/>
        <v>0</v>
      </c>
      <c r="T122" s="132">
        <f t="shared" si="35"/>
        <v>0</v>
      </c>
      <c r="U122" s="132">
        <f t="shared" si="35"/>
        <v>0</v>
      </c>
      <c r="V122" s="132">
        <f t="shared" si="35"/>
        <v>0</v>
      </c>
      <c r="W122" s="132">
        <f t="shared" si="35"/>
        <v>0</v>
      </c>
      <c r="X122" s="132">
        <f t="shared" si="35"/>
        <v>0</v>
      </c>
      <c r="Y122" s="132">
        <f t="shared" si="35"/>
        <v>0</v>
      </c>
      <c r="AA122" s="355">
        <f t="shared" si="28"/>
        <v>-5431.1014201944708</v>
      </c>
      <c r="AB122" s="356">
        <f t="shared" si="20"/>
        <v>-2715.5507100972354</v>
      </c>
    </row>
    <row r="123" spans="1:28" s="128" customFormat="1">
      <c r="A123" s="128" t="s">
        <v>64</v>
      </c>
      <c r="F123" s="147">
        <f>-F46</f>
        <v>0</v>
      </c>
      <c r="G123" s="147">
        <f t="shared" ref="G123:Y123" si="36">-G46</f>
        <v>0</v>
      </c>
      <c r="H123" s="147">
        <f t="shared" si="36"/>
        <v>0</v>
      </c>
      <c r="I123" s="147">
        <f t="shared" si="36"/>
        <v>0</v>
      </c>
      <c r="J123" s="147">
        <f t="shared" si="36"/>
        <v>0</v>
      </c>
      <c r="K123" s="147">
        <f t="shared" si="36"/>
        <v>0</v>
      </c>
      <c r="L123" s="147">
        <f t="shared" si="36"/>
        <v>0</v>
      </c>
      <c r="M123" s="147">
        <f t="shared" si="36"/>
        <v>0</v>
      </c>
      <c r="N123" s="147">
        <f t="shared" si="36"/>
        <v>0</v>
      </c>
      <c r="O123" s="147">
        <f t="shared" si="36"/>
        <v>0</v>
      </c>
      <c r="P123" s="147">
        <f t="shared" si="36"/>
        <v>0</v>
      </c>
      <c r="Q123" s="147">
        <f t="shared" si="36"/>
        <v>0</v>
      </c>
      <c r="R123" s="147">
        <f t="shared" si="36"/>
        <v>0</v>
      </c>
      <c r="S123" s="147">
        <f t="shared" si="36"/>
        <v>0</v>
      </c>
      <c r="T123" s="147">
        <f t="shared" si="36"/>
        <v>0</v>
      </c>
      <c r="U123" s="147">
        <f t="shared" si="36"/>
        <v>0</v>
      </c>
      <c r="V123" s="147">
        <f t="shared" si="36"/>
        <v>0</v>
      </c>
      <c r="W123" s="147">
        <f t="shared" si="36"/>
        <v>0</v>
      </c>
      <c r="X123" s="147">
        <f t="shared" si="36"/>
        <v>0</v>
      </c>
      <c r="Y123" s="147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28" customFormat="1">
      <c r="A124" s="128" t="s">
        <v>65</v>
      </c>
      <c r="F124" s="132">
        <f>SUM(F121:F123)</f>
        <v>-6.2605843633891709</v>
      </c>
      <c r="G124" s="132">
        <f t="shared" ref="G124:Y124" si="37">SUM(G121:G123)</f>
        <v>-947.37348296354844</v>
      </c>
      <c r="H124" s="132">
        <f t="shared" si="37"/>
        <v>-241.76799198766707</v>
      </c>
      <c r="I124" s="132">
        <f t="shared" si="37"/>
        <v>180.10411684033841</v>
      </c>
      <c r="J124" s="132">
        <f t="shared" si="37"/>
        <v>192.95045875723247</v>
      </c>
      <c r="K124" s="132">
        <f t="shared" si="37"/>
        <v>515.85507949294129</v>
      </c>
      <c r="L124" s="132">
        <f t="shared" si="37"/>
        <v>822.78029054963372</v>
      </c>
      <c r="M124" s="132">
        <f t="shared" si="37"/>
        <v>823.89606377838845</v>
      </c>
      <c r="N124" s="132">
        <f t="shared" si="37"/>
        <v>815.35358904605596</v>
      </c>
      <c r="O124" s="132">
        <f t="shared" si="37"/>
        <v>806.53389836437668</v>
      </c>
      <c r="P124" s="132">
        <f t="shared" si="37"/>
        <v>805.05045763929525</v>
      </c>
      <c r="Q124" s="132">
        <f t="shared" si="37"/>
        <v>815.03305947204058</v>
      </c>
      <c r="R124" s="132">
        <f t="shared" si="37"/>
        <v>805.62277014703659</v>
      </c>
      <c r="S124" s="132">
        <f t="shared" si="37"/>
        <v>795.74801158897139</v>
      </c>
      <c r="T124" s="132">
        <f t="shared" si="37"/>
        <v>821.2279662106364</v>
      </c>
      <c r="U124" s="132">
        <f t="shared" si="37"/>
        <v>128.98912677218686</v>
      </c>
      <c r="V124" s="132">
        <f t="shared" si="37"/>
        <v>110.68404867453432</v>
      </c>
      <c r="W124" s="132">
        <f t="shared" si="37"/>
        <v>91.54907979741688</v>
      </c>
      <c r="X124" s="132">
        <f t="shared" si="37"/>
        <v>0</v>
      </c>
      <c r="Y124" s="132">
        <f t="shared" si="37"/>
        <v>0</v>
      </c>
      <c r="AA124" s="355">
        <f t="shared" si="28"/>
        <v>7335.9759578164812</v>
      </c>
      <c r="AB124" s="356">
        <f t="shared" si="20"/>
        <v>3667.9879789082406</v>
      </c>
    </row>
    <row r="125" spans="1:28" s="128" customFormat="1">
      <c r="AA125" s="355">
        <f t="shared" si="28"/>
        <v>0</v>
      </c>
      <c r="AB125" s="356">
        <f t="shared" si="20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0.31302921816945856</v>
      </c>
      <c r="G126" s="132">
        <f t="shared" ref="G126:Y126" si="38">-G124*$C$126</f>
        <v>47.368674148177426</v>
      </c>
      <c r="H126" s="132">
        <f t="shared" si="38"/>
        <v>12.088399599383354</v>
      </c>
      <c r="I126" s="132">
        <f t="shared" si="38"/>
        <v>-9.0052058420169203</v>
      </c>
      <c r="J126" s="132">
        <f t="shared" si="38"/>
        <v>-9.6475229378616234</v>
      </c>
      <c r="K126" s="132">
        <f t="shared" si="38"/>
        <v>-25.792753974647066</v>
      </c>
      <c r="L126" s="132">
        <f t="shared" si="38"/>
        <v>-41.139014527481692</v>
      </c>
      <c r="M126" s="132">
        <f t="shared" si="38"/>
        <v>-41.194803188919423</v>
      </c>
      <c r="N126" s="132">
        <f t="shared" si="38"/>
        <v>-40.767679452302801</v>
      </c>
      <c r="O126" s="132">
        <f t="shared" si="38"/>
        <v>-40.326694918218834</v>
      </c>
      <c r="P126" s="132">
        <f t="shared" si="38"/>
        <v>-40.252522881964765</v>
      </c>
      <c r="Q126" s="132">
        <f t="shared" si="38"/>
        <v>-40.751652973602035</v>
      </c>
      <c r="R126" s="132">
        <f t="shared" si="38"/>
        <v>-40.281138507351834</v>
      </c>
      <c r="S126" s="132">
        <f t="shared" si="38"/>
        <v>-39.787400579448573</v>
      </c>
      <c r="T126" s="132">
        <f t="shared" si="38"/>
        <v>-41.061398310531821</v>
      </c>
      <c r="U126" s="132">
        <f t="shared" si="38"/>
        <v>-6.4494563386093438</v>
      </c>
      <c r="V126" s="132">
        <f t="shared" si="38"/>
        <v>-5.5342024337267164</v>
      </c>
      <c r="W126" s="132">
        <f t="shared" si="38"/>
        <v>-4.5774539898708442</v>
      </c>
      <c r="X126" s="132">
        <f t="shared" si="38"/>
        <v>0</v>
      </c>
      <c r="Y126" s="132">
        <f t="shared" si="38"/>
        <v>0</v>
      </c>
      <c r="AA126" s="355">
        <f t="shared" si="28"/>
        <v>-366.79879789082401</v>
      </c>
      <c r="AB126" s="356">
        <f t="shared" si="20"/>
        <v>-183.399398945412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2.0816443008268992</v>
      </c>
      <c r="G127" s="132">
        <f t="shared" ref="G127:Y127" si="39">-(G124+G126)*$C$127</f>
        <v>315.00168308537985</v>
      </c>
      <c r="H127" s="132">
        <f t="shared" si="39"/>
        <v>80.387857335899298</v>
      </c>
      <c r="I127" s="132">
        <f t="shared" si="39"/>
        <v>-59.884618849412519</v>
      </c>
      <c r="J127" s="132">
        <f t="shared" si="39"/>
        <v>-64.156027536779789</v>
      </c>
      <c r="K127" s="132">
        <f t="shared" si="39"/>
        <v>-171.52181393140299</v>
      </c>
      <c r="L127" s="132">
        <f t="shared" si="39"/>
        <v>-273.5744466077532</v>
      </c>
      <c r="M127" s="132">
        <f t="shared" si="39"/>
        <v>-273.94544120631411</v>
      </c>
      <c r="N127" s="132">
        <f t="shared" si="39"/>
        <v>-271.10506835781359</v>
      </c>
      <c r="O127" s="132">
        <f t="shared" si="39"/>
        <v>-268.17252120615524</v>
      </c>
      <c r="P127" s="132">
        <f t="shared" si="39"/>
        <v>-267.67927716506568</v>
      </c>
      <c r="Q127" s="132">
        <f t="shared" si="39"/>
        <v>-270.99849227445344</v>
      </c>
      <c r="R127" s="132">
        <f t="shared" si="39"/>
        <v>-267.86957107388969</v>
      </c>
      <c r="S127" s="132">
        <f t="shared" si="39"/>
        <v>-264.58621385333299</v>
      </c>
      <c r="T127" s="132">
        <f t="shared" si="39"/>
        <v>-273.05829876503657</v>
      </c>
      <c r="U127" s="132">
        <f t="shared" si="39"/>
        <v>-42.888884651752129</v>
      </c>
      <c r="V127" s="132">
        <f t="shared" si="39"/>
        <v>-36.802446184282658</v>
      </c>
      <c r="W127" s="132">
        <f t="shared" si="39"/>
        <v>-30.440069032641109</v>
      </c>
      <c r="X127" s="132">
        <f t="shared" si="39"/>
        <v>0</v>
      </c>
      <c r="Y127" s="132">
        <f t="shared" si="39"/>
        <v>0</v>
      </c>
      <c r="AA127" s="355">
        <f t="shared" si="28"/>
        <v>-2439.2120059739796</v>
      </c>
      <c r="AB127" s="356">
        <f t="shared" si="20"/>
        <v>-1219.6060029869898</v>
      </c>
    </row>
    <row r="128" spans="1:28" s="128" customFormat="1">
      <c r="AA128" s="355">
        <f t="shared" si="28"/>
        <v>0</v>
      </c>
      <c r="AB128" s="356">
        <f t="shared" si="20"/>
        <v>0</v>
      </c>
    </row>
    <row r="129" spans="1:28" s="128" customFormat="1">
      <c r="AA129" s="355">
        <f t="shared" si="28"/>
        <v>0</v>
      </c>
      <c r="AB129" s="356">
        <f t="shared" si="20"/>
        <v>0</v>
      </c>
    </row>
    <row r="130" spans="1:28" s="128" customFormat="1">
      <c r="AA130" s="355">
        <f t="shared" si="28"/>
        <v>0</v>
      </c>
      <c r="AB130" s="356">
        <f t="shared" si="20"/>
        <v>0</v>
      </c>
    </row>
    <row r="131" spans="1:28" s="128" customFormat="1">
      <c r="AA131" s="355">
        <f t="shared" si="28"/>
        <v>0</v>
      </c>
      <c r="AB131" s="356">
        <f t="shared" si="20"/>
        <v>0</v>
      </c>
    </row>
    <row r="132" spans="1:28" s="128" customFormat="1">
      <c r="AA132" s="355">
        <f t="shared" si="28"/>
        <v>0</v>
      </c>
      <c r="AB132" s="356">
        <f t="shared" si="20"/>
        <v>0</v>
      </c>
    </row>
    <row r="133" spans="1:28" s="128" customFormat="1">
      <c r="AA133" s="355">
        <f t="shared" si="28"/>
        <v>0</v>
      </c>
      <c r="AB133" s="356">
        <f t="shared" si="20"/>
        <v>0</v>
      </c>
    </row>
    <row r="134" spans="1:28" s="128" customFormat="1">
      <c r="AA134" s="355">
        <f t="shared" si="28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0">G119</f>
        <v>2002</v>
      </c>
      <c r="H135" s="99">
        <f t="shared" si="40"/>
        <v>2003</v>
      </c>
      <c r="I135" s="99">
        <f t="shared" si="40"/>
        <v>2004</v>
      </c>
      <c r="J135" s="99">
        <f t="shared" si="40"/>
        <v>2005</v>
      </c>
      <c r="K135" s="99">
        <f t="shared" si="40"/>
        <v>2006</v>
      </c>
      <c r="L135" s="99">
        <f t="shared" si="40"/>
        <v>2007</v>
      </c>
      <c r="M135" s="99">
        <f t="shared" si="40"/>
        <v>2008</v>
      </c>
      <c r="N135" s="99">
        <f t="shared" si="40"/>
        <v>2009</v>
      </c>
      <c r="O135" s="99">
        <f t="shared" si="40"/>
        <v>2010</v>
      </c>
      <c r="P135" s="99">
        <f t="shared" si="40"/>
        <v>2011</v>
      </c>
      <c r="Q135" s="99">
        <f t="shared" si="40"/>
        <v>2012</v>
      </c>
      <c r="R135" s="99">
        <f t="shared" si="40"/>
        <v>2013</v>
      </c>
      <c r="S135" s="99">
        <f t="shared" si="40"/>
        <v>2014</v>
      </c>
      <c r="T135" s="99">
        <f t="shared" si="40"/>
        <v>2015</v>
      </c>
      <c r="U135" s="99">
        <f t="shared" si="40"/>
        <v>2016</v>
      </c>
      <c r="V135" s="99">
        <f t="shared" si="40"/>
        <v>2017</v>
      </c>
      <c r="W135" s="99">
        <f t="shared" si="40"/>
        <v>2018</v>
      </c>
      <c r="X135" s="99">
        <f t="shared" si="40"/>
        <v>2019</v>
      </c>
      <c r="Y135" s="9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28" customFormat="1">
      <c r="AA136" s="355">
        <f t="shared" si="28"/>
        <v>0</v>
      </c>
      <c r="AB136" s="356">
        <f t="shared" si="41"/>
        <v>0</v>
      </c>
    </row>
    <row r="137" spans="1:28" s="128" customFormat="1">
      <c r="A137" s="128" t="s">
        <v>78</v>
      </c>
      <c r="F137" s="118">
        <f>F46</f>
        <v>0</v>
      </c>
      <c r="G137" s="118">
        <f t="shared" ref="G137:Y137" si="42">G46</f>
        <v>0</v>
      </c>
      <c r="H137" s="118">
        <f t="shared" si="42"/>
        <v>0</v>
      </c>
      <c r="I137" s="118">
        <f t="shared" si="42"/>
        <v>0</v>
      </c>
      <c r="J137" s="118">
        <f t="shared" si="42"/>
        <v>0</v>
      </c>
      <c r="K137" s="118">
        <f t="shared" si="42"/>
        <v>0</v>
      </c>
      <c r="L137" s="118">
        <f t="shared" si="42"/>
        <v>0</v>
      </c>
      <c r="M137" s="118">
        <f t="shared" si="42"/>
        <v>0</v>
      </c>
      <c r="N137" s="118">
        <f t="shared" si="42"/>
        <v>0</v>
      </c>
      <c r="O137" s="118">
        <f t="shared" si="42"/>
        <v>0</v>
      </c>
      <c r="P137" s="118">
        <f t="shared" si="42"/>
        <v>0</v>
      </c>
      <c r="Q137" s="118">
        <f t="shared" si="42"/>
        <v>0</v>
      </c>
      <c r="R137" s="118">
        <f t="shared" si="42"/>
        <v>0</v>
      </c>
      <c r="S137" s="118">
        <f t="shared" si="42"/>
        <v>0</v>
      </c>
      <c r="T137" s="118">
        <f t="shared" si="42"/>
        <v>0</v>
      </c>
      <c r="U137" s="118">
        <f t="shared" si="42"/>
        <v>0</v>
      </c>
      <c r="V137" s="118">
        <f t="shared" si="42"/>
        <v>0</v>
      </c>
      <c r="W137" s="118">
        <f t="shared" si="42"/>
        <v>0</v>
      </c>
      <c r="X137" s="118">
        <f t="shared" si="42"/>
        <v>0</v>
      </c>
      <c r="Y137" s="118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28" customFormat="1">
      <c r="A138" s="128" t="s">
        <v>67</v>
      </c>
      <c r="F138" s="147">
        <f t="shared" ref="F138:Y138" si="43">SUM(F33:F35)</f>
        <v>0</v>
      </c>
      <c r="G138" s="147">
        <f t="shared" si="43"/>
        <v>0</v>
      </c>
      <c r="H138" s="147">
        <f t="shared" si="43"/>
        <v>0</v>
      </c>
      <c r="I138" s="147">
        <f t="shared" si="43"/>
        <v>0</v>
      </c>
      <c r="J138" s="147">
        <f t="shared" si="43"/>
        <v>0</v>
      </c>
      <c r="K138" s="147">
        <f t="shared" si="43"/>
        <v>0</v>
      </c>
      <c r="L138" s="147">
        <f t="shared" si="43"/>
        <v>0</v>
      </c>
      <c r="M138" s="147">
        <f t="shared" si="43"/>
        <v>0</v>
      </c>
      <c r="N138" s="147">
        <f t="shared" si="43"/>
        <v>0</v>
      </c>
      <c r="O138" s="147">
        <f t="shared" si="43"/>
        <v>0</v>
      </c>
      <c r="P138" s="147">
        <f t="shared" si="43"/>
        <v>0</v>
      </c>
      <c r="Q138" s="147">
        <f t="shared" si="43"/>
        <v>0</v>
      </c>
      <c r="R138" s="147">
        <f t="shared" si="43"/>
        <v>0</v>
      </c>
      <c r="S138" s="147">
        <f t="shared" si="43"/>
        <v>0</v>
      </c>
      <c r="T138" s="147">
        <f t="shared" si="43"/>
        <v>0</v>
      </c>
      <c r="U138" s="147">
        <f t="shared" si="43"/>
        <v>0</v>
      </c>
      <c r="V138" s="147">
        <f t="shared" si="43"/>
        <v>0</v>
      </c>
      <c r="W138" s="147">
        <f t="shared" si="43"/>
        <v>0</v>
      </c>
      <c r="X138" s="147">
        <f t="shared" si="43"/>
        <v>0</v>
      </c>
      <c r="Y138" s="147">
        <f t="shared" si="43"/>
        <v>0</v>
      </c>
      <c r="AA138" s="355">
        <f t="shared" si="28"/>
        <v>0</v>
      </c>
      <c r="AB138" s="356">
        <f t="shared" si="41"/>
        <v>0</v>
      </c>
    </row>
    <row r="139" spans="1:28" s="128" customFormat="1">
      <c r="A139" s="128" t="s">
        <v>68</v>
      </c>
      <c r="F139" s="132">
        <f>F137+F138</f>
        <v>0</v>
      </c>
      <c r="G139" s="132">
        <f t="shared" ref="G139:Y139" si="44">G137+G138</f>
        <v>0</v>
      </c>
      <c r="H139" s="132">
        <f t="shared" si="44"/>
        <v>0</v>
      </c>
      <c r="I139" s="132">
        <f t="shared" si="44"/>
        <v>0</v>
      </c>
      <c r="J139" s="132">
        <f t="shared" si="44"/>
        <v>0</v>
      </c>
      <c r="K139" s="132">
        <f t="shared" si="44"/>
        <v>0</v>
      </c>
      <c r="L139" s="132">
        <f t="shared" si="44"/>
        <v>0</v>
      </c>
      <c r="M139" s="132">
        <f t="shared" si="44"/>
        <v>0</v>
      </c>
      <c r="N139" s="132">
        <f t="shared" si="44"/>
        <v>0</v>
      </c>
      <c r="O139" s="132">
        <f t="shared" si="44"/>
        <v>0</v>
      </c>
      <c r="P139" s="132">
        <f t="shared" si="44"/>
        <v>0</v>
      </c>
      <c r="Q139" s="132">
        <f t="shared" si="44"/>
        <v>0</v>
      </c>
      <c r="R139" s="132">
        <f t="shared" si="44"/>
        <v>0</v>
      </c>
      <c r="S139" s="132">
        <f t="shared" si="44"/>
        <v>0</v>
      </c>
      <c r="T139" s="132">
        <f t="shared" si="44"/>
        <v>0</v>
      </c>
      <c r="U139" s="132">
        <f t="shared" si="44"/>
        <v>0</v>
      </c>
      <c r="V139" s="132">
        <f t="shared" si="44"/>
        <v>0</v>
      </c>
      <c r="W139" s="132">
        <f t="shared" si="44"/>
        <v>0</v>
      </c>
      <c r="X139" s="132">
        <f t="shared" si="44"/>
        <v>0</v>
      </c>
      <c r="Y139" s="132">
        <f t="shared" si="44"/>
        <v>0</v>
      </c>
      <c r="AA139" s="355">
        <f t="shared" si="28"/>
        <v>0</v>
      </c>
      <c r="AB139" s="356">
        <f t="shared" si="41"/>
        <v>0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0</v>
      </c>
      <c r="G140" s="132">
        <f t="shared" ref="G140:Y140" si="45">G139*$C$140</f>
        <v>0</v>
      </c>
      <c r="H140" s="132">
        <f t="shared" si="45"/>
        <v>0</v>
      </c>
      <c r="I140" s="132">
        <f t="shared" si="45"/>
        <v>0</v>
      </c>
      <c r="J140" s="132">
        <f t="shared" si="45"/>
        <v>0</v>
      </c>
      <c r="K140" s="132">
        <f t="shared" si="45"/>
        <v>0</v>
      </c>
      <c r="L140" s="132">
        <f t="shared" si="45"/>
        <v>0</v>
      </c>
      <c r="M140" s="132">
        <f t="shared" si="45"/>
        <v>0</v>
      </c>
      <c r="N140" s="132">
        <f t="shared" si="45"/>
        <v>0</v>
      </c>
      <c r="O140" s="132">
        <f t="shared" si="45"/>
        <v>0</v>
      </c>
      <c r="P140" s="132">
        <f t="shared" si="45"/>
        <v>0</v>
      </c>
      <c r="Q140" s="132">
        <f t="shared" si="45"/>
        <v>0</v>
      </c>
      <c r="R140" s="132">
        <f t="shared" si="45"/>
        <v>0</v>
      </c>
      <c r="S140" s="132">
        <f t="shared" si="45"/>
        <v>0</v>
      </c>
      <c r="T140" s="132">
        <f t="shared" si="45"/>
        <v>0</v>
      </c>
      <c r="U140" s="132">
        <f t="shared" si="45"/>
        <v>0</v>
      </c>
      <c r="V140" s="132">
        <f t="shared" si="45"/>
        <v>0</v>
      </c>
      <c r="W140" s="132">
        <f t="shared" si="45"/>
        <v>0</v>
      </c>
      <c r="X140" s="132">
        <f t="shared" si="45"/>
        <v>0</v>
      </c>
      <c r="Y140" s="132">
        <f t="shared" si="45"/>
        <v>0</v>
      </c>
      <c r="AA140" s="355">
        <f t="shared" si="28"/>
        <v>0</v>
      </c>
      <c r="AB140" s="356">
        <f t="shared" si="41"/>
        <v>0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0</v>
      </c>
      <c r="G141" s="147">
        <f t="shared" ref="G141:Y141" si="46">(G139-G140)*$C$141</f>
        <v>0</v>
      </c>
      <c r="H141" s="147">
        <f t="shared" si="46"/>
        <v>0</v>
      </c>
      <c r="I141" s="147">
        <f t="shared" si="46"/>
        <v>0</v>
      </c>
      <c r="J141" s="147">
        <f t="shared" si="46"/>
        <v>0</v>
      </c>
      <c r="K141" s="147">
        <f t="shared" si="46"/>
        <v>0</v>
      </c>
      <c r="L141" s="147">
        <f t="shared" si="46"/>
        <v>0</v>
      </c>
      <c r="M141" s="147">
        <f t="shared" si="46"/>
        <v>0</v>
      </c>
      <c r="N141" s="147">
        <f t="shared" si="46"/>
        <v>0</v>
      </c>
      <c r="O141" s="147">
        <f t="shared" si="46"/>
        <v>0</v>
      </c>
      <c r="P141" s="147">
        <f t="shared" si="46"/>
        <v>0</v>
      </c>
      <c r="Q141" s="147">
        <f t="shared" si="46"/>
        <v>0</v>
      </c>
      <c r="R141" s="147">
        <f t="shared" si="46"/>
        <v>0</v>
      </c>
      <c r="S141" s="147">
        <f t="shared" si="46"/>
        <v>0</v>
      </c>
      <c r="T141" s="147">
        <f t="shared" si="46"/>
        <v>0</v>
      </c>
      <c r="U141" s="147">
        <f t="shared" si="46"/>
        <v>0</v>
      </c>
      <c r="V141" s="147">
        <f t="shared" si="46"/>
        <v>0</v>
      </c>
      <c r="W141" s="147">
        <f t="shared" si="46"/>
        <v>0</v>
      </c>
      <c r="X141" s="147">
        <f t="shared" si="46"/>
        <v>0</v>
      </c>
      <c r="Y141" s="147">
        <f t="shared" si="46"/>
        <v>0</v>
      </c>
      <c r="AA141" s="355">
        <f t="shared" si="28"/>
        <v>0</v>
      </c>
      <c r="AB141" s="356">
        <f t="shared" si="41"/>
        <v>0</v>
      </c>
    </row>
    <row r="142" spans="1:28" s="128" customFormat="1">
      <c r="A142" s="128" t="s">
        <v>71</v>
      </c>
      <c r="F142" s="132">
        <f>F139-F140-F141</f>
        <v>0</v>
      </c>
      <c r="G142" s="132">
        <f t="shared" ref="G142:Y142" si="47">G139-G140-G141</f>
        <v>0</v>
      </c>
      <c r="H142" s="132">
        <f t="shared" si="47"/>
        <v>0</v>
      </c>
      <c r="I142" s="132">
        <f t="shared" si="47"/>
        <v>0</v>
      </c>
      <c r="J142" s="132">
        <f t="shared" si="47"/>
        <v>0</v>
      </c>
      <c r="K142" s="132">
        <f t="shared" si="47"/>
        <v>0</v>
      </c>
      <c r="L142" s="132">
        <f t="shared" si="47"/>
        <v>0</v>
      </c>
      <c r="M142" s="132">
        <f t="shared" si="47"/>
        <v>0</v>
      </c>
      <c r="N142" s="132">
        <f t="shared" si="47"/>
        <v>0</v>
      </c>
      <c r="O142" s="132">
        <f t="shared" si="47"/>
        <v>0</v>
      </c>
      <c r="P142" s="132">
        <f t="shared" si="47"/>
        <v>0</v>
      </c>
      <c r="Q142" s="132">
        <f t="shared" si="47"/>
        <v>0</v>
      </c>
      <c r="R142" s="132">
        <f t="shared" si="47"/>
        <v>0</v>
      </c>
      <c r="S142" s="132">
        <f t="shared" si="47"/>
        <v>0</v>
      </c>
      <c r="T142" s="132">
        <f t="shared" si="47"/>
        <v>0</v>
      </c>
      <c r="U142" s="132">
        <f t="shared" si="47"/>
        <v>0</v>
      </c>
      <c r="V142" s="132">
        <f t="shared" si="47"/>
        <v>0</v>
      </c>
      <c r="W142" s="132">
        <f t="shared" si="47"/>
        <v>0</v>
      </c>
      <c r="X142" s="132">
        <f t="shared" si="47"/>
        <v>0</v>
      </c>
      <c r="Y142" s="132">
        <f t="shared" si="47"/>
        <v>0</v>
      </c>
      <c r="AA142" s="355">
        <f t="shared" si="28"/>
        <v>0</v>
      </c>
      <c r="AB142" s="356">
        <f t="shared" si="41"/>
        <v>0</v>
      </c>
    </row>
    <row r="143" spans="1:28" s="128" customFormat="1">
      <c r="AA143" s="355">
        <f t="shared" si="28"/>
        <v>0</v>
      </c>
      <c r="AB143" s="356">
        <f t="shared" si="41"/>
        <v>0</v>
      </c>
    </row>
    <row r="144" spans="1:28" s="128" customFormat="1">
      <c r="A144" s="146" t="str">
        <f>A76</f>
        <v>Net Income to FPLE</v>
      </c>
      <c r="F144" s="149">
        <f>F76</f>
        <v>277.55380727481224</v>
      </c>
      <c r="G144" s="149">
        <f t="shared" ref="G144:Y144" si="48">G76</f>
        <v>188.20750745021823</v>
      </c>
      <c r="H144" s="149">
        <f t="shared" si="48"/>
        <v>191.42607466293606</v>
      </c>
      <c r="I144" s="149">
        <f t="shared" si="48"/>
        <v>192.89681138793148</v>
      </c>
      <c r="J144" s="149">
        <f t="shared" si="48"/>
        <v>196.86311945477252</v>
      </c>
      <c r="K144" s="149">
        <f t="shared" si="48"/>
        <v>199.97321345018412</v>
      </c>
      <c r="L144" s="149">
        <f t="shared" si="48"/>
        <v>198.14966470719941</v>
      </c>
      <c r="M144" s="149">
        <f t="shared" si="48"/>
        <v>198.49415969157741</v>
      </c>
      <c r="N144" s="149">
        <f t="shared" si="48"/>
        <v>195.85667061796977</v>
      </c>
      <c r="O144" s="149">
        <f t="shared" si="48"/>
        <v>193.13359112000131</v>
      </c>
      <c r="P144" s="149">
        <f t="shared" si="48"/>
        <v>192.67557879613241</v>
      </c>
      <c r="Q144" s="149">
        <f t="shared" si="48"/>
        <v>195.75770711199254</v>
      </c>
      <c r="R144" s="149">
        <f t="shared" si="48"/>
        <v>192.85228028289754</v>
      </c>
      <c r="S144" s="149">
        <f t="shared" si="48"/>
        <v>189.8034485780949</v>
      </c>
      <c r="T144" s="149">
        <f t="shared" si="48"/>
        <v>197.67038456753397</v>
      </c>
      <c r="U144" s="149">
        <f t="shared" si="48"/>
        <v>-16.058357109087304</v>
      </c>
      <c r="V144" s="149">
        <f t="shared" si="48"/>
        <v>-21.710049971737529</v>
      </c>
      <c r="W144" s="149">
        <f t="shared" si="48"/>
        <v>-27.617971612547542</v>
      </c>
      <c r="X144" s="149">
        <f t="shared" si="48"/>
        <v>0</v>
      </c>
      <c r="Y144" s="149">
        <f t="shared" si="48"/>
        <v>0</v>
      </c>
      <c r="AA144" s="355">
        <f t="shared" si="28"/>
        <v>2935.9276404608813</v>
      </c>
      <c r="AB144" s="356">
        <f t="shared" si="41"/>
        <v>2935.9276404608813</v>
      </c>
    </row>
    <row r="145" spans="1:28" s="128" customFormat="1">
      <c r="A145" s="103" t="s">
        <v>79</v>
      </c>
      <c r="F145" s="142">
        <f>F142+F144</f>
        <v>277.55380727481224</v>
      </c>
      <c r="G145" s="142">
        <f t="shared" ref="G145:Y145" si="49">G142+G144</f>
        <v>188.20750745021823</v>
      </c>
      <c r="H145" s="142">
        <f t="shared" si="49"/>
        <v>191.42607466293606</v>
      </c>
      <c r="I145" s="142">
        <f t="shared" si="49"/>
        <v>192.89681138793148</v>
      </c>
      <c r="J145" s="142">
        <f t="shared" si="49"/>
        <v>196.86311945477252</v>
      </c>
      <c r="K145" s="142">
        <f t="shared" si="49"/>
        <v>199.97321345018412</v>
      </c>
      <c r="L145" s="142">
        <f t="shared" si="49"/>
        <v>198.14966470719941</v>
      </c>
      <c r="M145" s="142">
        <f t="shared" si="49"/>
        <v>198.49415969157741</v>
      </c>
      <c r="N145" s="142">
        <f t="shared" si="49"/>
        <v>195.85667061796977</v>
      </c>
      <c r="O145" s="142">
        <f t="shared" si="49"/>
        <v>193.13359112000131</v>
      </c>
      <c r="P145" s="142">
        <f t="shared" si="49"/>
        <v>192.67557879613241</v>
      </c>
      <c r="Q145" s="142">
        <f t="shared" si="49"/>
        <v>195.75770711199254</v>
      </c>
      <c r="R145" s="142">
        <f t="shared" si="49"/>
        <v>192.85228028289754</v>
      </c>
      <c r="S145" s="142">
        <f t="shared" si="49"/>
        <v>189.8034485780949</v>
      </c>
      <c r="T145" s="142">
        <f t="shared" si="49"/>
        <v>197.67038456753397</v>
      </c>
      <c r="U145" s="142">
        <f t="shared" si="49"/>
        <v>-16.058357109087304</v>
      </c>
      <c r="V145" s="142">
        <f t="shared" si="49"/>
        <v>-21.710049971737529</v>
      </c>
      <c r="W145" s="142">
        <f t="shared" si="49"/>
        <v>-27.617971612547542</v>
      </c>
      <c r="X145" s="142">
        <f t="shared" si="49"/>
        <v>0</v>
      </c>
      <c r="Y145" s="142">
        <f t="shared" si="49"/>
        <v>0</v>
      </c>
      <c r="AA145" s="355">
        <f t="shared" si="28"/>
        <v>2935.9276404608813</v>
      </c>
      <c r="AB145" s="356">
        <f t="shared" si="41"/>
        <v>2935.9276404608813</v>
      </c>
    </row>
    <row r="146" spans="1:28" s="128" customFormat="1">
      <c r="AA146" s="355">
        <f t="shared" si="28"/>
        <v>0</v>
      </c>
      <c r="AB146" s="356">
        <f t="shared" si="41"/>
        <v>0</v>
      </c>
    </row>
    <row r="147" spans="1:28" s="128" customFormat="1">
      <c r="AA147" s="355">
        <f t="shared" si="28"/>
        <v>0</v>
      </c>
      <c r="AB147" s="356">
        <f t="shared" si="41"/>
        <v>0</v>
      </c>
    </row>
    <row r="148" spans="1:28" s="128" customFormat="1">
      <c r="AA148" s="355">
        <f t="shared" si="28"/>
        <v>0</v>
      </c>
      <c r="AB148" s="356">
        <f t="shared" si="41"/>
        <v>0</v>
      </c>
    </row>
    <row r="149" spans="1:28" s="128" customFormat="1">
      <c r="A149" s="105" t="s">
        <v>110</v>
      </c>
      <c r="AA149" s="355">
        <f t="shared" si="28"/>
        <v>0</v>
      </c>
      <c r="AB149" s="356">
        <f t="shared" si="41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0</v>
      </c>
      <c r="G150" s="129">
        <f t="shared" ref="G150:Y150" si="50">G142</f>
        <v>0</v>
      </c>
      <c r="H150" s="129">
        <f t="shared" si="50"/>
        <v>0</v>
      </c>
      <c r="I150" s="129">
        <f t="shared" si="50"/>
        <v>0</v>
      </c>
      <c r="J150" s="129">
        <f t="shared" si="50"/>
        <v>0</v>
      </c>
      <c r="K150" s="129">
        <f t="shared" si="50"/>
        <v>0</v>
      </c>
      <c r="L150" s="129">
        <f t="shared" si="50"/>
        <v>0</v>
      </c>
      <c r="M150" s="129">
        <f t="shared" si="50"/>
        <v>0</v>
      </c>
      <c r="N150" s="129">
        <f t="shared" si="50"/>
        <v>0</v>
      </c>
      <c r="O150" s="129">
        <f t="shared" si="50"/>
        <v>0</v>
      </c>
      <c r="P150" s="129">
        <f t="shared" si="50"/>
        <v>0</v>
      </c>
      <c r="Q150" s="129">
        <f t="shared" si="50"/>
        <v>0</v>
      </c>
      <c r="R150" s="129">
        <f t="shared" si="50"/>
        <v>0</v>
      </c>
      <c r="S150" s="129">
        <f t="shared" si="50"/>
        <v>0</v>
      </c>
      <c r="T150" s="129">
        <f t="shared" si="50"/>
        <v>0</v>
      </c>
      <c r="U150" s="129">
        <f t="shared" si="50"/>
        <v>0</v>
      </c>
      <c r="V150" s="129">
        <f t="shared" si="50"/>
        <v>0</v>
      </c>
      <c r="W150" s="129">
        <f t="shared" si="50"/>
        <v>0</v>
      </c>
      <c r="X150" s="129">
        <f t="shared" si="50"/>
        <v>0</v>
      </c>
      <c r="Y150" s="129">
        <f t="shared" si="50"/>
        <v>0</v>
      </c>
      <c r="AA150" s="355">
        <f t="shared" si="28"/>
        <v>0</v>
      </c>
      <c r="AB150" s="356">
        <f t="shared" si="41"/>
        <v>0</v>
      </c>
    </row>
    <row r="151" spans="1:28" s="128" customFormat="1">
      <c r="A151" s="128" t="s">
        <v>111</v>
      </c>
      <c r="F151" s="332">
        <v>0</v>
      </c>
      <c r="G151" s="332">
        <v>0</v>
      </c>
      <c r="H151" s="332">
        <v>0</v>
      </c>
      <c r="I151" s="332">
        <v>0</v>
      </c>
      <c r="J151" s="332">
        <v>0</v>
      </c>
      <c r="K151" s="332">
        <v>0</v>
      </c>
      <c r="L151" s="332">
        <v>0</v>
      </c>
      <c r="M151" s="332">
        <v>0</v>
      </c>
      <c r="N151" s="332">
        <v>0</v>
      </c>
      <c r="O151" s="332">
        <v>0</v>
      </c>
      <c r="P151" s="332">
        <v>0</v>
      </c>
      <c r="Q151" s="332">
        <v>0</v>
      </c>
      <c r="R151" s="332">
        <v>0</v>
      </c>
      <c r="S151" s="332">
        <v>0</v>
      </c>
      <c r="T151" s="332">
        <v>0</v>
      </c>
      <c r="U151" s="332">
        <v>0</v>
      </c>
      <c r="V151" s="332">
        <v>0</v>
      </c>
      <c r="W151" s="332">
        <v>0</v>
      </c>
      <c r="X151" s="332">
        <v>0</v>
      </c>
      <c r="Y151" s="332">
        <v>0</v>
      </c>
      <c r="AA151" s="355">
        <f t="shared" si="28"/>
        <v>0</v>
      </c>
      <c r="AB151" s="356">
        <f t="shared" si="41"/>
        <v>0</v>
      </c>
    </row>
    <row r="152" spans="1:28" s="128" customFormat="1">
      <c r="F152" s="129">
        <f>F150+F151</f>
        <v>0</v>
      </c>
      <c r="G152" s="129">
        <f t="shared" ref="G152:Y152" si="51">G150+G151</f>
        <v>0</v>
      </c>
      <c r="H152" s="129">
        <f t="shared" si="51"/>
        <v>0</v>
      </c>
      <c r="I152" s="129">
        <f t="shared" si="51"/>
        <v>0</v>
      </c>
      <c r="J152" s="129">
        <f t="shared" si="51"/>
        <v>0</v>
      </c>
      <c r="K152" s="129">
        <f t="shared" si="51"/>
        <v>0</v>
      </c>
      <c r="L152" s="129">
        <f t="shared" si="51"/>
        <v>0</v>
      </c>
      <c r="M152" s="129">
        <f t="shared" si="51"/>
        <v>0</v>
      </c>
      <c r="N152" s="129">
        <f t="shared" si="51"/>
        <v>0</v>
      </c>
      <c r="O152" s="129">
        <f t="shared" si="51"/>
        <v>0</v>
      </c>
      <c r="P152" s="129">
        <f t="shared" si="51"/>
        <v>0</v>
      </c>
      <c r="Q152" s="129">
        <f t="shared" si="51"/>
        <v>0</v>
      </c>
      <c r="R152" s="129">
        <f t="shared" si="51"/>
        <v>0</v>
      </c>
      <c r="S152" s="129">
        <f t="shared" si="51"/>
        <v>0</v>
      </c>
      <c r="T152" s="129">
        <f t="shared" si="51"/>
        <v>0</v>
      </c>
      <c r="U152" s="129">
        <f t="shared" si="51"/>
        <v>0</v>
      </c>
      <c r="V152" s="129">
        <f t="shared" si="51"/>
        <v>0</v>
      </c>
      <c r="W152" s="129">
        <f t="shared" si="51"/>
        <v>0</v>
      </c>
      <c r="X152" s="129">
        <f t="shared" si="51"/>
        <v>0</v>
      </c>
      <c r="Y152" s="129">
        <f t="shared" si="51"/>
        <v>0</v>
      </c>
      <c r="AA152" s="355">
        <f t="shared" si="28"/>
        <v>0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0</v>
      </c>
    </row>
    <row r="156" spans="1:28" s="128" customFormat="1" ht="13.5" thickBot="1">
      <c r="A156" s="128" t="s">
        <v>48</v>
      </c>
      <c r="C156" s="116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3017.2785667747066</v>
      </c>
    </row>
    <row r="161" spans="1:25" s="128" customFormat="1">
      <c r="A161" s="108" t="s">
        <v>74</v>
      </c>
      <c r="B161" s="109"/>
      <c r="C161" s="109"/>
      <c r="D161" s="333">
        <v>0</v>
      </c>
      <c r="F161" s="150"/>
    </row>
    <row r="162" spans="1:25" s="128" customFormat="1">
      <c r="A162" s="108" t="s">
        <v>75</v>
      </c>
      <c r="B162" s="109"/>
      <c r="C162" s="109"/>
      <c r="D162" s="111">
        <f>C155-D161</f>
        <v>0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3017.2785667747066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/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/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/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/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17"/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17"/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/>
      <c r="B175" s="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17"/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/>
      <c r="B177" s="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/>
      <c r="B178" s="17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/>
      <c r="B179" s="1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17"/>
      <c r="B180" s="1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17"/>
      <c r="B181" s="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17"/>
      <c r="B182" s="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/>
      <c r="B183" s="17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3.5" outlineLevel="1">
      <c r="A184" s="97"/>
      <c r="B184" s="6"/>
      <c r="C184" s="6"/>
      <c r="D184" s="31"/>
      <c r="E184" s="6"/>
      <c r="F184" s="6"/>
      <c r="G184" s="31"/>
      <c r="H184" s="6"/>
      <c r="I184" s="6"/>
      <c r="J184" s="6"/>
      <c r="K184" s="6"/>
      <c r="L184" s="6"/>
      <c r="M184" s="6"/>
      <c r="N184" s="6"/>
      <c r="O184" s="6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17"/>
      <c r="B185" s="6"/>
      <c r="C185" s="33"/>
      <c r="D185" s="31"/>
      <c r="E185" s="31"/>
      <c r="F185" s="31"/>
      <c r="G185" s="34"/>
      <c r="H185" s="35"/>
      <c r="I185" s="35"/>
      <c r="J185" s="35"/>
      <c r="K185" s="35"/>
      <c r="L185" s="35"/>
      <c r="M185" s="35"/>
      <c r="N185" s="35"/>
      <c r="O185" s="35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17"/>
      <c r="B186" s="36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36"/>
      <c r="B187" s="36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36"/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36"/>
      <c r="B189" s="6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6"/>
      <c r="B190" s="1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17"/>
      <c r="B191" s="1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1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6"/>
      <c r="B194" s="1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17"/>
      <c r="B195" s="6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38"/>
      <c r="B196" s="6"/>
      <c r="C196" s="6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40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41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41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41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41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8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40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" customHeight="1" outlineLevel="1">
      <c r="A219" s="40"/>
      <c r="B219" s="6"/>
      <c r="C219" s="6"/>
      <c r="D219" s="6"/>
      <c r="E219" s="27"/>
      <c r="F219" s="27"/>
      <c r="G219" s="2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4.25" customHeight="1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outlineLevel="1">
      <c r="A223" s="40"/>
      <c r="B223" s="6"/>
      <c r="C223" s="6"/>
      <c r="D223" s="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outlineLevel="1">
      <c r="A224" s="42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27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6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17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6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6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3"/>
      <c r="B236" s="3"/>
      <c r="C236" s="3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outlineLevel="1">
      <c r="A237" s="40"/>
      <c r="B237" s="6"/>
      <c r="C237" s="6"/>
      <c r="D237" s="6"/>
      <c r="E237" s="27"/>
      <c r="F237" s="27"/>
      <c r="G237" s="2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outlineLevel="1">
      <c r="A238" s="39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8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27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40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39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20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27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40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27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40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39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40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41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8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8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40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41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41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8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40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6"/>
      <c r="B279" s="6"/>
      <c r="C279" s="6"/>
      <c r="D279" s="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outlineLevel="1">
      <c r="A280" s="6"/>
      <c r="B280" s="6"/>
      <c r="C280" s="6"/>
      <c r="D280" s="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6"/>
      <c r="B281" s="6"/>
      <c r="C281" s="6"/>
      <c r="D281" s="6"/>
      <c r="E281" s="6"/>
      <c r="F281" s="6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3"/>
      <c r="B282" s="3"/>
      <c r="C282" s="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outlineLevel="1">
      <c r="A283" s="17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17"/>
      <c r="B284" s="43"/>
      <c r="C284" s="4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17"/>
      <c r="B287" s="17"/>
      <c r="C287" s="17"/>
      <c r="D287" s="1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44"/>
      <c r="B288" s="17"/>
      <c r="C288" s="17"/>
      <c r="D288" s="17"/>
      <c r="E288" s="45"/>
      <c r="F288" s="45"/>
      <c r="G288" s="45"/>
      <c r="H288" s="45"/>
      <c r="I288" s="45"/>
      <c r="J288" s="45"/>
      <c r="K288" s="45"/>
      <c r="L288" s="45"/>
      <c r="M288" s="6"/>
      <c r="N288" s="4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17"/>
      <c r="C289" s="17"/>
      <c r="D289" s="17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3"/>
      <c r="C292" s="3"/>
      <c r="D292" s="3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6"/>
      <c r="B293" s="6"/>
      <c r="C293" s="6"/>
      <c r="D293" s="6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17"/>
      <c r="B294" s="17"/>
      <c r="C294" s="17"/>
      <c r="D294" s="17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44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17"/>
      <c r="B306" s="17"/>
      <c r="C306" s="17"/>
      <c r="D306" s="17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17"/>
      <c r="B309" s="17"/>
      <c r="C309" s="17"/>
      <c r="D309" s="17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17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6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46"/>
      <c r="C312" s="46"/>
      <c r="D312" s="46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17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44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17"/>
      <c r="B315" s="17"/>
      <c r="C315" s="17"/>
      <c r="D315" s="17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6"/>
      <c r="B316" s="6"/>
      <c r="C316" s="6"/>
      <c r="D316" s="6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17"/>
      <c r="B317" s="17"/>
      <c r="C317" s="17"/>
      <c r="D317" s="17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6"/>
      <c r="C323" s="6"/>
      <c r="D323" s="6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17"/>
      <c r="B324" s="17"/>
      <c r="C324" s="17"/>
      <c r="D324" s="17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17"/>
      <c r="B325" s="17"/>
      <c r="C325" s="17"/>
      <c r="D325" s="17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6"/>
      <c r="B326" s="6"/>
      <c r="C326" s="6"/>
      <c r="D326" s="6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47"/>
      <c r="C327" s="47"/>
      <c r="D327" s="6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43"/>
      <c r="C328" s="43"/>
      <c r="D328" s="43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48"/>
      <c r="C330" s="48"/>
      <c r="D330" s="6"/>
      <c r="E330" s="6"/>
      <c r="F330" s="6"/>
      <c r="G330" s="20"/>
      <c r="H330" s="20"/>
      <c r="I330" s="20"/>
      <c r="J330" s="20"/>
      <c r="K330" s="20"/>
      <c r="L330" s="2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6"/>
      <c r="C331" s="6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s="50" customFormat="1" outlineLevel="1">
      <c r="A339" s="49"/>
    </row>
    <row r="340" spans="1:25" outlineLevel="1">
      <c r="A340" s="1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outlineLevel="1">
      <c r="A341" s="17"/>
      <c r="B341" s="6"/>
      <c r="C341" s="6"/>
      <c r="D341" s="6"/>
      <c r="E341" s="6"/>
      <c r="F341" s="6"/>
      <c r="G341" s="51"/>
      <c r="H341" s="51"/>
      <c r="I341" s="51"/>
      <c r="J341" s="51"/>
      <c r="K341" s="51"/>
      <c r="L341" s="5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7"/>
      <c r="B342" s="6"/>
      <c r="C342" s="6"/>
      <c r="D342" s="6"/>
      <c r="E342" s="6"/>
      <c r="F342" s="6"/>
      <c r="G342" s="51"/>
      <c r="H342" s="51"/>
      <c r="I342" s="51"/>
      <c r="J342" s="51"/>
      <c r="K342" s="51"/>
      <c r="L342" s="5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6"/>
      <c r="B343" s="52"/>
      <c r="C343" s="52"/>
      <c r="D343" s="52"/>
      <c r="E343" s="6"/>
      <c r="F343" s="6"/>
      <c r="G343" s="53"/>
      <c r="H343" s="53"/>
      <c r="I343" s="53"/>
      <c r="J343" s="53"/>
      <c r="K343" s="53"/>
      <c r="L343" s="5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7"/>
      <c r="B344" s="54"/>
      <c r="C344" s="54"/>
      <c r="D344" s="5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49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55"/>
      <c r="B346" s="6"/>
      <c r="C346" s="6"/>
      <c r="D346" s="6"/>
      <c r="E346" s="6"/>
      <c r="F346" s="6"/>
      <c r="G346" s="20"/>
      <c r="H346" s="20"/>
      <c r="I346" s="20"/>
      <c r="J346" s="20"/>
      <c r="K346" s="20"/>
      <c r="L346" s="2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55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55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55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55"/>
      <c r="B350" s="6"/>
      <c r="C350" s="6"/>
      <c r="D350" s="6"/>
      <c r="E350" s="6"/>
      <c r="F350" s="6"/>
      <c r="G350" s="51"/>
      <c r="H350" s="51"/>
      <c r="I350" s="51"/>
      <c r="J350" s="51"/>
      <c r="K350" s="51"/>
      <c r="L350" s="5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7"/>
      <c r="B351" s="6"/>
      <c r="C351" s="6"/>
      <c r="D351" s="6"/>
      <c r="E351" s="6"/>
      <c r="F351" s="6"/>
      <c r="G351" s="56"/>
      <c r="H351" s="56"/>
      <c r="I351" s="56"/>
      <c r="J351" s="56"/>
      <c r="K351" s="56"/>
      <c r="L351" s="5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55"/>
      <c r="B352" s="14"/>
      <c r="C352" s="14"/>
      <c r="D352" s="14"/>
      <c r="E352" s="6"/>
      <c r="F352" s="6"/>
      <c r="G352" s="57"/>
      <c r="H352" s="57"/>
      <c r="I352" s="57"/>
      <c r="J352" s="57"/>
      <c r="K352" s="57"/>
      <c r="L352" s="57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55"/>
      <c r="B353" s="6"/>
      <c r="C353" s="6"/>
      <c r="D353" s="6"/>
      <c r="E353" s="6"/>
      <c r="F353" s="6"/>
      <c r="G353" s="57"/>
      <c r="H353" s="57"/>
      <c r="I353" s="57"/>
      <c r="J353" s="57"/>
      <c r="K353" s="57"/>
      <c r="L353" s="57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55"/>
      <c r="B354" s="6"/>
      <c r="C354" s="6"/>
      <c r="D354" s="6"/>
      <c r="E354" s="6"/>
      <c r="F354" s="6"/>
      <c r="G354" s="57"/>
      <c r="H354" s="57"/>
      <c r="I354" s="57"/>
      <c r="J354" s="57"/>
      <c r="K354" s="57"/>
      <c r="L354" s="57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55"/>
      <c r="B355" s="6"/>
      <c r="C355" s="6"/>
      <c r="D355" s="6"/>
      <c r="E355" s="6"/>
      <c r="F355" s="6"/>
      <c r="G355" s="57"/>
      <c r="H355" s="57"/>
      <c r="I355" s="57"/>
      <c r="J355" s="57"/>
      <c r="K355" s="57"/>
      <c r="L355" s="57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55"/>
      <c r="B356" s="6"/>
      <c r="C356" s="6"/>
      <c r="D356" s="6"/>
      <c r="E356" s="6"/>
      <c r="F356" s="6"/>
      <c r="G356" s="56"/>
      <c r="H356" s="56"/>
      <c r="I356" s="56"/>
      <c r="J356" s="56"/>
      <c r="K356" s="56"/>
      <c r="L356" s="5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6"/>
      <c r="B358" s="6"/>
      <c r="C358" s="6"/>
      <c r="D358" s="6"/>
      <c r="E358" s="6"/>
      <c r="F358" s="6"/>
      <c r="G358" s="20"/>
      <c r="H358" s="20"/>
      <c r="I358" s="20"/>
      <c r="J358" s="20"/>
      <c r="K358" s="20"/>
      <c r="L358" s="2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58"/>
      <c r="F361" s="58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51"/>
      <c r="H364" s="51"/>
      <c r="I364" s="51"/>
      <c r="J364" s="51"/>
      <c r="K364" s="51"/>
      <c r="L364" s="5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55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55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55"/>
      <c r="B367" s="6"/>
      <c r="C367" s="6"/>
      <c r="D367" s="6"/>
      <c r="E367" s="58"/>
      <c r="F367" s="58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6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17"/>
      <c r="B375" s="6"/>
      <c r="C375" s="6"/>
      <c r="D375" s="6"/>
      <c r="E375" s="59"/>
      <c r="F375" s="59"/>
      <c r="G375" s="59"/>
      <c r="H375" s="59"/>
      <c r="I375" s="59"/>
      <c r="J375" s="59"/>
      <c r="K375" s="59"/>
      <c r="L375" s="5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14"/>
      <c r="E376" s="58"/>
      <c r="F376" s="58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59"/>
      <c r="F377" s="59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6"/>
      <c r="E378" s="6"/>
      <c r="F378" s="6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45"/>
      <c r="H383" s="45"/>
      <c r="I383" s="45"/>
      <c r="J383" s="45"/>
      <c r="K383" s="45"/>
      <c r="L383" s="4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59"/>
      <c r="H384" s="59"/>
      <c r="I384" s="59"/>
      <c r="J384" s="59"/>
      <c r="K384" s="59"/>
      <c r="L384" s="5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30" outlineLevel="1">
      <c r="A385" s="6"/>
      <c r="B385" s="6"/>
      <c r="C385" s="6"/>
      <c r="D385" s="6"/>
      <c r="E385" s="6"/>
      <c r="F385" s="6"/>
      <c r="G385" s="60"/>
      <c r="H385" s="60"/>
      <c r="I385" s="60"/>
      <c r="J385" s="60"/>
      <c r="K385" s="60"/>
      <c r="L385" s="60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30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30" outlineLevel="1">
      <c r="A387" s="6"/>
      <c r="B387" s="6"/>
      <c r="C387" s="6"/>
      <c r="D387" s="6"/>
      <c r="E387" s="6"/>
      <c r="F387" s="6"/>
      <c r="G387" s="60"/>
      <c r="H387" s="60"/>
      <c r="I387" s="60"/>
      <c r="J387" s="60"/>
      <c r="K387" s="60"/>
      <c r="L387" s="60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30" outlineLevel="1">
      <c r="A388" s="6"/>
      <c r="B388" s="6"/>
      <c r="C388" s="6"/>
      <c r="D388" s="6"/>
      <c r="E388" s="6"/>
      <c r="F388" s="6"/>
      <c r="G388" s="61"/>
      <c r="H388" s="61"/>
      <c r="I388" s="61"/>
      <c r="J388" s="61"/>
      <c r="K388" s="61"/>
      <c r="L388" s="6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30" outlineLevel="1">
      <c r="A389" s="6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30" hidden="1" outlineLevel="2">
      <c r="A390" s="17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30" hidden="1" outlineLevel="2">
      <c r="A391" s="17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30" hidden="1" outlineLevel="2">
      <c r="A392" s="6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30" hidden="1" outlineLevel="2">
      <c r="A393" s="17"/>
      <c r="B393" s="9"/>
      <c r="C393" s="9"/>
      <c r="D393" s="9"/>
      <c r="E393" s="10"/>
      <c r="F393" s="10"/>
      <c r="G393" s="10"/>
      <c r="H393" s="9"/>
      <c r="I393" s="9"/>
      <c r="J393" s="10"/>
      <c r="K393" s="10"/>
      <c r="L393" s="9"/>
      <c r="M393" s="10"/>
      <c r="N393" s="10"/>
      <c r="O393" s="10"/>
      <c r="P393" s="9"/>
      <c r="Q393" s="10"/>
      <c r="R393" s="10"/>
      <c r="S393" s="6"/>
      <c r="T393" s="6"/>
      <c r="U393" s="6"/>
      <c r="V393" s="6"/>
      <c r="W393" s="6"/>
      <c r="X393" s="10"/>
      <c r="Y393" s="6"/>
    </row>
    <row r="394" spans="1:30" hidden="1" outlineLevel="2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30" hidden="1" outlineLevel="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30" hidden="1" outlineLevel="2">
      <c r="A396" s="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6"/>
      <c r="T396" s="6"/>
      <c r="U396" s="6"/>
      <c r="V396" s="6"/>
      <c r="W396" s="6"/>
      <c r="X396" s="45"/>
      <c r="Y396" s="6"/>
    </row>
    <row r="397" spans="1:30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30" hidden="1" outlineLevel="2">
      <c r="A398" s="6"/>
      <c r="B398" s="59"/>
      <c r="C398" s="59"/>
      <c r="D398" s="59"/>
      <c r="E398" s="59"/>
      <c r="F398" s="59"/>
      <c r="G398" s="59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30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30" hidden="1" outlineLevel="2">
      <c r="A400" s="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45"/>
      <c r="Z400" s="45"/>
      <c r="AA400" s="45"/>
      <c r="AB400" s="45"/>
      <c r="AC400" s="45"/>
      <c r="AD400" s="45"/>
    </row>
    <row r="401" spans="1:25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6"/>
    </row>
    <row r="403" spans="1:25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idden="1" outlineLevel="2">
      <c r="A404" s="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6"/>
      <c r="T404" s="6"/>
      <c r="U404" s="6"/>
      <c r="V404" s="6"/>
      <c r="W404" s="6"/>
      <c r="X404" s="45"/>
      <c r="Y404" s="45"/>
    </row>
    <row r="405" spans="1:25" hidden="1" outlineLevel="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idden="1" outlineLevel="2">
      <c r="A406" s="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6"/>
      <c r="T406" s="6"/>
      <c r="U406" s="6"/>
      <c r="V406" s="6"/>
      <c r="W406" s="6"/>
      <c r="X406" s="45"/>
      <c r="Y406" s="45"/>
    </row>
    <row r="407" spans="1:25" hidden="1" outlineLevel="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1" collapsed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1">
      <c r="A411" s="3"/>
      <c r="B411" s="3"/>
      <c r="C411" s="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outlineLevel="1">
      <c r="A412" s="17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outlineLevel="1">
      <c r="A413" s="17"/>
      <c r="B413" s="43"/>
      <c r="C413" s="4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outlineLevel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outlineLevel="1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outlineLevel="1">
      <c r="A416" s="17"/>
      <c r="B416" s="17"/>
      <c r="C416" s="1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>
      <c r="A417" s="44"/>
      <c r="B417" s="17"/>
      <c r="C417" s="17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outlineLevel="1">
      <c r="A418" s="44"/>
      <c r="B418" s="17"/>
      <c r="C418" s="17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3"/>
      <c r="C421" s="3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6"/>
      <c r="B422" s="6"/>
      <c r="C422" s="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17"/>
      <c r="B423" s="17"/>
      <c r="C423" s="17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44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17"/>
      <c r="B435" s="17"/>
      <c r="C435" s="17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6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17"/>
      <c r="B439" s="17"/>
      <c r="C439" s="17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6"/>
      <c r="B440" s="6"/>
      <c r="C440" s="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17"/>
      <c r="B441" s="17"/>
      <c r="C441" s="17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6"/>
      <c r="C445" s="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17"/>
      <c r="B446" s="17"/>
      <c r="C446" s="17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17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44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3"/>
      <c r="B453" s="46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17"/>
      <c r="B454" s="17"/>
      <c r="C454" s="17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6"/>
      <c r="B455" s="6"/>
      <c r="C455" s="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43"/>
      <c r="C456" s="43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3"/>
      <c r="B461" s="3"/>
      <c r="C461" s="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17"/>
      <c r="B462" s="17"/>
      <c r="C462" s="1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17"/>
      <c r="B463" s="43"/>
      <c r="C463" s="4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6"/>
      <c r="T465" s="6"/>
      <c r="U465" s="6"/>
      <c r="V465" s="6"/>
      <c r="W465" s="6"/>
      <c r="X465" s="6"/>
      <c r="Y465" s="6"/>
    </row>
    <row r="466" spans="1:25" outlineLevel="1">
      <c r="A466" s="17"/>
      <c r="B466" s="17"/>
      <c r="C466" s="17"/>
      <c r="D466" s="1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outlineLevel="1">
      <c r="A467" s="44"/>
      <c r="B467" s="17"/>
      <c r="C467" s="17"/>
      <c r="D467" s="17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17"/>
      <c r="C468" s="17"/>
      <c r="D468" s="17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44"/>
      <c r="C469" s="44"/>
      <c r="D469" s="44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44"/>
      <c r="C470" s="44"/>
      <c r="D470" s="44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3"/>
      <c r="C471" s="3"/>
      <c r="D471" s="3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3"/>
      <c r="C472" s="3"/>
      <c r="D472" s="3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"/>
      <c r="T472" s="6"/>
      <c r="U472" s="6"/>
      <c r="V472" s="6"/>
      <c r="W472" s="6"/>
      <c r="X472" s="6"/>
      <c r="Y472" s="6"/>
    </row>
    <row r="473" spans="1:25" outlineLevel="1">
      <c r="A473" s="17"/>
      <c r="B473" s="17"/>
      <c r="C473" s="17"/>
      <c r="D473" s="17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17"/>
      <c r="C474" s="17"/>
      <c r="D474" s="17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44"/>
      <c r="C484" s="44"/>
      <c r="D484" s="44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44"/>
      <c r="C485" s="44"/>
      <c r="D485" s="44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"/>
      <c r="T485" s="6"/>
      <c r="U485" s="6"/>
      <c r="V485" s="6"/>
      <c r="W485" s="6"/>
      <c r="X485" s="6"/>
      <c r="Y485" s="6"/>
    </row>
    <row r="486" spans="1:25" outlineLevel="1">
      <c r="A486" s="17"/>
      <c r="B486" s="17"/>
      <c r="C486" s="17"/>
      <c r="D486" s="17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"/>
      <c r="T486" s="6"/>
      <c r="U486" s="6"/>
      <c r="V486" s="6"/>
      <c r="W486" s="6"/>
      <c r="X486" s="6"/>
      <c r="Y486" s="6"/>
    </row>
    <row r="487" spans="1:25" outlineLevel="1">
      <c r="A487" s="6"/>
      <c r="B487" s="17"/>
      <c r="C487" s="17"/>
      <c r="D487" s="17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"/>
      <c r="T487" s="6"/>
      <c r="U487" s="6"/>
      <c r="V487" s="6"/>
      <c r="W487" s="6"/>
      <c r="X487" s="6"/>
      <c r="Y487" s="6"/>
    </row>
    <row r="488" spans="1:25" outlineLevel="1">
      <c r="A488" s="44"/>
      <c r="B488" s="44"/>
      <c r="C488" s="44"/>
      <c r="D488" s="44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"/>
      <c r="T488" s="6"/>
      <c r="U488" s="6"/>
      <c r="V488" s="6"/>
      <c r="W488" s="6"/>
      <c r="X488" s="6"/>
      <c r="Y488" s="6"/>
    </row>
    <row r="489" spans="1:25" outlineLevel="1">
      <c r="A489" s="17"/>
      <c r="B489" s="17"/>
      <c r="C489" s="17"/>
      <c r="D489" s="17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"/>
      <c r="T489" s="6"/>
      <c r="U489" s="6"/>
      <c r="V489" s="6"/>
      <c r="W489" s="6"/>
      <c r="X489" s="6"/>
      <c r="Y489" s="6"/>
    </row>
    <row r="490" spans="1:25" outlineLevel="1">
      <c r="A490" s="44"/>
      <c r="B490" s="46"/>
      <c r="C490" s="46"/>
      <c r="D490" s="46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43"/>
      <c r="C494" s="43"/>
      <c r="D494" s="43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"/>
      <c r="T498" s="6"/>
      <c r="U498" s="6"/>
      <c r="V498" s="6"/>
      <c r="W498" s="6"/>
      <c r="X498" s="6"/>
      <c r="Y498" s="6"/>
    </row>
    <row r="499" spans="1:25" outlineLevel="1">
      <c r="A499" s="6"/>
      <c r="B499" s="43"/>
      <c r="C499" s="43"/>
      <c r="D499" s="43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 spans="1:25" outlineLevel="1">
      <c r="A500" s="6"/>
      <c r="B500" s="62"/>
      <c r="C500" s="62"/>
      <c r="D500" s="43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 spans="1:25" outlineLevel="1">
      <c r="A501" s="6"/>
      <c r="B501" s="43"/>
      <c r="C501" s="43"/>
      <c r="D501" s="43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 spans="1:25" outlineLevel="1">
      <c r="A502" s="6"/>
      <c r="B502" s="43"/>
      <c r="C502" s="43"/>
      <c r="D502" s="43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 spans="1:25" outlineLevel="1">
      <c r="A503" s="6"/>
      <c r="B503" s="43"/>
      <c r="C503" s="43"/>
      <c r="D503" s="43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 spans="1:25" outlineLevel="1">
      <c r="A504" s="6"/>
      <c r="B504" s="43"/>
      <c r="C504" s="43"/>
      <c r="D504" s="43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 spans="1:25" outlineLevel="1">
      <c r="A505" s="17"/>
      <c r="B505" s="43"/>
      <c r="C505" s="43"/>
      <c r="D505" s="43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 spans="1:25" outlineLevel="1">
      <c r="A506" s="6"/>
      <c r="B506" s="43"/>
      <c r="C506" s="43"/>
      <c r="D506" s="43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 spans="1:25" outlineLevel="1">
      <c r="A507" s="6"/>
      <c r="B507" s="43"/>
      <c r="C507" s="43"/>
      <c r="D507" s="43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 spans="1:25" outlineLevel="1">
      <c r="A508" s="17"/>
      <c r="B508" s="43"/>
      <c r="C508" s="43"/>
      <c r="D508" s="43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 spans="1:25" outlineLevel="1">
      <c r="A509" s="17"/>
      <c r="B509" s="43"/>
      <c r="C509" s="43"/>
      <c r="D509" s="43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 spans="1:25" outlineLevel="1">
      <c r="A510" s="6"/>
      <c r="B510" s="43"/>
      <c r="C510" s="43"/>
      <c r="D510" s="43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 spans="1:25" outlineLevel="1">
      <c r="A511" s="6"/>
      <c r="B511" s="43"/>
      <c r="C511" s="43"/>
      <c r="D511" s="43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 spans="1:25" outlineLevel="1">
      <c r="A512" s="6"/>
      <c r="B512" s="43"/>
      <c r="C512" s="43"/>
      <c r="D512" s="43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 spans="1:25" outlineLevel="1">
      <c r="A513" s="6"/>
      <c r="B513" s="43"/>
      <c r="C513" s="43"/>
      <c r="D513" s="43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 spans="1:25" outlineLevel="1">
      <c r="A514" s="6"/>
      <c r="B514" s="43"/>
      <c r="C514" s="43"/>
      <c r="D514" s="43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 spans="1:25" outlineLevel="1">
      <c r="A515" s="6"/>
      <c r="B515" s="43"/>
      <c r="C515" s="43"/>
      <c r="D515" s="43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 spans="1:25" outlineLevel="1">
      <c r="A516" s="6"/>
      <c r="B516" s="43"/>
      <c r="C516" s="43"/>
      <c r="D516" s="43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 spans="1:25" outlineLevel="1">
      <c r="A517" s="6"/>
      <c r="B517" s="43"/>
      <c r="C517" s="43"/>
      <c r="D517" s="43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"/>
      <c r="T517" s="6"/>
      <c r="U517" s="6"/>
      <c r="V517" s="6"/>
      <c r="W517" s="6"/>
      <c r="X517" s="6"/>
      <c r="Y517" s="6"/>
    </row>
    <row r="518" spans="1:25" outlineLevel="1">
      <c r="A518" s="17"/>
      <c r="B518" s="43"/>
      <c r="C518" s="43"/>
      <c r="D518" s="43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63"/>
      <c r="F522" s="63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6"/>
      <c r="T522" s="6"/>
      <c r="U522" s="6"/>
      <c r="V522" s="6"/>
      <c r="W522" s="6"/>
      <c r="X522" s="6"/>
      <c r="Y522" s="6"/>
    </row>
    <row r="523" spans="1:25" outlineLevel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outlineLevel="1">
      <c r="A529" s="6"/>
      <c r="B529" s="6"/>
      <c r="C529" s="6"/>
      <c r="D529" s="6"/>
      <c r="E529" s="6"/>
      <c r="F529" s="6"/>
      <c r="G529" s="3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outlineLevel="1">
      <c r="A530" s="17"/>
      <c r="B530" s="6"/>
      <c r="C530" s="6"/>
      <c r="D530" s="6"/>
      <c r="E530" s="6"/>
      <c r="F530" s="6"/>
      <c r="G530" s="31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6"/>
      <c r="T530" s="6"/>
      <c r="U530" s="6"/>
      <c r="V530" s="6"/>
      <c r="W530" s="6"/>
      <c r="X530" s="6"/>
      <c r="Y530" s="6"/>
    </row>
    <row r="531" spans="1:25" outlineLevel="1">
      <c r="A531" s="6"/>
      <c r="B531" s="6"/>
      <c r="C531" s="6"/>
      <c r="D531" s="6"/>
      <c r="E531" s="6"/>
      <c r="F531" s="6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55"/>
      <c r="B535" s="6"/>
      <c r="C535" s="6"/>
      <c r="D535" s="6"/>
      <c r="E535" s="6"/>
      <c r="F535" s="6"/>
      <c r="G535" s="3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6"/>
      <c r="T535" s="6"/>
      <c r="U535" s="6"/>
      <c r="V535" s="6"/>
      <c r="W535" s="6"/>
      <c r="X535" s="6"/>
      <c r="Y535" s="6"/>
    </row>
    <row r="536" spans="1:25" outlineLevel="1">
      <c r="A536" s="55"/>
      <c r="B536" s="6"/>
      <c r="C536" s="6"/>
      <c r="D536" s="6"/>
      <c r="E536" s="6"/>
      <c r="F536" s="6"/>
      <c r="G536" s="3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6"/>
      <c r="T536" s="6"/>
      <c r="U536" s="6"/>
      <c r="V536" s="6"/>
      <c r="W536" s="6"/>
      <c r="X536" s="6"/>
      <c r="Y536" s="6"/>
    </row>
    <row r="537" spans="1:25" outlineLevel="1">
      <c r="A537" s="17"/>
      <c r="B537" s="6"/>
      <c r="C537" s="6"/>
      <c r="D537" s="6"/>
      <c r="E537" s="6"/>
      <c r="F537" s="6"/>
      <c r="G537" s="3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outlineLevel="1">
      <c r="A538" s="6"/>
      <c r="B538" s="6"/>
      <c r="C538" s="6"/>
      <c r="D538" s="63"/>
      <c r="E538" s="63"/>
      <c r="F538" s="63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3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17"/>
      <c r="B540" s="6"/>
      <c r="C540" s="6"/>
      <c r="D540" s="6"/>
      <c r="E540" s="6"/>
      <c r="F540" s="6"/>
      <c r="G540" s="31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6"/>
      <c r="T540" s="6"/>
      <c r="U540" s="6"/>
      <c r="V540" s="6"/>
      <c r="W540" s="6"/>
      <c r="X540" s="6"/>
      <c r="Y540" s="6"/>
    </row>
    <row r="541" spans="1:25" outlineLevel="1">
      <c r="A541" s="6"/>
      <c r="B541" s="65"/>
      <c r="C541" s="65"/>
      <c r="D541" s="6"/>
      <c r="E541" s="6"/>
      <c r="F541" s="6"/>
      <c r="G541" s="3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6"/>
      <c r="T541" s="6"/>
      <c r="U541" s="6"/>
      <c r="V541" s="6"/>
      <c r="W541" s="6"/>
      <c r="X541" s="6"/>
      <c r="Y541" s="6"/>
    </row>
    <row r="542" spans="1:25" outlineLevel="1">
      <c r="A542" s="17"/>
      <c r="B542" s="6"/>
      <c r="C542" s="6"/>
      <c r="D542" s="6"/>
      <c r="E542" s="6"/>
      <c r="F542" s="6"/>
      <c r="G542" s="3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outlineLevel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s="67" customFormat="1" outlineLevel="1">
      <c r="A545" s="66"/>
      <c r="B545" s="66"/>
      <c r="C545" s="66"/>
      <c r="D545" s="66"/>
      <c r="E545" s="66"/>
      <c r="F545" s="66"/>
      <c r="G545" s="66"/>
    </row>
    <row r="546" spans="1:25" s="67" customFormat="1" outlineLevel="1">
      <c r="A546" s="66"/>
      <c r="B546" s="66"/>
      <c r="C546" s="66"/>
      <c r="D546" s="66"/>
      <c r="E546" s="66"/>
      <c r="F546" s="68"/>
      <c r="G546" s="69"/>
      <c r="H546" s="66"/>
      <c r="I546" s="70"/>
    </row>
    <row r="547" spans="1:25" s="67" customFormat="1" outlineLevel="1">
      <c r="A547" s="66"/>
      <c r="B547" s="69"/>
      <c r="C547" s="69"/>
      <c r="D547" s="69"/>
      <c r="E547" s="69"/>
      <c r="F547" s="71"/>
      <c r="G547" s="47"/>
      <c r="H547" s="47"/>
      <c r="I547" s="70"/>
    </row>
    <row r="548" spans="1:25" s="67" customFormat="1" outlineLevel="1">
      <c r="A548" s="66"/>
      <c r="B548" s="47"/>
      <c r="C548" s="47"/>
      <c r="D548" s="47"/>
      <c r="E548" s="47"/>
      <c r="F548" s="47"/>
      <c r="G548" s="70"/>
      <c r="H548" s="47"/>
      <c r="I548" s="71"/>
    </row>
    <row r="549" spans="1:25" s="67" customFormat="1" outlineLevel="1">
      <c r="A549" s="72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 spans="1:25" s="67" customFormat="1" outlineLevel="1">
      <c r="A550" s="40"/>
      <c r="B550" s="66"/>
      <c r="C550" s="66"/>
      <c r="D550" s="66"/>
      <c r="E550" s="66"/>
      <c r="F550" s="66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s="67" customFormat="1" outlineLevel="1">
      <c r="A551" s="39"/>
      <c r="B551" s="66"/>
      <c r="C551" s="66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74"/>
      <c r="C552" s="74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75"/>
      <c r="C553" s="75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8"/>
      <c r="B554" s="72"/>
      <c r="C554" s="72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27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40"/>
      <c r="B556" s="66"/>
      <c r="C556" s="66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76"/>
      <c r="B557" s="77"/>
      <c r="C557" s="7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42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8"/>
      <c r="C567" s="78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40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39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39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40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41"/>
      <c r="B575" s="77"/>
      <c r="C575" s="7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 spans="1:25" s="67" customFormat="1" outlineLevel="1">
      <c r="A576" s="39"/>
      <c r="B576" s="80"/>
      <c r="C576" s="80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ht="13.9" customHeight="1" outlineLevel="1">
      <c r="A577" s="38"/>
      <c r="B577" s="80"/>
      <c r="C577" s="80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outlineLevel="1">
      <c r="A578" s="39"/>
      <c r="B578" s="74"/>
      <c r="C578" s="74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8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81"/>
      <c r="C581" s="81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81"/>
      <c r="C582" s="81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81"/>
      <c r="C583" s="81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40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40"/>
      <c r="B585" s="66"/>
      <c r="C585" s="66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39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41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41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41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82"/>
      <c r="C592" s="8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41"/>
      <c r="B593" s="82"/>
      <c r="C593" s="8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8"/>
      <c r="B594" s="80"/>
      <c r="C594" s="80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40"/>
      <c r="B595" s="66"/>
      <c r="C595" s="66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80"/>
      <c r="C598" s="80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outlineLevel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83"/>
      <c r="B606" s="6"/>
      <c r="C606" s="6"/>
      <c r="D606" s="6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3"/>
      <c r="B608" s="3"/>
      <c r="C608" s="3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idden="1" outlineLevel="2">
      <c r="A609" s="1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44"/>
      <c r="B610" s="6"/>
      <c r="C610" s="6"/>
      <c r="D610" s="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8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6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17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44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6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44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6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17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44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outlineLevel="1" collapsed="1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6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6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17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>
      <c r="A643" s="6"/>
      <c r="B643" s="6"/>
      <c r="C643" s="6"/>
      <c r="D643" s="6"/>
      <c r="E643" s="6"/>
      <c r="F643" s="6"/>
      <c r="G643" s="6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856"/>
  <sheetViews>
    <sheetView zoomScale="75" zoomScaleNormal="75" workbookViewId="0">
      <selection activeCell="D1" sqref="D1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101</v>
      </c>
      <c r="C1" s="418">
        <v>8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Z8" s="18"/>
      <c r="AA8" s="334"/>
      <c r="AB8" s="337"/>
    </row>
    <row r="9" spans="1:28">
      <c r="A9" s="95" t="s">
        <v>6</v>
      </c>
      <c r="B9" s="9"/>
      <c r="C9" s="9"/>
      <c r="D9" s="9"/>
      <c r="Z9" s="18"/>
      <c r="AA9" s="334"/>
      <c r="AB9" s="337"/>
    </row>
    <row r="10" spans="1:28">
      <c r="A10" s="4" t="s">
        <v>7</v>
      </c>
      <c r="B10" s="9"/>
      <c r="C10" s="9"/>
      <c r="D10" s="123">
        <v>1</v>
      </c>
      <c r="E10" s="321">
        <f>[19]Financials!H$11</f>
        <v>716.09760667062505</v>
      </c>
      <c r="F10" s="321">
        <f>[19]Financials!I$11</f>
        <v>716.09760667062505</v>
      </c>
      <c r="G10" s="321">
        <f>[19]Financials!J$11</f>
        <v>716.09760667062505</v>
      </c>
      <c r="H10" s="321">
        <f>[19]Financials!K$11</f>
        <v>716.09760667062505</v>
      </c>
      <c r="I10" s="321">
        <f>[19]Financials!L$11</f>
        <v>716.09760667062505</v>
      </c>
      <c r="J10" s="321">
        <f>[19]Financials!M$11</f>
        <v>716.09760667062505</v>
      </c>
      <c r="K10" s="321">
        <f>[19]Financials!N$11</f>
        <v>716.09760667062505</v>
      </c>
      <c r="L10" s="321">
        <f>[19]Financials!O$11</f>
        <v>716.09760667062505</v>
      </c>
      <c r="M10" s="321">
        <f>[19]Financials!P$11</f>
        <v>716.09760667062505</v>
      </c>
      <c r="N10" s="321">
        <f>[19]Financials!Q$11</f>
        <v>716.09760667062505</v>
      </c>
      <c r="O10" s="321">
        <f>[19]Financials!R$11</f>
        <v>716.09760667062505</v>
      </c>
      <c r="P10" s="321">
        <f>[19]Financials!S$11</f>
        <v>716.09760667062505</v>
      </c>
      <c r="Q10" s="321">
        <f>[19]Financials!T$11</f>
        <v>716.09760667062505</v>
      </c>
      <c r="R10" s="321">
        <f>[19]Financials!U$11</f>
        <v>716.09760667062505</v>
      </c>
      <c r="S10" s="321">
        <f>[19]Financials!V$11</f>
        <v>716.09760667062505</v>
      </c>
      <c r="T10" s="321">
        <f>[19]Financials!W$11</f>
        <v>716.09760667062505</v>
      </c>
      <c r="U10" s="321">
        <f>[19]Financials!X$11</f>
        <v>716.09760667062505</v>
      </c>
      <c r="V10" s="321">
        <f>[19]Financials!Y$11</f>
        <v>716.09760667062505</v>
      </c>
      <c r="W10" s="321">
        <f>[19]Financials!Z$11</f>
        <v>716.09760667062505</v>
      </c>
      <c r="X10" s="321">
        <f>[19]Financials!AA$11</f>
        <v>0</v>
      </c>
      <c r="Y10" s="321">
        <f>[19]Financials!AB$11</f>
        <v>0</v>
      </c>
      <c r="Z10" s="18"/>
      <c r="AA10" s="355">
        <f t="shared" ref="AA10:AA38" si="1">SUM(F10:Y10)</f>
        <v>12889.756920071248</v>
      </c>
      <c r="AB10" s="356">
        <f>AA10*$C$60</f>
        <v>6444.8784600356239</v>
      </c>
    </row>
    <row r="11" spans="1:28">
      <c r="A11" s="4" t="s">
        <v>8</v>
      </c>
      <c r="B11" s="9"/>
      <c r="C11" s="9"/>
      <c r="D11" s="123">
        <v>1</v>
      </c>
      <c r="E11" s="321">
        <f>[19]Financials!H$10</f>
        <v>4527.9030380711856</v>
      </c>
      <c r="F11" s="321">
        <f>[19]Financials!I$10</f>
        <v>851.51817392503017</v>
      </c>
      <c r="G11" s="321">
        <f>[19]Financials!J$10</f>
        <v>879.21674329530924</v>
      </c>
      <c r="H11" s="321">
        <f>[19]Financials!K$10</f>
        <v>917.7635974898127</v>
      </c>
      <c r="I11" s="321">
        <f>[19]Financials!L$10</f>
        <v>948.51988771596189</v>
      </c>
      <c r="J11" s="321">
        <f>[19]Financials!M$10</f>
        <v>991.56794194279439</v>
      </c>
      <c r="K11" s="321">
        <f>[19]Financials!N$10</f>
        <v>1030.5712830835241</v>
      </c>
      <c r="L11" s="321">
        <f>[19]Financials!O$10</f>
        <v>1070.9480255620813</v>
      </c>
      <c r="M11" s="321">
        <f>[19]Financials!P$10</f>
        <v>1123.5389866351238</v>
      </c>
      <c r="N11" s="321">
        <f>[19]Financials!Q$10</f>
        <v>1162.9460817401275</v>
      </c>
      <c r="O11" s="321">
        <f>[19]Financials!R$10</f>
        <v>1203.9590746318556</v>
      </c>
      <c r="P11" s="321">
        <f>[19]Financials!S$10</f>
        <v>1246.0245201647926</v>
      </c>
      <c r="Q11" s="321">
        <f>[19]Financials!T$10</f>
        <v>1307.3852191836463</v>
      </c>
      <c r="R11" s="321">
        <f>[19]Financials!U$10</f>
        <v>1339.9686033276209</v>
      </c>
      <c r="S11" s="321">
        <f>[19]Financials!V$10</f>
        <v>1373.5780828940133</v>
      </c>
      <c r="T11" s="321">
        <f>[19]Financials!W$10</f>
        <v>1407.6980001910026</v>
      </c>
      <c r="U11" s="321">
        <f>[19]Financials!X$10</f>
        <v>1442.8779323807516</v>
      </c>
      <c r="V11" s="321">
        <f>[19]Financials!Y$10</f>
        <v>1478.8315728665627</v>
      </c>
      <c r="W11" s="321">
        <f>[19]Financials!Z$10</f>
        <v>1552.0484782320038</v>
      </c>
      <c r="X11" s="321">
        <f>[19]Financials!AA$10</f>
        <v>0</v>
      </c>
      <c r="Y11" s="321">
        <f>[19]Financials!AB$10</f>
        <v>0</v>
      </c>
      <c r="Z11" s="18"/>
      <c r="AA11" s="355">
        <f t="shared" si="1"/>
        <v>21328.962205262014</v>
      </c>
      <c r="AB11" s="356">
        <f t="shared" ref="AB11:AB74" si="2">AA11*$C$60</f>
        <v>10664.481102631007</v>
      </c>
    </row>
    <row r="12" spans="1:28">
      <c r="A12" s="4" t="s">
        <v>9</v>
      </c>
      <c r="B12" s="9"/>
      <c r="C12" s="9"/>
      <c r="D12" s="123">
        <v>1</v>
      </c>
      <c r="E12" s="321">
        <f>[19]Financials!H$12</f>
        <v>1053.2670000000001</v>
      </c>
      <c r="F12" s="321">
        <f>[19]Financials!I$12</f>
        <v>0</v>
      </c>
      <c r="G12" s="321">
        <f>[19]Financials!J$12</f>
        <v>0</v>
      </c>
      <c r="H12" s="321">
        <f>[19]Financials!K$12</f>
        <v>0</v>
      </c>
      <c r="I12" s="321">
        <f>[19]Financials!L$12</f>
        <v>0</v>
      </c>
      <c r="J12" s="321">
        <f>[19]Financials!M$12</f>
        <v>0</v>
      </c>
      <c r="K12" s="321">
        <f>[19]Financials!N$12</f>
        <v>0</v>
      </c>
      <c r="L12" s="321">
        <f>[19]Financials!O$12</f>
        <v>0</v>
      </c>
      <c r="M12" s="321">
        <f>[19]Financials!P$12</f>
        <v>0</v>
      </c>
      <c r="N12" s="321">
        <f>[19]Financials!Q$12</f>
        <v>0</v>
      </c>
      <c r="O12" s="321">
        <f>[19]Financials!R$12</f>
        <v>0</v>
      </c>
      <c r="P12" s="321">
        <f>[19]Financials!S$12</f>
        <v>0</v>
      </c>
      <c r="Q12" s="321">
        <f>[19]Financials!T$12</f>
        <v>0</v>
      </c>
      <c r="R12" s="321">
        <f>[19]Financials!U$12</f>
        <v>0</v>
      </c>
      <c r="S12" s="321">
        <f>[19]Financials!V$12</f>
        <v>0</v>
      </c>
      <c r="T12" s="321">
        <f>[19]Financials!W$12</f>
        <v>0</v>
      </c>
      <c r="U12" s="321">
        <f>[19]Financials!X$12</f>
        <v>0</v>
      </c>
      <c r="V12" s="321">
        <f>[19]Financials!Y$12</f>
        <v>0</v>
      </c>
      <c r="W12" s="321">
        <f>[19]Financials!Z$12</f>
        <v>0</v>
      </c>
      <c r="X12" s="321">
        <f>[19]Financials!AA$12</f>
        <v>0</v>
      </c>
      <c r="Y12" s="321">
        <f>[19]Financials!AB$12</f>
        <v>0</v>
      </c>
      <c r="Z12" s="18"/>
      <c r="AA12" s="355">
        <f t="shared" si="1"/>
        <v>0</v>
      </c>
      <c r="AB12" s="356">
        <f t="shared" si="2"/>
        <v>0</v>
      </c>
    </row>
    <row r="13" spans="1:28">
      <c r="A13" s="6"/>
      <c r="B13" s="9"/>
      <c r="C13" s="9"/>
      <c r="D13" s="124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18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124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18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123">
        <v>1</v>
      </c>
      <c r="E15" s="321"/>
      <c r="F15" s="321"/>
      <c r="G15" s="321"/>
      <c r="H15" s="321"/>
      <c r="I15" s="321"/>
      <c r="J15" s="321"/>
      <c r="K15" s="321"/>
      <c r="L15" s="321"/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21"/>
      <c r="Z15" s="18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123">
        <v>1</v>
      </c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s="321"/>
      <c r="P16" s="321"/>
      <c r="Q16" s="321"/>
      <c r="R16" s="321"/>
      <c r="S16" s="321"/>
      <c r="T16" s="321"/>
      <c r="U16" s="321"/>
      <c r="V16" s="321"/>
      <c r="W16" s="321"/>
      <c r="X16" s="321"/>
      <c r="Y16" s="321"/>
      <c r="Z16" s="18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123">
        <v>1</v>
      </c>
      <c r="E17" s="321"/>
      <c r="F17" s="321"/>
      <c r="G17" s="321"/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18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124"/>
      <c r="E18" s="323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3"/>
      <c r="S18" s="323"/>
      <c r="T18" s="323"/>
      <c r="U18" s="323"/>
      <c r="V18" s="323"/>
      <c r="W18" s="323"/>
      <c r="X18" s="323"/>
      <c r="Y18" s="323"/>
      <c r="Z18" s="18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125">
        <v>1</v>
      </c>
      <c r="E19" s="324">
        <v>0</v>
      </c>
      <c r="F19" s="324">
        <v>0</v>
      </c>
      <c r="G19" s="324">
        <v>0</v>
      </c>
      <c r="H19" s="324">
        <v>0</v>
      </c>
      <c r="I19" s="324">
        <v>0</v>
      </c>
      <c r="J19" s="324">
        <v>0</v>
      </c>
      <c r="K19" s="324">
        <v>0</v>
      </c>
      <c r="L19" s="324">
        <v>0</v>
      </c>
      <c r="M19" s="324">
        <v>0</v>
      </c>
      <c r="N19" s="324">
        <v>0</v>
      </c>
      <c r="O19" s="324">
        <v>0</v>
      </c>
      <c r="P19" s="324">
        <v>0</v>
      </c>
      <c r="Q19" s="324">
        <v>0</v>
      </c>
      <c r="R19" s="324">
        <v>0</v>
      </c>
      <c r="S19" s="324">
        <v>0</v>
      </c>
      <c r="T19" s="324">
        <v>0</v>
      </c>
      <c r="U19" s="324">
        <v>0</v>
      </c>
      <c r="V19" s="324">
        <v>0</v>
      </c>
      <c r="W19" s="324">
        <v>0</v>
      </c>
      <c r="X19" s="324">
        <v>0</v>
      </c>
      <c r="Y19" s="324">
        <v>0</v>
      </c>
      <c r="Z19" s="18"/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6297.2676447418107</v>
      </c>
      <c r="F20" s="86">
        <f t="shared" si="3"/>
        <v>1567.6157805956552</v>
      </c>
      <c r="G20" s="86">
        <f t="shared" si="3"/>
        <v>1595.3143499659343</v>
      </c>
      <c r="H20" s="86">
        <f t="shared" si="3"/>
        <v>1633.8612041604379</v>
      </c>
      <c r="I20" s="86">
        <f t="shared" si="3"/>
        <v>1664.6174943865869</v>
      </c>
      <c r="J20" s="86">
        <f t="shared" si="3"/>
        <v>1707.6655486134196</v>
      </c>
      <c r="K20" s="86">
        <f t="shared" si="3"/>
        <v>1746.6688897541492</v>
      </c>
      <c r="L20" s="86">
        <f t="shared" si="3"/>
        <v>1787.0456322327063</v>
      </c>
      <c r="M20" s="86">
        <f t="shared" si="3"/>
        <v>1839.6365933057489</v>
      </c>
      <c r="N20" s="86">
        <f t="shared" si="3"/>
        <v>1879.0436884107526</v>
      </c>
      <c r="O20" s="86">
        <f t="shared" si="3"/>
        <v>1920.0566813024807</v>
      </c>
      <c r="P20" s="86">
        <f t="shared" si="3"/>
        <v>1962.1221268354177</v>
      </c>
      <c r="Q20" s="86">
        <f t="shared" si="3"/>
        <v>2023.4828258542714</v>
      </c>
      <c r="R20" s="86">
        <f t="shared" si="3"/>
        <v>2056.066209998246</v>
      </c>
      <c r="S20" s="86">
        <f t="shared" si="3"/>
        <v>2089.6756895646386</v>
      </c>
      <c r="T20" s="86">
        <f t="shared" si="3"/>
        <v>2123.7956068616277</v>
      </c>
      <c r="U20" s="86">
        <f t="shared" si="3"/>
        <v>2158.9755390513765</v>
      </c>
      <c r="V20" s="86">
        <f t="shared" si="3"/>
        <v>2194.9291795371878</v>
      </c>
      <c r="W20" s="86">
        <f t="shared" si="3"/>
        <v>2268.1460849026289</v>
      </c>
      <c r="X20" s="86">
        <f t="shared" si="3"/>
        <v>0</v>
      </c>
      <c r="Y20" s="86">
        <f t="shared" si="3"/>
        <v>0</v>
      </c>
      <c r="Z20" s="18"/>
      <c r="AA20" s="355">
        <f t="shared" si="1"/>
        <v>34218.719125333271</v>
      </c>
      <c r="AB20" s="356">
        <f t="shared" si="2"/>
        <v>17109.359562666636</v>
      </c>
    </row>
    <row r="21" spans="1:28">
      <c r="A21" s="4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179.17118877437144</v>
      </c>
      <c r="F23" s="417">
        <f>F25/$C$1</f>
        <v>135.42455016343627</v>
      </c>
      <c r="G23" s="417">
        <f>G25/$C$1</f>
        <v>136.56288886124401</v>
      </c>
      <c r="H23" s="417">
        <f>H25/$C$1</f>
        <v>139.86568223250134</v>
      </c>
      <c r="I23" s="417">
        <f t="shared" ref="I23:Y23" si="4">I25/$C$1</f>
        <v>143.1002865588483</v>
      </c>
      <c r="J23" s="417">
        <f t="shared" si="4"/>
        <v>146.61916387536328</v>
      </c>
      <c r="K23" s="417">
        <f t="shared" si="4"/>
        <v>153.07348438843417</v>
      </c>
      <c r="L23" s="417">
        <f t="shared" si="4"/>
        <v>157.4360093710344</v>
      </c>
      <c r="M23" s="417">
        <f t="shared" si="4"/>
        <v>161.50005602108453</v>
      </c>
      <c r="N23" s="417">
        <f t="shared" si="4"/>
        <v>165.49682856623244</v>
      </c>
      <c r="O23" s="417">
        <f t="shared" si="4"/>
        <v>169.60882957097721</v>
      </c>
      <c r="P23" s="417">
        <f t="shared" si="4"/>
        <v>173.99056630351825</v>
      </c>
      <c r="Q23" s="417">
        <f t="shared" si="4"/>
        <v>178.85750238729787</v>
      </c>
      <c r="R23" s="417">
        <f t="shared" si="4"/>
        <v>183.49380551989228</v>
      </c>
      <c r="S23" s="417">
        <f t="shared" si="4"/>
        <v>188.26554910026584</v>
      </c>
      <c r="T23" s="417">
        <f t="shared" si="4"/>
        <v>193.17002502548556</v>
      </c>
      <c r="U23" s="417">
        <f t="shared" si="4"/>
        <v>198.21758895624552</v>
      </c>
      <c r="V23" s="417">
        <f t="shared" si="4"/>
        <v>201.72103303919209</v>
      </c>
      <c r="W23" s="417">
        <f t="shared" si="4"/>
        <v>207.50319858042812</v>
      </c>
      <c r="X23" s="417">
        <f t="shared" si="4"/>
        <v>0</v>
      </c>
      <c r="Y23" s="417">
        <f t="shared" si="4"/>
        <v>0</v>
      </c>
      <c r="AA23" s="355">
        <f t="shared" si="1"/>
        <v>3033.9070485214816</v>
      </c>
      <c r="AB23" s="356">
        <f t="shared" si="2"/>
        <v>1516.9535242607408</v>
      </c>
    </row>
    <row r="24" spans="1:28">
      <c r="A24" s="4" t="s">
        <v>36</v>
      </c>
      <c r="D24" s="123">
        <v>0</v>
      </c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123">
        <v>0</v>
      </c>
      <c r="E25" s="321">
        <f>[19]Financials!H$27</f>
        <v>1433.3695101949716</v>
      </c>
      <c r="F25" s="321">
        <f>[19]Financials!I$27</f>
        <v>1083.3964013074901</v>
      </c>
      <c r="G25" s="321">
        <f>[19]Financials!J$27</f>
        <v>1092.503110889952</v>
      </c>
      <c r="H25" s="321">
        <f>[19]Financials!K$27</f>
        <v>1118.9254578600107</v>
      </c>
      <c r="I25" s="321">
        <f>[19]Financials!L$27</f>
        <v>1144.8022924707864</v>
      </c>
      <c r="J25" s="321">
        <f>[19]Financials!M$27</f>
        <v>1172.9533110029063</v>
      </c>
      <c r="K25" s="321">
        <f>[19]Financials!N$27</f>
        <v>1224.5878751074733</v>
      </c>
      <c r="L25" s="321">
        <f>[19]Financials!O$27</f>
        <v>1259.4880749682752</v>
      </c>
      <c r="M25" s="321">
        <f>[19]Financials!P$27</f>
        <v>1292.0004481686763</v>
      </c>
      <c r="N25" s="321">
        <f>[19]Financials!Q$27</f>
        <v>1323.9746285298595</v>
      </c>
      <c r="O25" s="321">
        <f>[19]Financials!R$27</f>
        <v>1356.8706365678177</v>
      </c>
      <c r="P25" s="321">
        <f>[19]Financials!S$27</f>
        <v>1391.924530428146</v>
      </c>
      <c r="Q25" s="321">
        <f>[19]Financials!T$27</f>
        <v>1430.860019098383</v>
      </c>
      <c r="R25" s="321">
        <f>[19]Financials!U$27</f>
        <v>1467.9504441591382</v>
      </c>
      <c r="S25" s="321">
        <f>[19]Financials!V$27</f>
        <v>1506.1243928021267</v>
      </c>
      <c r="T25" s="321">
        <f>[19]Financials!W$27</f>
        <v>1545.3602002038845</v>
      </c>
      <c r="U25" s="321">
        <f>[19]Financials!X$27</f>
        <v>1585.7407116499642</v>
      </c>
      <c r="V25" s="321">
        <f>[19]Financials!Y$27</f>
        <v>1613.7682643135367</v>
      </c>
      <c r="W25" s="321">
        <f>[19]Financials!Z$27</f>
        <v>1660.025588643425</v>
      </c>
      <c r="X25" s="321">
        <f>[19]Financials!AA$27</f>
        <v>0</v>
      </c>
      <c r="Y25" s="321">
        <f>[19]Financials!AB$27</f>
        <v>0</v>
      </c>
      <c r="AA25" s="355">
        <f t="shared" si="1"/>
        <v>24271.256388171852</v>
      </c>
      <c r="AB25" s="356">
        <f t="shared" si="2"/>
        <v>12135.628194085926</v>
      </c>
    </row>
    <row r="26" spans="1:28">
      <c r="A26" s="4" t="s">
        <v>16</v>
      </c>
      <c r="D26" s="123">
        <v>0</v>
      </c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123">
        <v>0</v>
      </c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123">
        <v>0</v>
      </c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321"/>
      <c r="U28" s="321"/>
      <c r="V28" s="321"/>
      <c r="W28" s="321"/>
      <c r="X28" s="321"/>
      <c r="Y28" s="321"/>
      <c r="AA28" s="355">
        <f t="shared" si="1"/>
        <v>0</v>
      </c>
      <c r="AB28" s="356">
        <f t="shared" si="2"/>
        <v>0</v>
      </c>
    </row>
    <row r="29" spans="1:28">
      <c r="A29" s="4" t="s">
        <v>3</v>
      </c>
      <c r="D29" s="123">
        <v>0</v>
      </c>
      <c r="E29" s="321"/>
      <c r="F29" s="321"/>
      <c r="G29" s="321"/>
      <c r="H29" s="321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321"/>
      <c r="U29" s="321"/>
      <c r="V29" s="321"/>
      <c r="W29" s="321"/>
      <c r="X29" s="321"/>
      <c r="Y29" s="321"/>
      <c r="AA29" s="355">
        <f t="shared" si="1"/>
        <v>0</v>
      </c>
      <c r="AB29" s="356">
        <f t="shared" si="2"/>
        <v>0</v>
      </c>
    </row>
    <row r="30" spans="1:28">
      <c r="A30" s="4" t="s">
        <v>38</v>
      </c>
      <c r="D30" s="123">
        <v>0</v>
      </c>
      <c r="E30" s="321"/>
      <c r="F30" s="321"/>
      <c r="G30" s="321"/>
      <c r="H30" s="321"/>
      <c r="I30" s="321"/>
      <c r="J30" s="321"/>
      <c r="K30" s="321"/>
      <c r="L30" s="321"/>
      <c r="M30" s="321"/>
      <c r="N30" s="321"/>
      <c r="O30" s="321"/>
      <c r="P30" s="321"/>
      <c r="Q30" s="321"/>
      <c r="R30" s="321"/>
      <c r="S30" s="321"/>
      <c r="T30" s="321"/>
      <c r="U30" s="321"/>
      <c r="V30" s="321"/>
      <c r="W30" s="321"/>
      <c r="X30" s="321"/>
      <c r="Y30" s="321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123">
        <v>0</v>
      </c>
      <c r="E31" s="321"/>
      <c r="F31" s="321"/>
      <c r="G31" s="321"/>
      <c r="H31" s="321"/>
      <c r="I31" s="321"/>
      <c r="J31" s="321"/>
      <c r="K31" s="321"/>
      <c r="L31" s="321"/>
      <c r="M31" s="321"/>
      <c r="N31" s="321"/>
      <c r="O31" s="321"/>
      <c r="P31" s="321"/>
      <c r="Q31" s="321"/>
      <c r="R31" s="321"/>
      <c r="S31" s="321"/>
      <c r="T31" s="321"/>
      <c r="U31" s="321"/>
      <c r="V31" s="321"/>
      <c r="W31" s="321"/>
      <c r="X31" s="321"/>
      <c r="Y31" s="321"/>
      <c r="AA31" s="355">
        <f t="shared" si="1"/>
        <v>0</v>
      </c>
      <c r="AB31" s="356">
        <f t="shared" si="2"/>
        <v>0</v>
      </c>
    </row>
    <row r="32" spans="1:28">
      <c r="A32" s="4" t="s">
        <v>34</v>
      </c>
      <c r="D32" s="123">
        <v>0</v>
      </c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1"/>
      <c r="T32" s="321"/>
      <c r="U32" s="321"/>
      <c r="V32" s="321"/>
      <c r="W32" s="321"/>
      <c r="X32" s="321"/>
      <c r="Y32" s="321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123">
        <v>0</v>
      </c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1"/>
      <c r="P33" s="321"/>
      <c r="Q33" s="321"/>
      <c r="R33" s="321"/>
      <c r="S33" s="321"/>
      <c r="T33" s="321"/>
      <c r="U33" s="321"/>
      <c r="V33" s="321"/>
      <c r="W33" s="321"/>
      <c r="X33" s="321"/>
      <c r="Y33" s="321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123">
        <v>0</v>
      </c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AA34" s="355">
        <f t="shared" si="1"/>
        <v>0</v>
      </c>
      <c r="AB34" s="356">
        <f t="shared" si="2"/>
        <v>0</v>
      </c>
    </row>
    <row r="35" spans="1:28">
      <c r="A35" s="4" t="s">
        <v>19</v>
      </c>
      <c r="B35" s="6"/>
      <c r="C35" s="6"/>
      <c r="D35" s="125">
        <v>0</v>
      </c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1433.3695101949716</v>
      </c>
      <c r="F36" s="86">
        <f t="shared" si="5"/>
        <v>1083.3964013074901</v>
      </c>
      <c r="G36" s="86">
        <f t="shared" si="5"/>
        <v>1092.503110889952</v>
      </c>
      <c r="H36" s="86">
        <f t="shared" si="5"/>
        <v>1118.9254578600107</v>
      </c>
      <c r="I36" s="86">
        <f t="shared" si="5"/>
        <v>1144.8022924707864</v>
      </c>
      <c r="J36" s="86">
        <f t="shared" si="5"/>
        <v>1172.9533110029063</v>
      </c>
      <c r="K36" s="86">
        <f t="shared" si="5"/>
        <v>1224.5878751074733</v>
      </c>
      <c r="L36" s="86">
        <f t="shared" si="5"/>
        <v>1259.4880749682752</v>
      </c>
      <c r="M36" s="86">
        <f t="shared" si="5"/>
        <v>1292.0004481686763</v>
      </c>
      <c r="N36" s="86">
        <f t="shared" si="5"/>
        <v>1323.9746285298595</v>
      </c>
      <c r="O36" s="86">
        <f t="shared" si="5"/>
        <v>1356.8706365678177</v>
      </c>
      <c r="P36" s="86">
        <f t="shared" si="5"/>
        <v>1391.924530428146</v>
      </c>
      <c r="Q36" s="86">
        <f t="shared" si="5"/>
        <v>1430.860019098383</v>
      </c>
      <c r="R36" s="86">
        <f t="shared" si="5"/>
        <v>1467.9504441591382</v>
      </c>
      <c r="S36" s="86">
        <f t="shared" si="5"/>
        <v>1506.1243928021267</v>
      </c>
      <c r="T36" s="86">
        <f t="shared" si="5"/>
        <v>1545.3602002038845</v>
      </c>
      <c r="U36" s="86">
        <f t="shared" si="5"/>
        <v>1585.7407116499642</v>
      </c>
      <c r="V36" s="86">
        <f t="shared" si="5"/>
        <v>1613.7682643135367</v>
      </c>
      <c r="W36" s="86">
        <f t="shared" si="5"/>
        <v>1660.025588643425</v>
      </c>
      <c r="X36" s="86">
        <f t="shared" si="5"/>
        <v>0</v>
      </c>
      <c r="Y36" s="86">
        <f t="shared" si="5"/>
        <v>0</v>
      </c>
      <c r="AA36" s="355">
        <f t="shared" si="1"/>
        <v>24271.256388171852</v>
      </c>
      <c r="AB36" s="356">
        <f t="shared" si="2"/>
        <v>12135.628194085926</v>
      </c>
    </row>
    <row r="37" spans="1:28" outlineLevel="1">
      <c r="A37" s="4"/>
      <c r="B37" s="92"/>
      <c r="C37" s="92"/>
      <c r="D37" s="86"/>
      <c r="E37" s="416">
        <f>E36/E20</f>
        <v>0.22761768929923576</v>
      </c>
      <c r="F37" s="416">
        <f t="shared" ref="F37:Y37" si="6">F36/F20</f>
        <v>0.69111093082759489</v>
      </c>
      <c r="G37" s="416">
        <f t="shared" si="6"/>
        <v>0.68481996097714593</v>
      </c>
      <c r="H37" s="416">
        <f t="shared" si="6"/>
        <v>0.68483507351224016</v>
      </c>
      <c r="I37" s="416">
        <f t="shared" si="6"/>
        <v>0.68772693806912499</v>
      </c>
      <c r="J37" s="416">
        <f t="shared" si="6"/>
        <v>0.68687531463951723</v>
      </c>
      <c r="K37" s="416">
        <f t="shared" si="6"/>
        <v>0.70109903616582936</v>
      </c>
      <c r="L37" s="416">
        <f t="shared" si="6"/>
        <v>0.70478786453521669</v>
      </c>
      <c r="M37" s="416">
        <f t="shared" si="6"/>
        <v>0.70231286595957865</v>
      </c>
      <c r="N37" s="416">
        <f t="shared" si="6"/>
        <v>0.70460023718216136</v>
      </c>
      <c r="O37" s="416">
        <f t="shared" si="6"/>
        <v>0.7066825942072591</v>
      </c>
      <c r="P37" s="416">
        <f t="shared" si="6"/>
        <v>0.70939749946813591</v>
      </c>
      <c r="Q37" s="416">
        <f t="shared" si="6"/>
        <v>0.70712733551089291</v>
      </c>
      <c r="R37" s="416">
        <f t="shared" si="6"/>
        <v>0.71396068717086236</v>
      </c>
      <c r="S37" s="416">
        <f t="shared" si="6"/>
        <v>0.72074552061995401</v>
      </c>
      <c r="T37" s="416">
        <f t="shared" si="6"/>
        <v>0.72764073680682106</v>
      </c>
      <c r="U37" s="416">
        <f t="shared" si="6"/>
        <v>0.7344875766154888</v>
      </c>
      <c r="V37" s="416">
        <f t="shared" si="6"/>
        <v>0.73522566438968573</v>
      </c>
      <c r="W37" s="416">
        <f t="shared" si="6"/>
        <v>0.7318865392723104</v>
      </c>
      <c r="X37" s="416" t="e">
        <f t="shared" si="6"/>
        <v>#DIV/0!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4863.8981345468392</v>
      </c>
      <c r="F39" s="89">
        <f t="shared" si="7"/>
        <v>484.2193792881651</v>
      </c>
      <c r="G39" s="89">
        <f t="shared" si="7"/>
        <v>502.81123907598226</v>
      </c>
      <c r="H39" s="89">
        <f t="shared" si="7"/>
        <v>514.93574630042713</v>
      </c>
      <c r="I39" s="89">
        <f t="shared" si="7"/>
        <v>519.81520191580057</v>
      </c>
      <c r="J39" s="89">
        <f t="shared" si="7"/>
        <v>534.71223761051328</v>
      </c>
      <c r="K39" s="89">
        <f t="shared" si="7"/>
        <v>522.08101464667584</v>
      </c>
      <c r="L39" s="89">
        <f t="shared" si="7"/>
        <v>527.55755726443113</v>
      </c>
      <c r="M39" s="89">
        <f t="shared" si="7"/>
        <v>547.63614513707262</v>
      </c>
      <c r="N39" s="89">
        <f t="shared" si="7"/>
        <v>555.06905988089306</v>
      </c>
      <c r="O39" s="89">
        <f t="shared" si="7"/>
        <v>563.18604473466303</v>
      </c>
      <c r="P39" s="89">
        <f t="shared" si="7"/>
        <v>570.1975964072717</v>
      </c>
      <c r="Q39" s="89">
        <f t="shared" si="7"/>
        <v>592.6228067558884</v>
      </c>
      <c r="R39" s="89">
        <f t="shared" si="7"/>
        <v>588.11576583910778</v>
      </c>
      <c r="S39" s="89">
        <f t="shared" si="7"/>
        <v>583.55129676251181</v>
      </c>
      <c r="T39" s="89">
        <f t="shared" si="7"/>
        <v>578.43540665774321</v>
      </c>
      <c r="U39" s="89">
        <f t="shared" si="7"/>
        <v>573.2348274014123</v>
      </c>
      <c r="V39" s="89">
        <f t="shared" si="7"/>
        <v>581.16091522365105</v>
      </c>
      <c r="W39" s="89">
        <f t="shared" si="7"/>
        <v>608.12049625920395</v>
      </c>
      <c r="X39" s="89">
        <f t="shared" si="7"/>
        <v>0</v>
      </c>
      <c r="Y39" s="89">
        <f t="shared" si="7"/>
        <v>0</v>
      </c>
      <c r="AA39" s="355">
        <f>SUM(F39:Y39)</f>
        <v>9947.4627371614151</v>
      </c>
      <c r="AB39" s="356">
        <f t="shared" si="2"/>
        <v>4973.7313685807076</v>
      </c>
    </row>
    <row r="40" spans="1:28" s="17" customFormat="1">
      <c r="A40" s="1"/>
      <c r="B40" s="1"/>
      <c r="C40" s="1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113">
        <v>0</v>
      </c>
      <c r="F41" s="86">
        <f>+F109</f>
        <v>163</v>
      </c>
      <c r="G41" s="86">
        <f t="shared" ref="G41:Y41" si="9">+G109</f>
        <v>163</v>
      </c>
      <c r="H41" s="86">
        <f t="shared" si="9"/>
        <v>163</v>
      </c>
      <c r="I41" s="86">
        <f t="shared" si="9"/>
        <v>163</v>
      </c>
      <c r="J41" s="86">
        <f t="shared" si="9"/>
        <v>163</v>
      </c>
      <c r="K41" s="86">
        <f t="shared" si="9"/>
        <v>163</v>
      </c>
      <c r="L41" s="86">
        <f t="shared" si="9"/>
        <v>163</v>
      </c>
      <c r="M41" s="86">
        <f t="shared" si="9"/>
        <v>163</v>
      </c>
      <c r="N41" s="86">
        <f t="shared" si="9"/>
        <v>163</v>
      </c>
      <c r="O41" s="86">
        <f t="shared" si="9"/>
        <v>163</v>
      </c>
      <c r="P41" s="86">
        <f t="shared" si="9"/>
        <v>163</v>
      </c>
      <c r="Q41" s="86">
        <f t="shared" si="9"/>
        <v>163</v>
      </c>
      <c r="R41" s="86">
        <f t="shared" si="9"/>
        <v>163</v>
      </c>
      <c r="S41" s="86">
        <f t="shared" si="9"/>
        <v>163</v>
      </c>
      <c r="T41" s="86">
        <f t="shared" si="9"/>
        <v>163</v>
      </c>
      <c r="U41" s="86">
        <f t="shared" si="9"/>
        <v>163</v>
      </c>
      <c r="V41" s="86">
        <f t="shared" si="9"/>
        <v>163</v>
      </c>
      <c r="W41" s="86">
        <f t="shared" si="9"/>
        <v>163</v>
      </c>
      <c r="X41" s="86">
        <f t="shared" si="9"/>
        <v>0</v>
      </c>
      <c r="Y41" s="86">
        <f t="shared" si="9"/>
        <v>0</v>
      </c>
      <c r="AA41" s="355">
        <f t="shared" si="8"/>
        <v>2934</v>
      </c>
      <c r="AB41" s="356">
        <f t="shared" si="2"/>
        <v>1467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4863.8981345468392</v>
      </c>
      <c r="F44" s="89">
        <f t="shared" si="10"/>
        <v>321.2193792881651</v>
      </c>
      <c r="G44" s="89">
        <f t="shared" si="10"/>
        <v>339.81123907598226</v>
      </c>
      <c r="H44" s="89">
        <f t="shared" si="10"/>
        <v>351.93574630042713</v>
      </c>
      <c r="I44" s="89">
        <f t="shared" si="10"/>
        <v>356.81520191580057</v>
      </c>
      <c r="J44" s="89">
        <f t="shared" si="10"/>
        <v>371.71223761051328</v>
      </c>
      <c r="K44" s="89">
        <f t="shared" si="10"/>
        <v>359.08101464667584</v>
      </c>
      <c r="L44" s="89">
        <f t="shared" si="10"/>
        <v>364.55755726443113</v>
      </c>
      <c r="M44" s="89">
        <f t="shared" si="10"/>
        <v>384.63614513707262</v>
      </c>
      <c r="N44" s="89">
        <f t="shared" si="10"/>
        <v>392.06905988089306</v>
      </c>
      <c r="O44" s="89">
        <f t="shared" si="10"/>
        <v>400.18604473466303</v>
      </c>
      <c r="P44" s="89">
        <f t="shared" si="10"/>
        <v>407.1975964072717</v>
      </c>
      <c r="Q44" s="89">
        <f t="shared" si="10"/>
        <v>429.6228067558884</v>
      </c>
      <c r="R44" s="89">
        <f t="shared" si="10"/>
        <v>425.11576583910778</v>
      </c>
      <c r="S44" s="89">
        <f t="shared" si="10"/>
        <v>420.55129676251181</v>
      </c>
      <c r="T44" s="89">
        <f t="shared" si="10"/>
        <v>415.43540665774321</v>
      </c>
      <c r="U44" s="89">
        <f t="shared" si="10"/>
        <v>410.2348274014123</v>
      </c>
      <c r="V44" s="89">
        <f t="shared" si="10"/>
        <v>418.16091522365105</v>
      </c>
      <c r="W44" s="89">
        <f t="shared" si="10"/>
        <v>445.12049625920395</v>
      </c>
      <c r="X44" s="89">
        <f t="shared" si="10"/>
        <v>0</v>
      </c>
      <c r="Y44" s="89">
        <f t="shared" si="10"/>
        <v>0</v>
      </c>
      <c r="AA44" s="355">
        <f t="shared" si="8"/>
        <v>7013.4627371614133</v>
      </c>
      <c r="AB44" s="356">
        <f t="shared" si="2"/>
        <v>3506.7313685807067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205">
        <v>0</v>
      </c>
      <c r="F46" s="325">
        <v>0</v>
      </c>
      <c r="G46" s="325">
        <v>0</v>
      </c>
      <c r="H46" s="325">
        <v>0</v>
      </c>
      <c r="I46" s="325">
        <v>0</v>
      </c>
      <c r="J46" s="325">
        <v>0</v>
      </c>
      <c r="K46" s="325">
        <v>0</v>
      </c>
      <c r="L46" s="325">
        <v>0</v>
      </c>
      <c r="M46" s="325">
        <v>0</v>
      </c>
      <c r="N46" s="325">
        <v>0</v>
      </c>
      <c r="O46" s="325">
        <v>0</v>
      </c>
      <c r="P46" s="325">
        <v>0</v>
      </c>
      <c r="Q46" s="325">
        <v>0</v>
      </c>
      <c r="R46" s="325">
        <v>0</v>
      </c>
      <c r="S46" s="325">
        <v>0</v>
      </c>
      <c r="T46" s="325">
        <v>0</v>
      </c>
      <c r="U46" s="325">
        <v>0</v>
      </c>
      <c r="V46" s="325">
        <v>0</v>
      </c>
      <c r="W46" s="325">
        <v>0</v>
      </c>
      <c r="X46" s="325">
        <v>0</v>
      </c>
      <c r="Y46" s="325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4863.8981345468392</v>
      </c>
      <c r="F49" s="89">
        <f t="shared" si="11"/>
        <v>321.2193792881651</v>
      </c>
      <c r="G49" s="89">
        <f t="shared" si="11"/>
        <v>339.81123907598226</v>
      </c>
      <c r="H49" s="89">
        <f t="shared" si="11"/>
        <v>351.93574630042713</v>
      </c>
      <c r="I49" s="89">
        <f t="shared" si="11"/>
        <v>356.81520191580057</v>
      </c>
      <c r="J49" s="89">
        <f t="shared" si="11"/>
        <v>371.71223761051328</v>
      </c>
      <c r="K49" s="89">
        <f t="shared" si="11"/>
        <v>359.08101464667584</v>
      </c>
      <c r="L49" s="89">
        <f t="shared" si="11"/>
        <v>364.55755726443113</v>
      </c>
      <c r="M49" s="89">
        <f t="shared" si="11"/>
        <v>384.63614513707262</v>
      </c>
      <c r="N49" s="89">
        <f t="shared" si="11"/>
        <v>392.06905988089306</v>
      </c>
      <c r="O49" s="89">
        <f t="shared" si="11"/>
        <v>400.18604473466303</v>
      </c>
      <c r="P49" s="89">
        <f t="shared" si="11"/>
        <v>407.1975964072717</v>
      </c>
      <c r="Q49" s="89">
        <f t="shared" si="11"/>
        <v>429.6228067558884</v>
      </c>
      <c r="R49" s="89">
        <f t="shared" si="11"/>
        <v>425.11576583910778</v>
      </c>
      <c r="S49" s="89">
        <f t="shared" si="11"/>
        <v>420.55129676251181</v>
      </c>
      <c r="T49" s="89">
        <f t="shared" si="11"/>
        <v>415.43540665774321</v>
      </c>
      <c r="U49" s="89">
        <f t="shared" si="11"/>
        <v>410.2348274014123</v>
      </c>
      <c r="V49" s="89">
        <f t="shared" si="11"/>
        <v>418.16091522365105</v>
      </c>
      <c r="W49" s="89">
        <f t="shared" si="11"/>
        <v>445.12049625920395</v>
      </c>
      <c r="X49" s="89">
        <f t="shared" si="11"/>
        <v>0</v>
      </c>
      <c r="Y49" s="89">
        <f t="shared" si="11"/>
        <v>0</v>
      </c>
      <c r="AA49" s="355">
        <f t="shared" si="8"/>
        <v>7013.4627371614133</v>
      </c>
      <c r="AB49" s="356">
        <f t="shared" si="2"/>
        <v>3506.7313685807067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326">
        <v>0.05</v>
      </c>
      <c r="D51" s="86"/>
      <c r="E51" s="86">
        <f t="shared" ref="E51:Y51" si="12">E49*-$C$51</f>
        <v>-243.19490672734196</v>
      </c>
      <c r="F51" s="86">
        <f t="shared" si="12"/>
        <v>-16.060968964408257</v>
      </c>
      <c r="G51" s="51">
        <f t="shared" si="12"/>
        <v>-16.990561953799112</v>
      </c>
      <c r="H51" s="86">
        <f t="shared" si="12"/>
        <v>-17.596787315021356</v>
      </c>
      <c r="I51" s="86">
        <f t="shared" si="12"/>
        <v>-17.840760095790028</v>
      </c>
      <c r="J51" s="86">
        <f t="shared" si="12"/>
        <v>-18.585611880525665</v>
      </c>
      <c r="K51" s="86">
        <f t="shared" si="12"/>
        <v>-17.954050732333794</v>
      </c>
      <c r="L51" s="86">
        <f t="shared" si="12"/>
        <v>-18.227877863221558</v>
      </c>
      <c r="M51" s="86">
        <f t="shared" si="12"/>
        <v>-19.231807256853632</v>
      </c>
      <c r="N51" s="86">
        <f t="shared" si="12"/>
        <v>-19.603452994044655</v>
      </c>
      <c r="O51" s="86">
        <f t="shared" si="12"/>
        <v>-20.009302236733152</v>
      </c>
      <c r="P51" s="86">
        <f t="shared" si="12"/>
        <v>-20.359879820363588</v>
      </c>
      <c r="Q51" s="86">
        <f t="shared" si="12"/>
        <v>-21.481140337794422</v>
      </c>
      <c r="R51" s="86">
        <f t="shared" si="12"/>
        <v>-21.25578829195539</v>
      </c>
      <c r="S51" s="86">
        <f t="shared" si="12"/>
        <v>-21.027564838125592</v>
      </c>
      <c r="T51" s="86">
        <f t="shared" si="12"/>
        <v>-20.771770332887161</v>
      </c>
      <c r="U51" s="86">
        <f t="shared" si="12"/>
        <v>-20.511741370070617</v>
      </c>
      <c r="V51" s="86">
        <f t="shared" si="12"/>
        <v>-20.908045761182553</v>
      </c>
      <c r="W51" s="86">
        <f t="shared" si="12"/>
        <v>-22.256024812960199</v>
      </c>
      <c r="X51" s="86">
        <f t="shared" si="12"/>
        <v>0</v>
      </c>
      <c r="Y51" s="86">
        <f t="shared" si="12"/>
        <v>0</v>
      </c>
      <c r="AA51" s="355">
        <f t="shared" si="8"/>
        <v>-350.67313685807085</v>
      </c>
      <c r="AB51" s="356">
        <f t="shared" si="2"/>
        <v>-175.33656842903542</v>
      </c>
    </row>
    <row r="52" spans="1:28">
      <c r="A52" s="4" t="s">
        <v>27</v>
      </c>
      <c r="C52" s="114">
        <v>0.35</v>
      </c>
      <c r="D52" s="85"/>
      <c r="E52" s="85">
        <f>((E49+E51)*-$C$52)+E56</f>
        <v>-1617.2461297368241</v>
      </c>
      <c r="F52" s="85">
        <f t="shared" ref="F52:Y52" si="13">((F49+F51)*-$C$52)+F56</f>
        <v>-106.80544361331489</v>
      </c>
      <c r="G52" s="85">
        <f t="shared" si="13"/>
        <v>-112.9872369927641</v>
      </c>
      <c r="H52" s="85">
        <f t="shared" si="13"/>
        <v>-117.01863564489202</v>
      </c>
      <c r="I52" s="85">
        <f t="shared" si="13"/>
        <v>-118.64105463700369</v>
      </c>
      <c r="J52" s="85">
        <f t="shared" si="13"/>
        <v>-123.59431900549565</v>
      </c>
      <c r="K52" s="85">
        <f t="shared" si="13"/>
        <v>-119.39443737001972</v>
      </c>
      <c r="L52" s="85">
        <f t="shared" si="13"/>
        <v>-121.21538779042334</v>
      </c>
      <c r="M52" s="85">
        <f t="shared" si="13"/>
        <v>-127.89151825807663</v>
      </c>
      <c r="N52" s="85">
        <f t="shared" si="13"/>
        <v>-130.36296241039693</v>
      </c>
      <c r="O52" s="85">
        <f t="shared" si="13"/>
        <v>-133.06185987427546</v>
      </c>
      <c r="P52" s="85">
        <f t="shared" si="13"/>
        <v>-135.39320080541785</v>
      </c>
      <c r="Q52" s="85">
        <f t="shared" si="13"/>
        <v>-142.84958324633288</v>
      </c>
      <c r="R52" s="85">
        <f t="shared" si="13"/>
        <v>-141.35099214150333</v>
      </c>
      <c r="S52" s="85">
        <f t="shared" si="13"/>
        <v>-139.83330617353516</v>
      </c>
      <c r="T52" s="85">
        <f t="shared" si="13"/>
        <v>-138.13227271369959</v>
      </c>
      <c r="U52" s="85">
        <f t="shared" si="13"/>
        <v>-136.40308011096957</v>
      </c>
      <c r="V52" s="85">
        <f t="shared" si="13"/>
        <v>-139.03850431186396</v>
      </c>
      <c r="W52" s="85">
        <f t="shared" si="13"/>
        <v>-148.00256500618531</v>
      </c>
      <c r="X52" s="85">
        <f t="shared" si="13"/>
        <v>0</v>
      </c>
      <c r="Y52" s="85">
        <f t="shared" si="13"/>
        <v>0</v>
      </c>
      <c r="AA52" s="355">
        <f t="shared" si="8"/>
        <v>-2331.9763601061704</v>
      </c>
      <c r="AB52" s="356">
        <f t="shared" si="2"/>
        <v>-1165.9881800530852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3003.4570980826734</v>
      </c>
      <c r="F54" s="89">
        <f t="shared" si="14"/>
        <v>198.35296671044199</v>
      </c>
      <c r="G54" s="89">
        <f t="shared" si="14"/>
        <v>209.83344012941905</v>
      </c>
      <c r="H54" s="89">
        <f t="shared" si="14"/>
        <v>217.32032334051377</v>
      </c>
      <c r="I54" s="89">
        <f t="shared" si="14"/>
        <v>220.33338718300686</v>
      </c>
      <c r="J54" s="89">
        <f t="shared" si="14"/>
        <v>229.53230672449195</v>
      </c>
      <c r="K54" s="89">
        <f t="shared" si="14"/>
        <v>221.73252654432235</v>
      </c>
      <c r="L54" s="89">
        <f t="shared" si="14"/>
        <v>225.11429161078621</v>
      </c>
      <c r="M54" s="89">
        <f t="shared" si="14"/>
        <v>237.51281962214233</v>
      </c>
      <c r="N54" s="89">
        <f t="shared" si="14"/>
        <v>242.1026444764515</v>
      </c>
      <c r="O54" s="89">
        <f t="shared" si="14"/>
        <v>247.11488262365441</v>
      </c>
      <c r="P54" s="89">
        <f t="shared" si="14"/>
        <v>251.44451578149028</v>
      </c>
      <c r="Q54" s="89">
        <f t="shared" si="14"/>
        <v>265.29208317176108</v>
      </c>
      <c r="R54" s="89">
        <f t="shared" si="14"/>
        <v>262.50898540564901</v>
      </c>
      <c r="S54" s="89">
        <f t="shared" si="14"/>
        <v>259.69042575085103</v>
      </c>
      <c r="T54" s="89">
        <f t="shared" si="14"/>
        <v>256.53136361115645</v>
      </c>
      <c r="U54" s="89">
        <f t="shared" si="14"/>
        <v>253.3200059203721</v>
      </c>
      <c r="V54" s="89">
        <f t="shared" si="14"/>
        <v>258.21436515060452</v>
      </c>
      <c r="W54" s="89">
        <f t="shared" si="14"/>
        <v>274.86190644005842</v>
      </c>
      <c r="X54" s="89">
        <f t="shared" si="14"/>
        <v>0</v>
      </c>
      <c r="Y54" s="89">
        <f t="shared" si="14"/>
        <v>0</v>
      </c>
      <c r="AA54" s="355">
        <f t="shared" si="8"/>
        <v>4330.8132401971734</v>
      </c>
      <c r="AB54" s="356">
        <f t="shared" si="2"/>
        <v>2165.4066200985867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v>0</v>
      </c>
      <c r="F56" s="169">
        <v>0</v>
      </c>
      <c r="G56" s="169">
        <v>0</v>
      </c>
      <c r="H56" s="169">
        <v>0</v>
      </c>
      <c r="I56" s="169">
        <v>0</v>
      </c>
      <c r="J56" s="169">
        <v>0</v>
      </c>
      <c r="K56" s="169">
        <v>0</v>
      </c>
      <c r="L56" s="169">
        <v>0</v>
      </c>
      <c r="M56" s="169">
        <v>0</v>
      </c>
      <c r="N56" s="169">
        <v>0</v>
      </c>
      <c r="O56" s="169">
        <v>0</v>
      </c>
      <c r="P56" s="169">
        <v>0</v>
      </c>
      <c r="Q56" s="169">
        <v>0</v>
      </c>
      <c r="R56" s="169">
        <v>0</v>
      </c>
      <c r="S56" s="169">
        <v>0</v>
      </c>
      <c r="T56" s="169">
        <v>0</v>
      </c>
      <c r="U56" s="169">
        <v>0</v>
      </c>
      <c r="V56" s="169">
        <v>0</v>
      </c>
      <c r="W56" s="169">
        <v>0</v>
      </c>
      <c r="X56" s="169">
        <v>0</v>
      </c>
      <c r="Y56" s="169">
        <v>0</v>
      </c>
      <c r="AA56" s="355">
        <f t="shared" si="8"/>
        <v>0</v>
      </c>
      <c r="AB56" s="356">
        <f t="shared" si="2"/>
        <v>0</v>
      </c>
    </row>
    <row r="57" spans="1:28" outlineLevel="1">
      <c r="A57" s="12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327">
        <v>0.5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4863.8981345468392</v>
      </c>
      <c r="F64" s="16">
        <f t="shared" si="16"/>
        <v>484.2193792881651</v>
      </c>
      <c r="G64" s="20">
        <f t="shared" si="16"/>
        <v>502.81123907598226</v>
      </c>
      <c r="H64" s="16">
        <f t="shared" si="16"/>
        <v>514.93574630042713</v>
      </c>
      <c r="I64" s="16">
        <f t="shared" si="16"/>
        <v>519.81520191580057</v>
      </c>
      <c r="J64" s="16">
        <f t="shared" si="16"/>
        <v>534.71223761051328</v>
      </c>
      <c r="K64" s="16">
        <f t="shared" si="16"/>
        <v>522.08101464667584</v>
      </c>
      <c r="L64" s="16">
        <f t="shared" si="16"/>
        <v>527.55755726443113</v>
      </c>
      <c r="M64" s="16">
        <f t="shared" si="16"/>
        <v>547.63614513707262</v>
      </c>
      <c r="N64" s="16">
        <f t="shared" si="16"/>
        <v>555.06905988089306</v>
      </c>
      <c r="O64" s="16">
        <f t="shared" si="16"/>
        <v>563.18604473466303</v>
      </c>
      <c r="P64" s="16">
        <f t="shared" si="16"/>
        <v>570.1975964072717</v>
      </c>
      <c r="Q64" s="16">
        <f t="shared" si="16"/>
        <v>592.6228067558884</v>
      </c>
      <c r="R64" s="16">
        <f t="shared" si="16"/>
        <v>588.11576583910778</v>
      </c>
      <c r="S64" s="16">
        <f t="shared" si="16"/>
        <v>583.55129676251181</v>
      </c>
      <c r="T64" s="16">
        <f t="shared" si="16"/>
        <v>578.43540665774321</v>
      </c>
      <c r="U64" s="16">
        <f t="shared" si="16"/>
        <v>573.2348274014123</v>
      </c>
      <c r="V64" s="16">
        <f t="shared" si="16"/>
        <v>581.16091522365105</v>
      </c>
      <c r="W64" s="16">
        <f t="shared" si="16"/>
        <v>608.12049625920395</v>
      </c>
      <c r="X64" s="16">
        <f t="shared" si="16"/>
        <v>0</v>
      </c>
      <c r="Y64" s="16">
        <f t="shared" si="16"/>
        <v>0</v>
      </c>
      <c r="AA64" s="355">
        <f t="shared" si="8"/>
        <v>9947.4627371614151</v>
      </c>
      <c r="AB64" s="356">
        <f t="shared" si="2"/>
        <v>4973.7313685807076</v>
      </c>
    </row>
    <row r="65" spans="1:28" outlineLevel="1">
      <c r="A65" s="12" t="s">
        <v>29</v>
      </c>
      <c r="D65" s="16"/>
      <c r="E65" s="121">
        <v>0</v>
      </c>
      <c r="F65" s="121">
        <v>0</v>
      </c>
      <c r="G65" s="121">
        <v>0</v>
      </c>
      <c r="H65" s="121">
        <v>0</v>
      </c>
      <c r="I65" s="121">
        <v>0</v>
      </c>
      <c r="J65" s="121">
        <v>0</v>
      </c>
      <c r="K65" s="121">
        <v>0</v>
      </c>
      <c r="L65" s="121">
        <v>0</v>
      </c>
      <c r="M65" s="121">
        <v>0</v>
      </c>
      <c r="N65" s="121">
        <v>0</v>
      </c>
      <c r="O65" s="121">
        <v>0</v>
      </c>
      <c r="P65" s="121">
        <v>0</v>
      </c>
      <c r="Q65" s="121">
        <v>0</v>
      </c>
      <c r="R65" s="121">
        <v>0</v>
      </c>
      <c r="S65" s="121">
        <v>0</v>
      </c>
      <c r="T65" s="121">
        <v>0</v>
      </c>
      <c r="U65" s="121">
        <v>0</v>
      </c>
      <c r="V65" s="121">
        <v>0</v>
      </c>
      <c r="W65" s="121">
        <v>0</v>
      </c>
      <c r="X65" s="121">
        <v>0</v>
      </c>
      <c r="Y65" s="121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328">
        <v>0</v>
      </c>
      <c r="F66" s="328">
        <v>0</v>
      </c>
      <c r="G66" s="328">
        <v>0</v>
      </c>
      <c r="H66" s="328">
        <v>0</v>
      </c>
      <c r="I66" s="328">
        <v>0</v>
      </c>
      <c r="J66" s="328">
        <v>0</v>
      </c>
      <c r="K66" s="328">
        <v>0</v>
      </c>
      <c r="L66" s="328">
        <v>0</v>
      </c>
      <c r="M66" s="328">
        <v>0</v>
      </c>
      <c r="N66" s="328">
        <v>0</v>
      </c>
      <c r="O66" s="328">
        <v>0</v>
      </c>
      <c r="P66" s="328">
        <v>0</v>
      </c>
      <c r="Q66" s="328">
        <v>0</v>
      </c>
      <c r="R66" s="328">
        <v>0</v>
      </c>
      <c r="S66" s="328">
        <v>0</v>
      </c>
      <c r="T66" s="328">
        <v>0</v>
      </c>
      <c r="U66" s="328">
        <v>0</v>
      </c>
      <c r="V66" s="328">
        <v>0</v>
      </c>
      <c r="W66" s="328">
        <v>0</v>
      </c>
      <c r="X66" s="328">
        <v>0</v>
      </c>
      <c r="Y66" s="328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12"/>
      <c r="D67" s="87"/>
      <c r="E67" s="122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7">SUM(E64:E66)</f>
        <v>4863.8981345468392</v>
      </c>
      <c r="F69" s="91">
        <f t="shared" si="17"/>
        <v>484.2193792881651</v>
      </c>
      <c r="G69" s="91">
        <f t="shared" si="17"/>
        <v>502.81123907598226</v>
      </c>
      <c r="H69" s="91">
        <f t="shared" si="17"/>
        <v>514.93574630042713</v>
      </c>
      <c r="I69" s="91">
        <f t="shared" si="17"/>
        <v>519.81520191580057</v>
      </c>
      <c r="J69" s="91">
        <f t="shared" si="17"/>
        <v>534.71223761051328</v>
      </c>
      <c r="K69" s="91">
        <f t="shared" si="17"/>
        <v>522.08101464667584</v>
      </c>
      <c r="L69" s="91">
        <f t="shared" si="17"/>
        <v>527.55755726443113</v>
      </c>
      <c r="M69" s="91">
        <f t="shared" si="17"/>
        <v>547.63614513707262</v>
      </c>
      <c r="N69" s="91">
        <f t="shared" si="17"/>
        <v>555.06905988089306</v>
      </c>
      <c r="O69" s="91">
        <f t="shared" si="17"/>
        <v>563.18604473466303</v>
      </c>
      <c r="P69" s="91">
        <f t="shared" si="17"/>
        <v>570.1975964072717</v>
      </c>
      <c r="Q69" s="91">
        <f t="shared" si="17"/>
        <v>592.6228067558884</v>
      </c>
      <c r="R69" s="91">
        <f t="shared" si="17"/>
        <v>588.11576583910778</v>
      </c>
      <c r="S69" s="91">
        <f t="shared" si="17"/>
        <v>583.55129676251181</v>
      </c>
      <c r="T69" s="91">
        <f t="shared" si="17"/>
        <v>578.43540665774321</v>
      </c>
      <c r="U69" s="91">
        <f t="shared" si="17"/>
        <v>573.2348274014123</v>
      </c>
      <c r="V69" s="91">
        <f t="shared" si="17"/>
        <v>581.16091522365105</v>
      </c>
      <c r="W69" s="91">
        <f t="shared" si="17"/>
        <v>608.12049625920395</v>
      </c>
      <c r="X69" s="91">
        <f t="shared" si="17"/>
        <v>0</v>
      </c>
      <c r="Y69" s="91">
        <f t="shared" si="17"/>
        <v>0</v>
      </c>
      <c r="AA69" s="355">
        <f t="shared" si="8"/>
        <v>9947.4627371614151</v>
      </c>
      <c r="AB69" s="356">
        <f t="shared" si="2"/>
        <v>4973.7313685807076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8">F89</f>
        <v>187.90947502806998</v>
      </c>
      <c r="G71" s="94">
        <f t="shared" si="18"/>
        <v>404.67212122270581</v>
      </c>
      <c r="H71" s="94">
        <f t="shared" si="18"/>
        <v>161.23552914164799</v>
      </c>
      <c r="I71" s="94">
        <f t="shared" si="18"/>
        <v>16.089756528143106</v>
      </c>
      <c r="J71" s="94">
        <f t="shared" si="18"/>
        <v>10.391640374915493</v>
      </c>
      <c r="K71" s="94">
        <f t="shared" si="18"/>
        <v>-92.236452471885102</v>
      </c>
      <c r="L71" s="94">
        <f t="shared" si="18"/>
        <v>-201.79076565364488</v>
      </c>
      <c r="M71" s="94">
        <f t="shared" si="18"/>
        <v>-209.47082551493025</v>
      </c>
      <c r="N71" s="94">
        <f t="shared" si="18"/>
        <v>-212.31391540444159</v>
      </c>
      <c r="O71" s="94">
        <f t="shared" si="18"/>
        <v>-215.41866211100859</v>
      </c>
      <c r="P71" s="94">
        <f t="shared" si="18"/>
        <v>-218.10058062578139</v>
      </c>
      <c r="Q71" s="94">
        <f t="shared" si="18"/>
        <v>-226.67822358412729</v>
      </c>
      <c r="R71" s="94">
        <f t="shared" si="18"/>
        <v>-224.95428043345873</v>
      </c>
      <c r="S71" s="94">
        <f t="shared" si="18"/>
        <v>-223.20837101166074</v>
      </c>
      <c r="T71" s="94">
        <f t="shared" si="18"/>
        <v>-221.25154304658679</v>
      </c>
      <c r="U71" s="94">
        <f t="shared" si="18"/>
        <v>-219.2623214810402</v>
      </c>
      <c r="V71" s="94">
        <f t="shared" si="18"/>
        <v>-222.29405007304649</v>
      </c>
      <c r="W71" s="94">
        <f t="shared" si="18"/>
        <v>-232.60608981914552</v>
      </c>
      <c r="X71" s="94">
        <f t="shared" si="18"/>
        <v>0</v>
      </c>
      <c r="Y71" s="94">
        <f t="shared" si="18"/>
        <v>0</v>
      </c>
      <c r="AA71" s="355">
        <f t="shared" si="8"/>
        <v>-1939.287558935275</v>
      </c>
      <c r="AB71" s="356">
        <f t="shared" si="2"/>
        <v>-969.6437794676375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19">E69+E71</f>
        <v>4863.8981345468392</v>
      </c>
      <c r="F73" s="24">
        <f t="shared" si="19"/>
        <v>672.12885431623511</v>
      </c>
      <c r="G73" s="24">
        <f t="shared" si="19"/>
        <v>907.48336029868801</v>
      </c>
      <c r="H73" s="24">
        <f t="shared" si="19"/>
        <v>676.17127544207506</v>
      </c>
      <c r="I73" s="24">
        <f t="shared" si="19"/>
        <v>535.90495844394366</v>
      </c>
      <c r="J73" s="24">
        <f t="shared" si="19"/>
        <v>545.10387798542877</v>
      </c>
      <c r="K73" s="24">
        <f t="shared" si="19"/>
        <v>429.84456217479072</v>
      </c>
      <c r="L73" s="24">
        <f t="shared" si="19"/>
        <v>325.76679161078624</v>
      </c>
      <c r="M73" s="24">
        <f t="shared" si="19"/>
        <v>338.16531962214236</v>
      </c>
      <c r="N73" s="24">
        <f t="shared" si="19"/>
        <v>342.75514447645151</v>
      </c>
      <c r="O73" s="24">
        <f t="shared" si="19"/>
        <v>347.76738262365444</v>
      </c>
      <c r="P73" s="24">
        <f t="shared" si="19"/>
        <v>352.09701578149031</v>
      </c>
      <c r="Q73" s="24">
        <f t="shared" si="19"/>
        <v>365.94458317176111</v>
      </c>
      <c r="R73" s="24">
        <f t="shared" si="19"/>
        <v>363.16148540564905</v>
      </c>
      <c r="S73" s="24">
        <f t="shared" si="19"/>
        <v>360.34292575085107</v>
      </c>
      <c r="T73" s="24">
        <f t="shared" si="19"/>
        <v>357.18386361115643</v>
      </c>
      <c r="U73" s="24">
        <f t="shared" si="19"/>
        <v>353.9725059203721</v>
      </c>
      <c r="V73" s="24">
        <f t="shared" si="19"/>
        <v>358.86686515060455</v>
      </c>
      <c r="W73" s="24">
        <f t="shared" si="19"/>
        <v>375.51440644005845</v>
      </c>
      <c r="X73" s="24">
        <f t="shared" si="19"/>
        <v>0</v>
      </c>
      <c r="Y73" s="24">
        <f t="shared" si="19"/>
        <v>0</v>
      </c>
      <c r="AA73" s="355">
        <f t="shared" si="8"/>
        <v>8008.1751782261372</v>
      </c>
      <c r="AB73" s="356">
        <f t="shared" si="2"/>
        <v>4004.0875891130686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"/>
      <c r="C76" s="115">
        <f>+C$60</f>
        <v>0.5</v>
      </c>
      <c r="D76" s="24"/>
      <c r="E76" s="24">
        <f t="shared" ref="E76:Y76" si="21">$C$76*E54</f>
        <v>1501.7285490413367</v>
      </c>
      <c r="F76" s="24">
        <f t="shared" si="21"/>
        <v>99.176483355220995</v>
      </c>
      <c r="G76" s="91">
        <f t="shared" si="21"/>
        <v>104.91672006470952</v>
      </c>
      <c r="H76" s="24">
        <f t="shared" si="21"/>
        <v>108.66016167025688</v>
      </c>
      <c r="I76" s="24">
        <f t="shared" si="21"/>
        <v>110.16669359150343</v>
      </c>
      <c r="J76" s="24">
        <f t="shared" si="21"/>
        <v>114.76615336224597</v>
      </c>
      <c r="K76" s="24">
        <f t="shared" si="21"/>
        <v>110.86626327216118</v>
      </c>
      <c r="L76" s="24">
        <f t="shared" si="21"/>
        <v>112.55714580539311</v>
      </c>
      <c r="M76" s="24">
        <f t="shared" si="21"/>
        <v>118.75640981107117</v>
      </c>
      <c r="N76" s="24">
        <f t="shared" si="21"/>
        <v>121.05132223822575</v>
      </c>
      <c r="O76" s="24">
        <f t="shared" si="21"/>
        <v>123.5574413118272</v>
      </c>
      <c r="P76" s="24">
        <f t="shared" si="21"/>
        <v>125.72225789074514</v>
      </c>
      <c r="Q76" s="24">
        <f t="shared" si="21"/>
        <v>132.64604158588054</v>
      </c>
      <c r="R76" s="24">
        <f t="shared" si="21"/>
        <v>131.25449270282451</v>
      </c>
      <c r="S76" s="24">
        <f t="shared" si="21"/>
        <v>129.84521287542552</v>
      </c>
      <c r="T76" s="24">
        <f t="shared" si="21"/>
        <v>128.26568180557823</v>
      </c>
      <c r="U76" s="24">
        <f t="shared" si="21"/>
        <v>126.66000296018605</v>
      </c>
      <c r="V76" s="24">
        <f t="shared" si="21"/>
        <v>129.10718257530226</v>
      </c>
      <c r="W76" s="24">
        <f t="shared" si="21"/>
        <v>137.43095322002921</v>
      </c>
      <c r="X76" s="24">
        <f t="shared" si="21"/>
        <v>0</v>
      </c>
      <c r="Y76" s="24">
        <f t="shared" si="21"/>
        <v>0</v>
      </c>
      <c r="AA76" s="355">
        <f t="shared" si="8"/>
        <v>2165.4066200985867</v>
      </c>
      <c r="AB76" s="356">
        <f>AA76</f>
        <v>2165.4066200985867</v>
      </c>
    </row>
    <row r="77" spans="1:28" outlineLevel="1">
      <c r="A77" s="13" t="s">
        <v>136</v>
      </c>
      <c r="B77" s="22"/>
      <c r="C77" s="115">
        <f>+C60</f>
        <v>0.5</v>
      </c>
      <c r="D77" s="24"/>
      <c r="E77" s="24">
        <f t="shared" ref="E77:Y77" si="22">$C$77*E73</f>
        <v>2431.9490672734196</v>
      </c>
      <c r="F77" s="24">
        <f t="shared" si="22"/>
        <v>336.06442715811755</v>
      </c>
      <c r="G77" s="91">
        <f t="shared" si="22"/>
        <v>453.74168014934401</v>
      </c>
      <c r="H77" s="24">
        <f t="shared" si="22"/>
        <v>338.08563772103753</v>
      </c>
      <c r="I77" s="24">
        <f t="shared" si="22"/>
        <v>267.95247922197183</v>
      </c>
      <c r="J77" s="24">
        <f t="shared" si="22"/>
        <v>272.55193899271438</v>
      </c>
      <c r="K77" s="24">
        <f t="shared" si="22"/>
        <v>214.92228108739536</v>
      </c>
      <c r="L77" s="24">
        <f t="shared" si="22"/>
        <v>162.88339580539312</v>
      </c>
      <c r="M77" s="24">
        <f t="shared" si="22"/>
        <v>169.08265981107118</v>
      </c>
      <c r="N77" s="24">
        <f t="shared" si="22"/>
        <v>171.37757223822575</v>
      </c>
      <c r="O77" s="24">
        <f t="shared" si="22"/>
        <v>173.88369131182722</v>
      </c>
      <c r="P77" s="24">
        <f t="shared" si="22"/>
        <v>176.04850789074516</v>
      </c>
      <c r="Q77" s="24">
        <f t="shared" si="22"/>
        <v>182.97229158588055</v>
      </c>
      <c r="R77" s="24">
        <f t="shared" si="22"/>
        <v>181.58074270282452</v>
      </c>
      <c r="S77" s="24">
        <f t="shared" si="22"/>
        <v>180.17146287542553</v>
      </c>
      <c r="T77" s="24">
        <f t="shared" si="22"/>
        <v>178.59193180557821</v>
      </c>
      <c r="U77" s="24">
        <f t="shared" si="22"/>
        <v>176.98625296018605</v>
      </c>
      <c r="V77" s="24">
        <f t="shared" si="22"/>
        <v>179.43343257530228</v>
      </c>
      <c r="W77" s="24">
        <f t="shared" si="22"/>
        <v>187.75720322002923</v>
      </c>
      <c r="X77" s="24">
        <f t="shared" si="22"/>
        <v>0</v>
      </c>
      <c r="Y77" s="24">
        <f t="shared" si="22"/>
        <v>0</v>
      </c>
      <c r="AA77" s="355">
        <f t="shared" si="8"/>
        <v>4004.0875891130686</v>
      </c>
      <c r="AB77" s="356">
        <f>AA77</f>
        <v>4004.0875891130686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0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0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0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0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0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0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0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0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3">G62</f>
        <v>2002</v>
      </c>
      <c r="H86" s="99">
        <f t="shared" si="23"/>
        <v>2003</v>
      </c>
      <c r="I86" s="99">
        <f t="shared" si="23"/>
        <v>2004</v>
      </c>
      <c r="J86" s="99">
        <f t="shared" si="23"/>
        <v>2005</v>
      </c>
      <c r="K86" s="99">
        <f t="shared" si="23"/>
        <v>2006</v>
      </c>
      <c r="L86" s="99">
        <f t="shared" si="23"/>
        <v>2007</v>
      </c>
      <c r="M86" s="99">
        <f t="shared" si="23"/>
        <v>2008</v>
      </c>
      <c r="N86" s="99">
        <f t="shared" si="23"/>
        <v>2009</v>
      </c>
      <c r="O86" s="99">
        <f t="shared" si="23"/>
        <v>2010</v>
      </c>
      <c r="P86" s="99">
        <f t="shared" si="23"/>
        <v>2011</v>
      </c>
      <c r="Q86" s="99">
        <f t="shared" si="23"/>
        <v>2012</v>
      </c>
      <c r="R86" s="99">
        <f t="shared" si="23"/>
        <v>2013</v>
      </c>
      <c r="S86" s="99">
        <f t="shared" si="23"/>
        <v>2014</v>
      </c>
      <c r="T86" s="99">
        <f t="shared" si="23"/>
        <v>2015</v>
      </c>
      <c r="U86" s="99">
        <f t="shared" si="23"/>
        <v>2016</v>
      </c>
      <c r="V86" s="99">
        <f t="shared" si="23"/>
        <v>2017</v>
      </c>
      <c r="W86" s="99">
        <f t="shared" si="23"/>
        <v>2018</v>
      </c>
      <c r="X86" s="99">
        <f t="shared" si="23"/>
        <v>2019</v>
      </c>
      <c r="Y86" s="99">
        <f t="shared" si="23"/>
        <v>2020</v>
      </c>
      <c r="AA86" s="355">
        <f t="shared" si="8"/>
        <v>40210</v>
      </c>
      <c r="AB86" s="356">
        <f t="shared" si="20"/>
        <v>20105</v>
      </c>
    </row>
    <row r="87" spans="1:30" s="128" customFormat="1">
      <c r="AA87" s="355">
        <f t="shared" si="8"/>
        <v>0</v>
      </c>
      <c r="AB87" s="356">
        <f t="shared" si="20"/>
        <v>0</v>
      </c>
    </row>
    <row r="88" spans="1:30" s="128" customFormat="1">
      <c r="A88" s="11" t="s">
        <v>31</v>
      </c>
      <c r="F88" s="129">
        <f>F69</f>
        <v>484.2193792881651</v>
      </c>
      <c r="G88" s="129">
        <f t="shared" ref="G88:Y88" si="24">G69</f>
        <v>502.81123907598226</v>
      </c>
      <c r="H88" s="129">
        <f t="shared" si="24"/>
        <v>514.93574630042713</v>
      </c>
      <c r="I88" s="129">
        <f t="shared" si="24"/>
        <v>519.81520191580057</v>
      </c>
      <c r="J88" s="129">
        <f t="shared" si="24"/>
        <v>534.71223761051328</v>
      </c>
      <c r="K88" s="129">
        <f t="shared" si="24"/>
        <v>522.08101464667584</v>
      </c>
      <c r="L88" s="129">
        <f t="shared" si="24"/>
        <v>527.55755726443113</v>
      </c>
      <c r="M88" s="129">
        <f t="shared" si="24"/>
        <v>547.63614513707262</v>
      </c>
      <c r="N88" s="129">
        <f t="shared" si="24"/>
        <v>555.06905988089306</v>
      </c>
      <c r="O88" s="129">
        <f t="shared" si="24"/>
        <v>563.18604473466303</v>
      </c>
      <c r="P88" s="129">
        <f t="shared" si="24"/>
        <v>570.1975964072717</v>
      </c>
      <c r="Q88" s="129">
        <f t="shared" si="24"/>
        <v>592.6228067558884</v>
      </c>
      <c r="R88" s="129">
        <f t="shared" si="24"/>
        <v>588.11576583910778</v>
      </c>
      <c r="S88" s="129">
        <f t="shared" si="24"/>
        <v>583.55129676251181</v>
      </c>
      <c r="T88" s="129">
        <f t="shared" si="24"/>
        <v>578.43540665774321</v>
      </c>
      <c r="U88" s="129">
        <f t="shared" si="24"/>
        <v>573.2348274014123</v>
      </c>
      <c r="V88" s="129">
        <f t="shared" si="24"/>
        <v>581.16091522365105</v>
      </c>
      <c r="W88" s="129">
        <f t="shared" si="24"/>
        <v>608.12049625920395</v>
      </c>
      <c r="X88" s="129">
        <f t="shared" si="24"/>
        <v>0</v>
      </c>
      <c r="Y88" s="129">
        <f t="shared" si="24"/>
        <v>0</v>
      </c>
      <c r="AA88" s="355">
        <f t="shared" si="8"/>
        <v>9947.4627371614151</v>
      </c>
      <c r="AB88" s="356">
        <f t="shared" si="20"/>
        <v>4973.7313685807076</v>
      </c>
    </row>
    <row r="89" spans="1:30" s="128" customFormat="1">
      <c r="A89" s="128" t="s">
        <v>42</v>
      </c>
      <c r="F89" s="100">
        <f>F126+F127</f>
        <v>187.90947502806998</v>
      </c>
      <c r="G89" s="100">
        <f t="shared" ref="G89:Y89" si="25">G126+G127</f>
        <v>404.67212122270581</v>
      </c>
      <c r="H89" s="100">
        <f t="shared" si="25"/>
        <v>161.23552914164799</v>
      </c>
      <c r="I89" s="100">
        <f t="shared" si="25"/>
        <v>16.089756528143106</v>
      </c>
      <c r="J89" s="100">
        <f t="shared" si="25"/>
        <v>10.391640374915493</v>
      </c>
      <c r="K89" s="100">
        <f t="shared" si="25"/>
        <v>-92.236452471885102</v>
      </c>
      <c r="L89" s="100">
        <f t="shared" si="25"/>
        <v>-201.79076565364488</v>
      </c>
      <c r="M89" s="100">
        <f t="shared" si="25"/>
        <v>-209.47082551493025</v>
      </c>
      <c r="N89" s="100">
        <f t="shared" si="25"/>
        <v>-212.31391540444159</v>
      </c>
      <c r="O89" s="100">
        <f t="shared" si="25"/>
        <v>-215.41866211100859</v>
      </c>
      <c r="P89" s="100">
        <f t="shared" si="25"/>
        <v>-218.10058062578139</v>
      </c>
      <c r="Q89" s="100">
        <f t="shared" si="25"/>
        <v>-226.67822358412729</v>
      </c>
      <c r="R89" s="100">
        <f t="shared" si="25"/>
        <v>-224.95428043345873</v>
      </c>
      <c r="S89" s="100">
        <f t="shared" si="25"/>
        <v>-223.20837101166074</v>
      </c>
      <c r="T89" s="100">
        <f t="shared" si="25"/>
        <v>-221.25154304658679</v>
      </c>
      <c r="U89" s="100">
        <f t="shared" si="25"/>
        <v>-219.2623214810402</v>
      </c>
      <c r="V89" s="100">
        <f t="shared" si="25"/>
        <v>-222.29405007304649</v>
      </c>
      <c r="W89" s="100">
        <f t="shared" si="25"/>
        <v>-232.60608981914552</v>
      </c>
      <c r="X89" s="100">
        <f t="shared" si="25"/>
        <v>0</v>
      </c>
      <c r="Y89" s="100">
        <f t="shared" si="25"/>
        <v>0</v>
      </c>
      <c r="AA89" s="355">
        <f t="shared" si="8"/>
        <v>-1939.287558935275</v>
      </c>
      <c r="AB89" s="356">
        <f t="shared" si="20"/>
        <v>-969.6437794676375</v>
      </c>
    </row>
    <row r="90" spans="1:30" s="128" customFormat="1">
      <c r="A90" s="128" t="s">
        <v>109</v>
      </c>
      <c r="F90" s="100">
        <f>F56</f>
        <v>0</v>
      </c>
      <c r="G90" s="100">
        <f t="shared" ref="G90:Y90" si="26">G56</f>
        <v>0</v>
      </c>
      <c r="H90" s="100">
        <f t="shared" si="26"/>
        <v>0</v>
      </c>
      <c r="I90" s="100">
        <f t="shared" si="26"/>
        <v>0</v>
      </c>
      <c r="J90" s="100">
        <f t="shared" si="26"/>
        <v>0</v>
      </c>
      <c r="K90" s="100">
        <f t="shared" si="26"/>
        <v>0</v>
      </c>
      <c r="L90" s="100">
        <f t="shared" si="26"/>
        <v>0</v>
      </c>
      <c r="M90" s="100">
        <f t="shared" si="26"/>
        <v>0</v>
      </c>
      <c r="N90" s="100">
        <f t="shared" si="26"/>
        <v>0</v>
      </c>
      <c r="O90" s="100">
        <f t="shared" si="26"/>
        <v>0</v>
      </c>
      <c r="P90" s="100">
        <f t="shared" si="26"/>
        <v>0</v>
      </c>
      <c r="Q90" s="100">
        <f t="shared" si="26"/>
        <v>0</v>
      </c>
      <c r="R90" s="100">
        <f t="shared" si="26"/>
        <v>0</v>
      </c>
      <c r="S90" s="100">
        <f t="shared" si="26"/>
        <v>0</v>
      </c>
      <c r="T90" s="100">
        <f t="shared" si="26"/>
        <v>0</v>
      </c>
      <c r="U90" s="100">
        <f t="shared" si="26"/>
        <v>0</v>
      </c>
      <c r="V90" s="100">
        <f t="shared" si="26"/>
        <v>0</v>
      </c>
      <c r="W90" s="100">
        <f t="shared" si="26"/>
        <v>0</v>
      </c>
      <c r="X90" s="100">
        <f t="shared" si="26"/>
        <v>0</v>
      </c>
      <c r="Y90" s="100">
        <f t="shared" si="26"/>
        <v>0</v>
      </c>
      <c r="AA90" s="355">
        <f t="shared" si="8"/>
        <v>0</v>
      </c>
      <c r="AB90" s="356">
        <f t="shared" si="20"/>
        <v>0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f>Y99</f>
        <v>4864.9639700736316</v>
      </c>
      <c r="X91" s="101">
        <v>0</v>
      </c>
      <c r="Y91" s="101">
        <v>0</v>
      </c>
      <c r="AA91" s="355">
        <f t="shared" si="8"/>
        <v>4864.9639700736316</v>
      </c>
      <c r="AB91" s="356">
        <f t="shared" si="20"/>
        <v>2432.4819850368158</v>
      </c>
    </row>
    <row r="92" spans="1:30" s="128" customFormat="1">
      <c r="A92" s="128" t="s">
        <v>44</v>
      </c>
      <c r="E92" s="329">
        <v>-5419.3665592707785</v>
      </c>
      <c r="F92" s="129">
        <f>SUM(F88:F91)</f>
        <v>672.12885431623511</v>
      </c>
      <c r="G92" s="129">
        <f t="shared" ref="G92:Y92" si="27">SUM(G88:G91)</f>
        <v>907.48336029868801</v>
      </c>
      <c r="H92" s="129">
        <f t="shared" si="27"/>
        <v>676.17127544207506</v>
      </c>
      <c r="I92" s="129">
        <f t="shared" si="27"/>
        <v>535.90495844394366</v>
      </c>
      <c r="J92" s="129">
        <f t="shared" si="27"/>
        <v>545.10387798542877</v>
      </c>
      <c r="K92" s="129">
        <f t="shared" si="27"/>
        <v>429.84456217479072</v>
      </c>
      <c r="L92" s="129">
        <f t="shared" si="27"/>
        <v>325.76679161078624</v>
      </c>
      <c r="M92" s="129">
        <f t="shared" si="27"/>
        <v>338.16531962214236</v>
      </c>
      <c r="N92" s="129">
        <f t="shared" si="27"/>
        <v>342.75514447645151</v>
      </c>
      <c r="O92" s="129">
        <f t="shared" si="27"/>
        <v>347.76738262365444</v>
      </c>
      <c r="P92" s="129">
        <f t="shared" si="27"/>
        <v>352.09701578149031</v>
      </c>
      <c r="Q92" s="129">
        <f t="shared" si="27"/>
        <v>365.94458317176111</v>
      </c>
      <c r="R92" s="129">
        <f t="shared" si="27"/>
        <v>363.16148540564905</v>
      </c>
      <c r="S92" s="129">
        <f t="shared" si="27"/>
        <v>360.34292575085107</v>
      </c>
      <c r="T92" s="129">
        <f t="shared" si="27"/>
        <v>357.18386361115643</v>
      </c>
      <c r="U92" s="129">
        <f t="shared" si="27"/>
        <v>353.9725059203721</v>
      </c>
      <c r="V92" s="129">
        <f t="shared" si="27"/>
        <v>358.86686515060455</v>
      </c>
      <c r="W92" s="129">
        <f t="shared" si="27"/>
        <v>5240.4783765136899</v>
      </c>
      <c r="X92" s="129">
        <f t="shared" si="27"/>
        <v>0</v>
      </c>
      <c r="Y92" s="129">
        <f t="shared" si="27"/>
        <v>0</v>
      </c>
      <c r="AA92" s="355">
        <f t="shared" si="8"/>
        <v>12873.139148299768</v>
      </c>
      <c r="AB92" s="356">
        <f t="shared" si="20"/>
        <v>6436.5695741498839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0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0"/>
        <v>0</v>
      </c>
    </row>
    <row r="95" spans="1:30" s="128" customFormat="1" ht="13.5" thickBot="1">
      <c r="A95" s="128" t="s">
        <v>46</v>
      </c>
      <c r="E95" s="174">
        <f>NPV(C96,E92:Y92)</f>
        <v>2.5031964268979676E-12</v>
      </c>
      <c r="R95" s="133"/>
      <c r="U95" s="134" t="s">
        <v>47</v>
      </c>
      <c r="V95" s="135"/>
      <c r="W95" s="135"/>
      <c r="X95" s="135"/>
      <c r="Y95" s="136">
        <f>W88</f>
        <v>608.12049625920395</v>
      </c>
      <c r="AA95" s="355">
        <f t="shared" si="8"/>
        <v>608.12049625920395</v>
      </c>
      <c r="AB95" s="356">
        <f t="shared" si="20"/>
        <v>304.06024812960197</v>
      </c>
    </row>
    <row r="96" spans="1:30" s="128" customFormat="1" ht="13.5" thickBot="1">
      <c r="A96" s="128" t="s">
        <v>48</v>
      </c>
      <c r="C96" s="116">
        <v>0.09</v>
      </c>
      <c r="R96" s="129"/>
      <c r="U96" s="137" t="s">
        <v>49</v>
      </c>
      <c r="V96" s="135"/>
      <c r="W96" s="135"/>
      <c r="X96" s="135"/>
      <c r="Y96" s="119">
        <v>1</v>
      </c>
      <c r="AA96" s="355">
        <f t="shared" si="8"/>
        <v>1</v>
      </c>
      <c r="AB96" s="356">
        <f t="shared" si="20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608.12049625920395</v>
      </c>
      <c r="AA97" s="355">
        <f t="shared" si="8"/>
        <v>608.12049625920395</v>
      </c>
      <c r="AB97" s="356">
        <f t="shared" si="20"/>
        <v>304.06024812960197</v>
      </c>
    </row>
    <row r="98" spans="1:28" s="128" customFormat="1">
      <c r="U98" s="137" t="s">
        <v>51</v>
      </c>
      <c r="V98" s="135"/>
      <c r="W98" s="135"/>
      <c r="X98" s="135"/>
      <c r="Y98" s="120">
        <v>8</v>
      </c>
      <c r="AA98" s="355">
        <f t="shared" si="8"/>
        <v>8</v>
      </c>
      <c r="AB98" s="356">
        <f t="shared" si="20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4864.9639700736316</v>
      </c>
      <c r="AA99" s="355">
        <f t="shared" si="8"/>
        <v>4864.9639700736316</v>
      </c>
      <c r="AB99" s="356">
        <f t="shared" si="20"/>
        <v>2432.4819850368158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0"/>
        <v>0</v>
      </c>
    </row>
    <row r="101" spans="1:28" s="128" customFormat="1">
      <c r="A101" s="128" t="s">
        <v>53</v>
      </c>
      <c r="D101" s="261">
        <v>0</v>
      </c>
      <c r="AA101" s="355">
        <f t="shared" si="8"/>
        <v>0</v>
      </c>
      <c r="AB101" s="356">
        <f t="shared" si="20"/>
        <v>0</v>
      </c>
    </row>
    <row r="102" spans="1:28" s="128" customFormat="1" ht="15">
      <c r="A102" s="128" t="s">
        <v>54</v>
      </c>
      <c r="D102" s="101">
        <f>-E92</f>
        <v>5419.3665592707785</v>
      </c>
      <c r="AA102" s="355">
        <f t="shared" si="8"/>
        <v>0</v>
      </c>
      <c r="AB102" s="356">
        <f t="shared" si="20"/>
        <v>0</v>
      </c>
    </row>
    <row r="103" spans="1:28" s="128" customFormat="1">
      <c r="D103" s="142">
        <f>D101+D102</f>
        <v>5419.3665592707785</v>
      </c>
      <c r="AA103" s="355">
        <f t="shared" si="8"/>
        <v>0</v>
      </c>
      <c r="AB103" s="356">
        <f t="shared" si="20"/>
        <v>0</v>
      </c>
    </row>
    <row r="104" spans="1:28" s="128" customFormat="1">
      <c r="A104" s="128" t="s">
        <v>55</v>
      </c>
      <c r="D104" s="117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28" customFormat="1">
      <c r="A105" s="128" t="s">
        <v>56</v>
      </c>
      <c r="D105" s="142">
        <f>D103*D104</f>
        <v>4877.429903343701</v>
      </c>
      <c r="AA105" s="355">
        <f t="shared" si="28"/>
        <v>0</v>
      </c>
      <c r="AB105" s="356">
        <f t="shared" si="20"/>
        <v>0</v>
      </c>
    </row>
    <row r="106" spans="1:28" s="128" customFormat="1">
      <c r="AA106" s="355">
        <f t="shared" si="28"/>
        <v>0</v>
      </c>
      <c r="AB106" s="356">
        <f t="shared" si="20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29">G107+1</f>
        <v>2003</v>
      </c>
      <c r="I107" s="99">
        <f t="shared" si="29"/>
        <v>2004</v>
      </c>
      <c r="J107" s="99">
        <f t="shared" si="29"/>
        <v>2005</v>
      </c>
      <c r="K107" s="99">
        <f t="shared" si="29"/>
        <v>2006</v>
      </c>
      <c r="L107" s="99">
        <f t="shared" si="29"/>
        <v>2007</v>
      </c>
      <c r="M107" s="99">
        <f t="shared" si="29"/>
        <v>2008</v>
      </c>
      <c r="N107" s="99">
        <f t="shared" si="29"/>
        <v>2009</v>
      </c>
      <c r="O107" s="99">
        <f t="shared" si="29"/>
        <v>2010</v>
      </c>
      <c r="P107" s="99">
        <f t="shared" si="29"/>
        <v>2011</v>
      </c>
      <c r="Q107" s="99">
        <f t="shared" si="29"/>
        <v>2012</v>
      </c>
      <c r="R107" s="99">
        <f t="shared" si="29"/>
        <v>2013</v>
      </c>
      <c r="S107" s="99">
        <f t="shared" si="29"/>
        <v>2014</v>
      </c>
      <c r="T107" s="99">
        <f t="shared" si="29"/>
        <v>2015</v>
      </c>
      <c r="U107" s="99">
        <f t="shared" si="29"/>
        <v>2016</v>
      </c>
      <c r="V107" s="99">
        <f t="shared" si="29"/>
        <v>2017</v>
      </c>
      <c r="W107" s="99">
        <f t="shared" si="29"/>
        <v>2018</v>
      </c>
      <c r="X107" s="99">
        <f t="shared" si="29"/>
        <v>2019</v>
      </c>
      <c r="Y107" s="99">
        <f t="shared" si="29"/>
        <v>2020</v>
      </c>
      <c r="AA107" s="355">
        <f t="shared" si="28"/>
        <v>40210</v>
      </c>
      <c r="AB107" s="356">
        <f t="shared" si="20"/>
        <v>20105</v>
      </c>
    </row>
    <row r="108" spans="1:28" s="128" customFormat="1">
      <c r="A108" s="103" t="s">
        <v>57</v>
      </c>
      <c r="AA108" s="355">
        <f t="shared" si="28"/>
        <v>0</v>
      </c>
      <c r="AB108" s="356">
        <f t="shared" si="20"/>
        <v>0</v>
      </c>
    </row>
    <row r="109" spans="1:28" s="128" customFormat="1">
      <c r="A109" s="128" t="s">
        <v>58</v>
      </c>
      <c r="B109" s="330">
        <v>30</v>
      </c>
      <c r="C109" s="128" t="s">
        <v>0</v>
      </c>
      <c r="D109" s="143">
        <f>D105</f>
        <v>4877.429903343701</v>
      </c>
      <c r="F109" s="132">
        <f>ROUND(D109/$B$109,0)</f>
        <v>163</v>
      </c>
      <c r="G109" s="132">
        <f>F109</f>
        <v>163</v>
      </c>
      <c r="H109" s="132">
        <f t="shared" ref="H109:W110" si="30">G109</f>
        <v>163</v>
      </c>
      <c r="I109" s="132">
        <f t="shared" si="30"/>
        <v>163</v>
      </c>
      <c r="J109" s="132">
        <f t="shared" si="30"/>
        <v>163</v>
      </c>
      <c r="K109" s="132">
        <f t="shared" si="30"/>
        <v>163</v>
      </c>
      <c r="L109" s="132">
        <f t="shared" si="30"/>
        <v>163</v>
      </c>
      <c r="M109" s="132">
        <f t="shared" si="30"/>
        <v>163</v>
      </c>
      <c r="N109" s="132">
        <f t="shared" si="30"/>
        <v>163</v>
      </c>
      <c r="O109" s="132">
        <f t="shared" si="30"/>
        <v>163</v>
      </c>
      <c r="P109" s="132">
        <f t="shared" si="30"/>
        <v>163</v>
      </c>
      <c r="Q109" s="132">
        <f t="shared" si="30"/>
        <v>163</v>
      </c>
      <c r="R109" s="132">
        <f t="shared" si="30"/>
        <v>163</v>
      </c>
      <c r="S109" s="132">
        <f t="shared" si="30"/>
        <v>163</v>
      </c>
      <c r="T109" s="132">
        <f t="shared" si="30"/>
        <v>163</v>
      </c>
      <c r="U109" s="132">
        <f t="shared" si="30"/>
        <v>163</v>
      </c>
      <c r="V109" s="132">
        <f t="shared" si="30"/>
        <v>163</v>
      </c>
      <c r="W109" s="132">
        <f t="shared" si="30"/>
        <v>163</v>
      </c>
      <c r="X109" s="360"/>
      <c r="Y109" s="360"/>
      <c r="AA109" s="355">
        <f t="shared" si="28"/>
        <v>2934</v>
      </c>
      <c r="AB109" s="356">
        <f t="shared" si="20"/>
        <v>1467</v>
      </c>
    </row>
    <row r="110" spans="1:28" s="128" customFormat="1">
      <c r="A110" s="128" t="s">
        <v>138</v>
      </c>
      <c r="D110" s="143">
        <f>D104*'FPLE_Wind Summary'!J33</f>
        <v>336.86319465295634</v>
      </c>
      <c r="F110" s="132">
        <f>ROUND(D110/$B$109,0)</f>
        <v>11</v>
      </c>
      <c r="G110" s="132">
        <f>F110</f>
        <v>11</v>
      </c>
      <c r="H110" s="132">
        <f t="shared" si="30"/>
        <v>11</v>
      </c>
      <c r="I110" s="132">
        <f t="shared" si="30"/>
        <v>11</v>
      </c>
      <c r="J110" s="132">
        <f t="shared" si="30"/>
        <v>11</v>
      </c>
      <c r="K110" s="132">
        <f t="shared" si="30"/>
        <v>11</v>
      </c>
      <c r="L110" s="132">
        <f t="shared" si="30"/>
        <v>11</v>
      </c>
      <c r="M110" s="132">
        <f t="shared" si="30"/>
        <v>11</v>
      </c>
      <c r="N110" s="132">
        <f t="shared" si="30"/>
        <v>11</v>
      </c>
      <c r="O110" s="132">
        <f t="shared" si="30"/>
        <v>11</v>
      </c>
      <c r="P110" s="132">
        <f t="shared" si="30"/>
        <v>11</v>
      </c>
      <c r="Q110" s="132">
        <f t="shared" si="30"/>
        <v>11</v>
      </c>
      <c r="R110" s="132">
        <f t="shared" si="30"/>
        <v>11</v>
      </c>
      <c r="S110" s="132">
        <f t="shared" si="30"/>
        <v>11</v>
      </c>
      <c r="T110" s="132">
        <f t="shared" si="30"/>
        <v>11</v>
      </c>
      <c r="U110" s="132">
        <f t="shared" si="30"/>
        <v>11</v>
      </c>
      <c r="V110" s="132">
        <f t="shared" si="30"/>
        <v>11</v>
      </c>
      <c r="W110" s="132">
        <f t="shared" si="30"/>
        <v>11</v>
      </c>
      <c r="X110" s="360"/>
      <c r="Y110" s="360"/>
      <c r="AA110" s="355">
        <f t="shared" si="28"/>
        <v>198</v>
      </c>
      <c r="AB110" s="356">
        <f t="shared" si="20"/>
        <v>99</v>
      </c>
    </row>
    <row r="111" spans="1:28" s="128" customFormat="1">
      <c r="AA111" s="355">
        <f t="shared" si="28"/>
        <v>0</v>
      </c>
      <c r="AB111" s="356">
        <f t="shared" si="20"/>
        <v>0</v>
      </c>
    </row>
    <row r="112" spans="1:28" s="128" customFormat="1">
      <c r="A112" s="103" t="s">
        <v>59</v>
      </c>
      <c r="AA112" s="355">
        <f t="shared" si="28"/>
        <v>0</v>
      </c>
      <c r="AB112" s="356">
        <f t="shared" si="20"/>
        <v>0</v>
      </c>
    </row>
    <row r="113" spans="1:28" s="128" customFormat="1">
      <c r="A113" s="104" t="s">
        <v>60</v>
      </c>
      <c r="D113" s="143">
        <f>D109</f>
        <v>4877.429903343701</v>
      </c>
      <c r="AA113" s="355">
        <f t="shared" si="28"/>
        <v>0</v>
      </c>
      <c r="AB113" s="356">
        <f t="shared" si="20"/>
        <v>0</v>
      </c>
    </row>
    <row r="114" spans="1:28" s="128" customFormat="1">
      <c r="A114" s="128" t="s">
        <v>61</v>
      </c>
      <c r="E114" s="144"/>
      <c r="F114" s="331">
        <v>0.2</v>
      </c>
      <c r="G114" s="331">
        <v>0.32</v>
      </c>
      <c r="H114" s="331">
        <v>0.192</v>
      </c>
      <c r="I114" s="331">
        <v>0.1152</v>
      </c>
      <c r="J114" s="331">
        <v>0.1152</v>
      </c>
      <c r="K114" s="331">
        <v>5.7599999999999998E-2</v>
      </c>
      <c r="L114" s="331">
        <v>0</v>
      </c>
      <c r="M114" s="331">
        <v>0</v>
      </c>
      <c r="N114" s="331">
        <v>0</v>
      </c>
      <c r="O114" s="331">
        <v>0</v>
      </c>
      <c r="P114" s="331">
        <v>0</v>
      </c>
      <c r="Q114" s="331">
        <v>0</v>
      </c>
      <c r="R114" s="331">
        <v>0</v>
      </c>
      <c r="S114" s="331">
        <v>0</v>
      </c>
      <c r="T114" s="331">
        <v>0</v>
      </c>
      <c r="U114" s="331">
        <v>0</v>
      </c>
      <c r="V114" s="331">
        <v>0</v>
      </c>
      <c r="W114" s="331">
        <v>0</v>
      </c>
      <c r="X114" s="331">
        <v>0</v>
      </c>
      <c r="Y114" s="331">
        <v>0</v>
      </c>
      <c r="Z114" s="145"/>
      <c r="AA114" s="355">
        <f t="shared" si="28"/>
        <v>0.99999999999999989</v>
      </c>
      <c r="AB114" s="356">
        <f t="shared" si="20"/>
        <v>0.49999999999999994</v>
      </c>
    </row>
    <row r="115" spans="1:28" s="128" customFormat="1">
      <c r="A115" s="128" t="s">
        <v>59</v>
      </c>
      <c r="F115" s="132">
        <f t="shared" ref="F115:W115" si="31">$D$113*F114</f>
        <v>975.48598066874024</v>
      </c>
      <c r="G115" s="132">
        <f t="shared" si="31"/>
        <v>1560.7775690699843</v>
      </c>
      <c r="H115" s="132">
        <f t="shared" si="31"/>
        <v>936.46654144199056</v>
      </c>
      <c r="I115" s="132">
        <f t="shared" si="31"/>
        <v>561.87992486519431</v>
      </c>
      <c r="J115" s="132">
        <f t="shared" si="31"/>
        <v>561.87992486519431</v>
      </c>
      <c r="K115" s="132">
        <f t="shared" si="31"/>
        <v>280.93996243259716</v>
      </c>
      <c r="L115" s="132">
        <f t="shared" si="31"/>
        <v>0</v>
      </c>
      <c r="M115" s="132">
        <f t="shared" si="31"/>
        <v>0</v>
      </c>
      <c r="N115" s="132">
        <f t="shared" si="31"/>
        <v>0</v>
      </c>
      <c r="O115" s="132">
        <f t="shared" si="31"/>
        <v>0</v>
      </c>
      <c r="P115" s="132">
        <f t="shared" si="31"/>
        <v>0</v>
      </c>
      <c r="Q115" s="132">
        <f t="shared" si="31"/>
        <v>0</v>
      </c>
      <c r="R115" s="132">
        <f t="shared" si="31"/>
        <v>0</v>
      </c>
      <c r="S115" s="132">
        <f t="shared" si="31"/>
        <v>0</v>
      </c>
      <c r="T115" s="132">
        <f t="shared" si="31"/>
        <v>0</v>
      </c>
      <c r="U115" s="132">
        <f t="shared" si="31"/>
        <v>0</v>
      </c>
      <c r="V115" s="132">
        <f t="shared" si="31"/>
        <v>0</v>
      </c>
      <c r="W115" s="132">
        <f t="shared" si="31"/>
        <v>0</v>
      </c>
      <c r="X115" s="360"/>
      <c r="Y115" s="360"/>
      <c r="AA115" s="355">
        <f t="shared" si="28"/>
        <v>4877.429903343701</v>
      </c>
      <c r="AB115" s="356">
        <f t="shared" si="20"/>
        <v>2438.7149516718505</v>
      </c>
    </row>
    <row r="116" spans="1:28" s="128" customFormat="1">
      <c r="A116" s="128" t="s">
        <v>138</v>
      </c>
      <c r="D116" s="143">
        <f>D110</f>
        <v>336.86319465295634</v>
      </c>
      <c r="F116" s="132">
        <f>$D$116*F114</f>
        <v>67.372638930591265</v>
      </c>
      <c r="G116" s="132">
        <f t="shared" ref="G116:W116" si="32">$D$116*G114</f>
        <v>107.79622228894603</v>
      </c>
      <c r="H116" s="132">
        <f t="shared" si="32"/>
        <v>64.677733373367616</v>
      </c>
      <c r="I116" s="132">
        <f t="shared" si="32"/>
        <v>38.806640024020567</v>
      </c>
      <c r="J116" s="132">
        <f t="shared" si="32"/>
        <v>38.806640024020567</v>
      </c>
      <c r="K116" s="132">
        <f t="shared" si="32"/>
        <v>19.403320012010283</v>
      </c>
      <c r="L116" s="132">
        <f t="shared" si="32"/>
        <v>0</v>
      </c>
      <c r="M116" s="132">
        <f t="shared" si="32"/>
        <v>0</v>
      </c>
      <c r="N116" s="132">
        <f t="shared" si="32"/>
        <v>0</v>
      </c>
      <c r="O116" s="132">
        <f t="shared" si="32"/>
        <v>0</v>
      </c>
      <c r="P116" s="132">
        <f t="shared" si="32"/>
        <v>0</v>
      </c>
      <c r="Q116" s="132">
        <f t="shared" si="32"/>
        <v>0</v>
      </c>
      <c r="R116" s="132">
        <f t="shared" si="32"/>
        <v>0</v>
      </c>
      <c r="S116" s="132">
        <f t="shared" si="32"/>
        <v>0</v>
      </c>
      <c r="T116" s="132">
        <f t="shared" si="32"/>
        <v>0</v>
      </c>
      <c r="U116" s="132">
        <f t="shared" si="32"/>
        <v>0</v>
      </c>
      <c r="V116" s="132">
        <f t="shared" si="32"/>
        <v>0</v>
      </c>
      <c r="W116" s="132">
        <f t="shared" si="32"/>
        <v>0</v>
      </c>
      <c r="X116" s="360"/>
      <c r="Y116" s="360"/>
      <c r="AA116" s="355">
        <f>SUM(F116:Y116)</f>
        <v>336.86319465295634</v>
      </c>
      <c r="AB116" s="356">
        <f t="shared" si="20"/>
        <v>168.43159732647817</v>
      </c>
    </row>
    <row r="117" spans="1:28" s="128" customFormat="1">
      <c r="AA117" s="355">
        <f t="shared" si="28"/>
        <v>0</v>
      </c>
      <c r="AB117" s="356">
        <f t="shared" si="20"/>
        <v>0</v>
      </c>
    </row>
    <row r="118" spans="1:28" s="128" customFormat="1">
      <c r="AA118" s="355">
        <f t="shared" si="28"/>
        <v>0</v>
      </c>
      <c r="AB118" s="356">
        <f t="shared" si="20"/>
        <v>0</v>
      </c>
    </row>
    <row r="119" spans="1:28" s="128" customFormat="1" ht="13.5" thickBot="1">
      <c r="F119" s="99">
        <f>F107</f>
        <v>2001</v>
      </c>
      <c r="G119" s="99">
        <f t="shared" ref="G119:Y119" si="33">G107</f>
        <v>2002</v>
      </c>
      <c r="H119" s="99">
        <f t="shared" si="33"/>
        <v>2003</v>
      </c>
      <c r="I119" s="99">
        <f t="shared" si="33"/>
        <v>2004</v>
      </c>
      <c r="J119" s="99">
        <f t="shared" si="33"/>
        <v>2005</v>
      </c>
      <c r="K119" s="99">
        <f t="shared" si="33"/>
        <v>2006</v>
      </c>
      <c r="L119" s="99">
        <f t="shared" si="33"/>
        <v>2007</v>
      </c>
      <c r="M119" s="99">
        <f t="shared" si="33"/>
        <v>2008</v>
      </c>
      <c r="N119" s="99">
        <f t="shared" si="33"/>
        <v>2009</v>
      </c>
      <c r="O119" s="99">
        <f t="shared" si="33"/>
        <v>2010</v>
      </c>
      <c r="P119" s="99">
        <f t="shared" si="33"/>
        <v>2011</v>
      </c>
      <c r="Q119" s="99">
        <f t="shared" si="33"/>
        <v>2012</v>
      </c>
      <c r="R119" s="99">
        <f t="shared" si="33"/>
        <v>2013</v>
      </c>
      <c r="S119" s="99">
        <f t="shared" si="33"/>
        <v>2014</v>
      </c>
      <c r="T119" s="99">
        <f t="shared" si="33"/>
        <v>2015</v>
      </c>
      <c r="U119" s="99">
        <f t="shared" si="33"/>
        <v>2016</v>
      </c>
      <c r="V119" s="99">
        <f t="shared" si="33"/>
        <v>2017</v>
      </c>
      <c r="W119" s="99">
        <f t="shared" si="33"/>
        <v>2018</v>
      </c>
      <c r="X119" s="99">
        <f t="shared" si="33"/>
        <v>2019</v>
      </c>
      <c r="Y119" s="99">
        <f t="shared" si="33"/>
        <v>2020</v>
      </c>
      <c r="AA119" s="355">
        <f t="shared" si="28"/>
        <v>40210</v>
      </c>
      <c r="AB119" s="356">
        <f t="shared" si="20"/>
        <v>20105</v>
      </c>
    </row>
    <row r="120" spans="1:28" s="128" customFormat="1">
      <c r="A120" s="98" t="s">
        <v>62</v>
      </c>
      <c r="AA120" s="355">
        <f t="shared" si="28"/>
        <v>0</v>
      </c>
      <c r="AB120" s="356">
        <f t="shared" si="20"/>
        <v>0</v>
      </c>
    </row>
    <row r="121" spans="1:28" s="128" customFormat="1">
      <c r="A121" s="146" t="str">
        <f>A64</f>
        <v>EBITDA</v>
      </c>
      <c r="F121" s="132">
        <f>F39</f>
        <v>484.2193792881651</v>
      </c>
      <c r="G121" s="132">
        <f t="shared" ref="G121:Y121" si="34">G39</f>
        <v>502.81123907598226</v>
      </c>
      <c r="H121" s="132">
        <f t="shared" si="34"/>
        <v>514.93574630042713</v>
      </c>
      <c r="I121" s="132">
        <f t="shared" si="34"/>
        <v>519.81520191580057</v>
      </c>
      <c r="J121" s="132">
        <f>J39</f>
        <v>534.71223761051328</v>
      </c>
      <c r="K121" s="132">
        <f t="shared" si="34"/>
        <v>522.08101464667584</v>
      </c>
      <c r="L121" s="132">
        <f t="shared" si="34"/>
        <v>527.55755726443113</v>
      </c>
      <c r="M121" s="132">
        <f t="shared" si="34"/>
        <v>547.63614513707262</v>
      </c>
      <c r="N121" s="132">
        <f t="shared" si="34"/>
        <v>555.06905988089306</v>
      </c>
      <c r="O121" s="132">
        <f t="shared" si="34"/>
        <v>563.18604473466303</v>
      </c>
      <c r="P121" s="132">
        <f t="shared" si="34"/>
        <v>570.1975964072717</v>
      </c>
      <c r="Q121" s="132">
        <f t="shared" si="34"/>
        <v>592.6228067558884</v>
      </c>
      <c r="R121" s="132">
        <f t="shared" si="34"/>
        <v>588.11576583910778</v>
      </c>
      <c r="S121" s="132">
        <f t="shared" si="34"/>
        <v>583.55129676251181</v>
      </c>
      <c r="T121" s="132">
        <f t="shared" si="34"/>
        <v>578.43540665774321</v>
      </c>
      <c r="U121" s="132">
        <f t="shared" si="34"/>
        <v>573.2348274014123</v>
      </c>
      <c r="V121" s="132">
        <f t="shared" si="34"/>
        <v>581.16091522365105</v>
      </c>
      <c r="W121" s="132">
        <f t="shared" si="34"/>
        <v>608.12049625920395</v>
      </c>
      <c r="X121" s="132">
        <f t="shared" si="34"/>
        <v>0</v>
      </c>
      <c r="Y121" s="132">
        <f t="shared" si="34"/>
        <v>0</v>
      </c>
      <c r="AA121" s="355">
        <f t="shared" si="28"/>
        <v>9947.4627371614151</v>
      </c>
      <c r="AB121" s="356">
        <f t="shared" si="20"/>
        <v>4973.7313685807076</v>
      </c>
    </row>
    <row r="122" spans="1:28" s="128" customFormat="1">
      <c r="A122" s="128" t="s">
        <v>63</v>
      </c>
      <c r="F122" s="132">
        <f>-F115</f>
        <v>-975.48598066874024</v>
      </c>
      <c r="G122" s="132">
        <f t="shared" ref="G122:W122" si="35">-G115</f>
        <v>-1560.7775690699843</v>
      </c>
      <c r="H122" s="132">
        <f t="shared" si="35"/>
        <v>-936.46654144199056</v>
      </c>
      <c r="I122" s="132">
        <f t="shared" si="35"/>
        <v>-561.87992486519431</v>
      </c>
      <c r="J122" s="132">
        <f t="shared" si="35"/>
        <v>-561.87992486519431</v>
      </c>
      <c r="K122" s="132">
        <f t="shared" si="35"/>
        <v>-280.93996243259716</v>
      </c>
      <c r="L122" s="132">
        <f t="shared" si="35"/>
        <v>0</v>
      </c>
      <c r="M122" s="132">
        <f t="shared" si="35"/>
        <v>0</v>
      </c>
      <c r="N122" s="132">
        <f t="shared" si="35"/>
        <v>0</v>
      </c>
      <c r="O122" s="132">
        <f t="shared" si="35"/>
        <v>0</v>
      </c>
      <c r="P122" s="132">
        <f t="shared" si="35"/>
        <v>0</v>
      </c>
      <c r="Q122" s="132">
        <f t="shared" si="35"/>
        <v>0</v>
      </c>
      <c r="R122" s="132">
        <f t="shared" si="35"/>
        <v>0</v>
      </c>
      <c r="S122" s="132">
        <f t="shared" si="35"/>
        <v>0</v>
      </c>
      <c r="T122" s="132">
        <f t="shared" si="35"/>
        <v>0</v>
      </c>
      <c r="U122" s="132">
        <f t="shared" si="35"/>
        <v>0</v>
      </c>
      <c r="V122" s="132">
        <f t="shared" si="35"/>
        <v>0</v>
      </c>
      <c r="W122" s="132">
        <f t="shared" si="35"/>
        <v>0</v>
      </c>
      <c r="X122" s="132">
        <f>-X115</f>
        <v>0</v>
      </c>
      <c r="Y122" s="132">
        <f>-Y115</f>
        <v>0</v>
      </c>
      <c r="AA122" s="355">
        <f t="shared" si="28"/>
        <v>-4877.429903343701</v>
      </c>
      <c r="AB122" s="356">
        <f t="shared" si="20"/>
        <v>-2438.7149516718505</v>
      </c>
    </row>
    <row r="123" spans="1:28" s="128" customFormat="1">
      <c r="A123" s="128" t="s">
        <v>64</v>
      </c>
      <c r="F123" s="147">
        <f>-F46</f>
        <v>0</v>
      </c>
      <c r="G123" s="147">
        <f t="shared" ref="G123:Y123" si="36">-G46</f>
        <v>0</v>
      </c>
      <c r="H123" s="147">
        <f t="shared" si="36"/>
        <v>0</v>
      </c>
      <c r="I123" s="147">
        <f t="shared" si="36"/>
        <v>0</v>
      </c>
      <c r="J123" s="147">
        <f t="shared" si="36"/>
        <v>0</v>
      </c>
      <c r="K123" s="147">
        <f t="shared" si="36"/>
        <v>0</v>
      </c>
      <c r="L123" s="147">
        <f t="shared" si="36"/>
        <v>0</v>
      </c>
      <c r="M123" s="147">
        <f t="shared" si="36"/>
        <v>0</v>
      </c>
      <c r="N123" s="147">
        <f t="shared" si="36"/>
        <v>0</v>
      </c>
      <c r="O123" s="147">
        <f t="shared" si="36"/>
        <v>0</v>
      </c>
      <c r="P123" s="147">
        <f t="shared" si="36"/>
        <v>0</v>
      </c>
      <c r="Q123" s="147">
        <f t="shared" si="36"/>
        <v>0</v>
      </c>
      <c r="R123" s="147">
        <f t="shared" si="36"/>
        <v>0</v>
      </c>
      <c r="S123" s="147">
        <f t="shared" si="36"/>
        <v>0</v>
      </c>
      <c r="T123" s="147">
        <f t="shared" si="36"/>
        <v>0</v>
      </c>
      <c r="U123" s="147">
        <f t="shared" si="36"/>
        <v>0</v>
      </c>
      <c r="V123" s="147">
        <f t="shared" si="36"/>
        <v>0</v>
      </c>
      <c r="W123" s="147">
        <f t="shared" si="36"/>
        <v>0</v>
      </c>
      <c r="X123" s="147">
        <f t="shared" si="36"/>
        <v>0</v>
      </c>
      <c r="Y123" s="147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28" customFormat="1">
      <c r="A124" s="128" t="s">
        <v>65</v>
      </c>
      <c r="F124" s="132">
        <f>SUM(F121:F123)</f>
        <v>-491.26660138057514</v>
      </c>
      <c r="G124" s="132">
        <f t="shared" ref="G124:Y124" si="37">SUM(G121:G123)</f>
        <v>-1057.9663299940021</v>
      </c>
      <c r="H124" s="132">
        <f t="shared" si="37"/>
        <v>-421.53079514156343</v>
      </c>
      <c r="I124" s="132">
        <f t="shared" si="37"/>
        <v>-42.06472294939374</v>
      </c>
      <c r="J124" s="132">
        <f t="shared" si="37"/>
        <v>-27.167687254681027</v>
      </c>
      <c r="K124" s="132">
        <f t="shared" si="37"/>
        <v>241.14105221407868</v>
      </c>
      <c r="L124" s="132">
        <f t="shared" si="37"/>
        <v>527.55755726443113</v>
      </c>
      <c r="M124" s="132">
        <f t="shared" si="37"/>
        <v>547.63614513707262</v>
      </c>
      <c r="N124" s="132">
        <f t="shared" si="37"/>
        <v>555.06905988089306</v>
      </c>
      <c r="O124" s="132">
        <f t="shared" si="37"/>
        <v>563.18604473466303</v>
      </c>
      <c r="P124" s="132">
        <f t="shared" si="37"/>
        <v>570.1975964072717</v>
      </c>
      <c r="Q124" s="132">
        <f t="shared" si="37"/>
        <v>592.6228067558884</v>
      </c>
      <c r="R124" s="132">
        <f t="shared" si="37"/>
        <v>588.11576583910778</v>
      </c>
      <c r="S124" s="132">
        <f t="shared" si="37"/>
        <v>583.55129676251181</v>
      </c>
      <c r="T124" s="132">
        <f t="shared" si="37"/>
        <v>578.43540665774321</v>
      </c>
      <c r="U124" s="132">
        <f t="shared" si="37"/>
        <v>573.2348274014123</v>
      </c>
      <c r="V124" s="132">
        <f t="shared" si="37"/>
        <v>581.16091522365105</v>
      </c>
      <c r="W124" s="132">
        <f t="shared" si="37"/>
        <v>608.12049625920395</v>
      </c>
      <c r="X124" s="132">
        <f t="shared" si="37"/>
        <v>0</v>
      </c>
      <c r="Y124" s="132">
        <f t="shared" si="37"/>
        <v>0</v>
      </c>
      <c r="AA124" s="355">
        <f t="shared" si="28"/>
        <v>5070.0328338177133</v>
      </c>
      <c r="AB124" s="356">
        <f t="shared" si="20"/>
        <v>2535.0164169088566</v>
      </c>
    </row>
    <row r="125" spans="1:28" s="128" customFormat="1">
      <c r="AA125" s="355">
        <f t="shared" si="28"/>
        <v>0</v>
      </c>
      <c r="AB125" s="356">
        <f t="shared" si="20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24.563330069028758</v>
      </c>
      <c r="G126" s="132">
        <f t="shared" ref="G126:Y126" si="38">-G124*$C$126</f>
        <v>52.898316499700108</v>
      </c>
      <c r="H126" s="132">
        <f t="shared" si="38"/>
        <v>21.076539757078173</v>
      </c>
      <c r="I126" s="132">
        <f t="shared" si="38"/>
        <v>2.103236147469687</v>
      </c>
      <c r="J126" s="132">
        <f t="shared" si="38"/>
        <v>1.3583843627340515</v>
      </c>
      <c r="K126" s="132">
        <f t="shared" si="38"/>
        <v>-12.057052610703934</v>
      </c>
      <c r="L126" s="132">
        <f t="shared" si="38"/>
        <v>-26.377877863221556</v>
      </c>
      <c r="M126" s="132">
        <f t="shared" si="38"/>
        <v>-27.381807256853634</v>
      </c>
      <c r="N126" s="132">
        <f t="shared" si="38"/>
        <v>-27.753452994044654</v>
      </c>
      <c r="O126" s="132">
        <f t="shared" si="38"/>
        <v>-28.159302236733154</v>
      </c>
      <c r="P126" s="132">
        <f t="shared" si="38"/>
        <v>-28.509879820363587</v>
      </c>
      <c r="Q126" s="132">
        <f t="shared" si="38"/>
        <v>-29.63114033779442</v>
      </c>
      <c r="R126" s="132">
        <f t="shared" si="38"/>
        <v>-29.405788291955389</v>
      </c>
      <c r="S126" s="132">
        <f t="shared" si="38"/>
        <v>-29.177564838125591</v>
      </c>
      <c r="T126" s="132">
        <f t="shared" si="38"/>
        <v>-28.921770332887164</v>
      </c>
      <c r="U126" s="132">
        <f t="shared" si="38"/>
        <v>-28.661741370070615</v>
      </c>
      <c r="V126" s="132">
        <f t="shared" si="38"/>
        <v>-29.058045761182555</v>
      </c>
      <c r="W126" s="132">
        <f t="shared" si="38"/>
        <v>-30.406024812960197</v>
      </c>
      <c r="X126" s="132">
        <f t="shared" si="38"/>
        <v>0</v>
      </c>
      <c r="Y126" s="132">
        <f t="shared" si="38"/>
        <v>0</v>
      </c>
      <c r="AA126" s="355">
        <f t="shared" si="28"/>
        <v>-253.50164169088566</v>
      </c>
      <c r="AB126" s="356">
        <f t="shared" si="20"/>
        <v>-126.75082084544283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163.34614495904123</v>
      </c>
      <c r="G127" s="132">
        <f t="shared" ref="G127:Y127" si="39">-(G124+G126)*$C$127</f>
        <v>351.7738047230057</v>
      </c>
      <c r="H127" s="132">
        <f t="shared" si="39"/>
        <v>140.15898938456982</v>
      </c>
      <c r="I127" s="132">
        <f t="shared" si="39"/>
        <v>13.986520380673419</v>
      </c>
      <c r="J127" s="132">
        <f t="shared" si="39"/>
        <v>9.0332560121814414</v>
      </c>
      <c r="K127" s="132">
        <f t="shared" si="39"/>
        <v>-80.179399861181167</v>
      </c>
      <c r="L127" s="132">
        <f t="shared" si="39"/>
        <v>-175.41288779042333</v>
      </c>
      <c r="M127" s="132">
        <f t="shared" si="39"/>
        <v>-182.08901825807661</v>
      </c>
      <c r="N127" s="132">
        <f t="shared" si="39"/>
        <v>-184.56046241039692</v>
      </c>
      <c r="O127" s="132">
        <f t="shared" si="39"/>
        <v>-187.25935987427542</v>
      </c>
      <c r="P127" s="132">
        <f t="shared" si="39"/>
        <v>-189.59070080541781</v>
      </c>
      <c r="Q127" s="132">
        <f t="shared" si="39"/>
        <v>-197.04708324633287</v>
      </c>
      <c r="R127" s="132">
        <f t="shared" si="39"/>
        <v>-195.54849214150335</v>
      </c>
      <c r="S127" s="132">
        <f t="shared" si="39"/>
        <v>-194.03080617353515</v>
      </c>
      <c r="T127" s="132">
        <f t="shared" si="39"/>
        <v>-192.32977271369961</v>
      </c>
      <c r="U127" s="132">
        <f t="shared" si="39"/>
        <v>-190.60058011096959</v>
      </c>
      <c r="V127" s="132">
        <f t="shared" si="39"/>
        <v>-193.23600431186395</v>
      </c>
      <c r="W127" s="132">
        <f t="shared" si="39"/>
        <v>-202.20006500618533</v>
      </c>
      <c r="X127" s="132">
        <f t="shared" si="39"/>
        <v>0</v>
      </c>
      <c r="Y127" s="132">
        <f t="shared" si="39"/>
        <v>0</v>
      </c>
      <c r="AA127" s="355">
        <f t="shared" si="28"/>
        <v>-1685.7859172443896</v>
      </c>
      <c r="AB127" s="356">
        <f t="shared" si="20"/>
        <v>-842.89295862219478</v>
      </c>
    </row>
    <row r="128" spans="1:28" s="128" customFormat="1">
      <c r="AA128" s="355">
        <f t="shared" si="28"/>
        <v>0</v>
      </c>
      <c r="AB128" s="356">
        <f t="shared" si="20"/>
        <v>0</v>
      </c>
    </row>
    <row r="129" spans="1:28" s="128" customFormat="1">
      <c r="AA129" s="355">
        <f t="shared" si="28"/>
        <v>0</v>
      </c>
      <c r="AB129" s="356">
        <f t="shared" si="20"/>
        <v>0</v>
      </c>
    </row>
    <row r="130" spans="1:28" s="128" customFormat="1">
      <c r="AA130" s="355">
        <f t="shared" si="28"/>
        <v>0</v>
      </c>
      <c r="AB130" s="356">
        <f t="shared" si="20"/>
        <v>0</v>
      </c>
    </row>
    <row r="131" spans="1:28" s="128" customFormat="1">
      <c r="AA131" s="355">
        <f t="shared" si="28"/>
        <v>0</v>
      </c>
      <c r="AB131" s="356">
        <f t="shared" si="20"/>
        <v>0</v>
      </c>
    </row>
    <row r="132" spans="1:28" s="128" customFormat="1">
      <c r="AA132" s="355">
        <f t="shared" si="28"/>
        <v>0</v>
      </c>
      <c r="AB132" s="356">
        <f t="shared" si="20"/>
        <v>0</v>
      </c>
    </row>
    <row r="133" spans="1:28" s="128" customFormat="1">
      <c r="AA133" s="355">
        <f t="shared" si="28"/>
        <v>0</v>
      </c>
      <c r="AB133" s="356">
        <f t="shared" si="20"/>
        <v>0</v>
      </c>
    </row>
    <row r="134" spans="1:28" s="128" customFormat="1">
      <c r="AA134" s="355">
        <f t="shared" si="28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0">G119</f>
        <v>2002</v>
      </c>
      <c r="H135" s="99">
        <f t="shared" si="40"/>
        <v>2003</v>
      </c>
      <c r="I135" s="99">
        <f t="shared" si="40"/>
        <v>2004</v>
      </c>
      <c r="J135" s="99">
        <f t="shared" si="40"/>
        <v>2005</v>
      </c>
      <c r="K135" s="99">
        <f t="shared" si="40"/>
        <v>2006</v>
      </c>
      <c r="L135" s="99">
        <f t="shared" si="40"/>
        <v>2007</v>
      </c>
      <c r="M135" s="99">
        <f t="shared" si="40"/>
        <v>2008</v>
      </c>
      <c r="N135" s="99">
        <f t="shared" si="40"/>
        <v>2009</v>
      </c>
      <c r="O135" s="99">
        <f t="shared" si="40"/>
        <v>2010</v>
      </c>
      <c r="P135" s="99">
        <f t="shared" si="40"/>
        <v>2011</v>
      </c>
      <c r="Q135" s="99">
        <f t="shared" si="40"/>
        <v>2012</v>
      </c>
      <c r="R135" s="99">
        <f t="shared" si="40"/>
        <v>2013</v>
      </c>
      <c r="S135" s="99">
        <f t="shared" si="40"/>
        <v>2014</v>
      </c>
      <c r="T135" s="99">
        <f t="shared" si="40"/>
        <v>2015</v>
      </c>
      <c r="U135" s="99">
        <f t="shared" si="40"/>
        <v>2016</v>
      </c>
      <c r="V135" s="99">
        <f t="shared" si="40"/>
        <v>2017</v>
      </c>
      <c r="W135" s="99">
        <f t="shared" si="40"/>
        <v>2018</v>
      </c>
      <c r="X135" s="99">
        <f t="shared" si="40"/>
        <v>2019</v>
      </c>
      <c r="Y135" s="9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28" customFormat="1">
      <c r="AA136" s="355">
        <f t="shared" si="28"/>
        <v>0</v>
      </c>
      <c r="AB136" s="356">
        <f t="shared" si="41"/>
        <v>0</v>
      </c>
    </row>
    <row r="137" spans="1:28" s="128" customFormat="1">
      <c r="A137" s="128" t="s">
        <v>78</v>
      </c>
      <c r="F137" s="118">
        <f>F46</f>
        <v>0</v>
      </c>
      <c r="G137" s="118">
        <f t="shared" ref="G137:Y137" si="42">G46</f>
        <v>0</v>
      </c>
      <c r="H137" s="118">
        <f t="shared" si="42"/>
        <v>0</v>
      </c>
      <c r="I137" s="118">
        <f t="shared" si="42"/>
        <v>0</v>
      </c>
      <c r="J137" s="118">
        <f t="shared" si="42"/>
        <v>0</v>
      </c>
      <c r="K137" s="118">
        <f t="shared" si="42"/>
        <v>0</v>
      </c>
      <c r="L137" s="118">
        <f t="shared" si="42"/>
        <v>0</v>
      </c>
      <c r="M137" s="118">
        <f t="shared" si="42"/>
        <v>0</v>
      </c>
      <c r="N137" s="118">
        <f t="shared" si="42"/>
        <v>0</v>
      </c>
      <c r="O137" s="118">
        <f t="shared" si="42"/>
        <v>0</v>
      </c>
      <c r="P137" s="118">
        <f t="shared" si="42"/>
        <v>0</v>
      </c>
      <c r="Q137" s="118">
        <f t="shared" si="42"/>
        <v>0</v>
      </c>
      <c r="R137" s="118">
        <f t="shared" si="42"/>
        <v>0</v>
      </c>
      <c r="S137" s="118">
        <f t="shared" si="42"/>
        <v>0</v>
      </c>
      <c r="T137" s="118">
        <f t="shared" si="42"/>
        <v>0</v>
      </c>
      <c r="U137" s="118">
        <f t="shared" si="42"/>
        <v>0</v>
      </c>
      <c r="V137" s="118">
        <f t="shared" si="42"/>
        <v>0</v>
      </c>
      <c r="W137" s="118">
        <f t="shared" si="42"/>
        <v>0</v>
      </c>
      <c r="X137" s="118">
        <f t="shared" si="42"/>
        <v>0</v>
      </c>
      <c r="Y137" s="118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28" customFormat="1">
      <c r="A138" s="128" t="s">
        <v>67</v>
      </c>
      <c r="F138" s="147">
        <f t="shared" ref="F138:Y138" si="43">SUM(F33:F35)</f>
        <v>0</v>
      </c>
      <c r="G138" s="147">
        <f t="shared" si="43"/>
        <v>0</v>
      </c>
      <c r="H138" s="147">
        <f t="shared" si="43"/>
        <v>0</v>
      </c>
      <c r="I138" s="147">
        <f t="shared" si="43"/>
        <v>0</v>
      </c>
      <c r="J138" s="147">
        <f t="shared" si="43"/>
        <v>0</v>
      </c>
      <c r="K138" s="147">
        <f t="shared" si="43"/>
        <v>0</v>
      </c>
      <c r="L138" s="147">
        <f t="shared" si="43"/>
        <v>0</v>
      </c>
      <c r="M138" s="147">
        <f t="shared" si="43"/>
        <v>0</v>
      </c>
      <c r="N138" s="147">
        <f t="shared" si="43"/>
        <v>0</v>
      </c>
      <c r="O138" s="147">
        <f t="shared" si="43"/>
        <v>0</v>
      </c>
      <c r="P138" s="147">
        <f t="shared" si="43"/>
        <v>0</v>
      </c>
      <c r="Q138" s="147">
        <f t="shared" si="43"/>
        <v>0</v>
      </c>
      <c r="R138" s="147">
        <f t="shared" si="43"/>
        <v>0</v>
      </c>
      <c r="S138" s="147">
        <f t="shared" si="43"/>
        <v>0</v>
      </c>
      <c r="T138" s="147">
        <f t="shared" si="43"/>
        <v>0</v>
      </c>
      <c r="U138" s="147">
        <f t="shared" si="43"/>
        <v>0</v>
      </c>
      <c r="V138" s="147">
        <f t="shared" si="43"/>
        <v>0</v>
      </c>
      <c r="W138" s="147">
        <f t="shared" si="43"/>
        <v>0</v>
      </c>
      <c r="X138" s="147">
        <f t="shared" si="43"/>
        <v>0</v>
      </c>
      <c r="Y138" s="147">
        <f t="shared" si="43"/>
        <v>0</v>
      </c>
      <c r="AA138" s="355">
        <f t="shared" si="28"/>
        <v>0</v>
      </c>
      <c r="AB138" s="356">
        <f t="shared" si="41"/>
        <v>0</v>
      </c>
    </row>
    <row r="139" spans="1:28" s="128" customFormat="1">
      <c r="A139" s="128" t="s">
        <v>68</v>
      </c>
      <c r="F139" s="132">
        <f>F137+F138</f>
        <v>0</v>
      </c>
      <c r="G139" s="132">
        <f t="shared" ref="G139:Y139" si="44">G137+G138</f>
        <v>0</v>
      </c>
      <c r="H139" s="132">
        <f t="shared" si="44"/>
        <v>0</v>
      </c>
      <c r="I139" s="132">
        <f t="shared" si="44"/>
        <v>0</v>
      </c>
      <c r="J139" s="132">
        <f t="shared" si="44"/>
        <v>0</v>
      </c>
      <c r="K139" s="132">
        <f t="shared" si="44"/>
        <v>0</v>
      </c>
      <c r="L139" s="132">
        <f t="shared" si="44"/>
        <v>0</v>
      </c>
      <c r="M139" s="132">
        <f t="shared" si="44"/>
        <v>0</v>
      </c>
      <c r="N139" s="132">
        <f t="shared" si="44"/>
        <v>0</v>
      </c>
      <c r="O139" s="132">
        <f t="shared" si="44"/>
        <v>0</v>
      </c>
      <c r="P139" s="132">
        <f t="shared" si="44"/>
        <v>0</v>
      </c>
      <c r="Q139" s="132">
        <f t="shared" si="44"/>
        <v>0</v>
      </c>
      <c r="R139" s="132">
        <f t="shared" si="44"/>
        <v>0</v>
      </c>
      <c r="S139" s="132">
        <f t="shared" si="44"/>
        <v>0</v>
      </c>
      <c r="T139" s="132">
        <f t="shared" si="44"/>
        <v>0</v>
      </c>
      <c r="U139" s="132">
        <f t="shared" si="44"/>
        <v>0</v>
      </c>
      <c r="V139" s="132">
        <f t="shared" si="44"/>
        <v>0</v>
      </c>
      <c r="W139" s="132">
        <f t="shared" si="44"/>
        <v>0</v>
      </c>
      <c r="X139" s="132">
        <f t="shared" si="44"/>
        <v>0</v>
      </c>
      <c r="Y139" s="132">
        <f t="shared" si="44"/>
        <v>0</v>
      </c>
      <c r="AA139" s="355">
        <f t="shared" si="28"/>
        <v>0</v>
      </c>
      <c r="AB139" s="356">
        <f t="shared" si="41"/>
        <v>0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0</v>
      </c>
      <c r="G140" s="132">
        <f t="shared" ref="G140:Y140" si="45">G139*$C$140</f>
        <v>0</v>
      </c>
      <c r="H140" s="132">
        <f t="shared" si="45"/>
        <v>0</v>
      </c>
      <c r="I140" s="132">
        <f t="shared" si="45"/>
        <v>0</v>
      </c>
      <c r="J140" s="132">
        <f t="shared" si="45"/>
        <v>0</v>
      </c>
      <c r="K140" s="132">
        <f t="shared" si="45"/>
        <v>0</v>
      </c>
      <c r="L140" s="132">
        <f t="shared" si="45"/>
        <v>0</v>
      </c>
      <c r="M140" s="132">
        <f t="shared" si="45"/>
        <v>0</v>
      </c>
      <c r="N140" s="132">
        <f t="shared" si="45"/>
        <v>0</v>
      </c>
      <c r="O140" s="132">
        <f t="shared" si="45"/>
        <v>0</v>
      </c>
      <c r="P140" s="132">
        <f t="shared" si="45"/>
        <v>0</v>
      </c>
      <c r="Q140" s="132">
        <f t="shared" si="45"/>
        <v>0</v>
      </c>
      <c r="R140" s="132">
        <f t="shared" si="45"/>
        <v>0</v>
      </c>
      <c r="S140" s="132">
        <f t="shared" si="45"/>
        <v>0</v>
      </c>
      <c r="T140" s="132">
        <f t="shared" si="45"/>
        <v>0</v>
      </c>
      <c r="U140" s="132">
        <f t="shared" si="45"/>
        <v>0</v>
      </c>
      <c r="V140" s="132">
        <f t="shared" si="45"/>
        <v>0</v>
      </c>
      <c r="W140" s="132">
        <f t="shared" si="45"/>
        <v>0</v>
      </c>
      <c r="X140" s="132">
        <f t="shared" si="45"/>
        <v>0</v>
      </c>
      <c r="Y140" s="132">
        <f t="shared" si="45"/>
        <v>0</v>
      </c>
      <c r="AA140" s="355">
        <f t="shared" si="28"/>
        <v>0</v>
      </c>
      <c r="AB140" s="356">
        <f t="shared" si="41"/>
        <v>0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0</v>
      </c>
      <c r="G141" s="147">
        <f t="shared" ref="G141:Y141" si="46">(G139-G140)*$C$141</f>
        <v>0</v>
      </c>
      <c r="H141" s="147">
        <f t="shared" si="46"/>
        <v>0</v>
      </c>
      <c r="I141" s="147">
        <f t="shared" si="46"/>
        <v>0</v>
      </c>
      <c r="J141" s="147">
        <f t="shared" si="46"/>
        <v>0</v>
      </c>
      <c r="K141" s="147">
        <f t="shared" si="46"/>
        <v>0</v>
      </c>
      <c r="L141" s="147">
        <f t="shared" si="46"/>
        <v>0</v>
      </c>
      <c r="M141" s="147">
        <f t="shared" si="46"/>
        <v>0</v>
      </c>
      <c r="N141" s="147">
        <f t="shared" si="46"/>
        <v>0</v>
      </c>
      <c r="O141" s="147">
        <f t="shared" si="46"/>
        <v>0</v>
      </c>
      <c r="P141" s="147">
        <f t="shared" si="46"/>
        <v>0</v>
      </c>
      <c r="Q141" s="147">
        <f t="shared" si="46"/>
        <v>0</v>
      </c>
      <c r="R141" s="147">
        <f t="shared" si="46"/>
        <v>0</v>
      </c>
      <c r="S141" s="147">
        <f t="shared" si="46"/>
        <v>0</v>
      </c>
      <c r="T141" s="147">
        <f t="shared" si="46"/>
        <v>0</v>
      </c>
      <c r="U141" s="147">
        <f t="shared" si="46"/>
        <v>0</v>
      </c>
      <c r="V141" s="147">
        <f t="shared" si="46"/>
        <v>0</v>
      </c>
      <c r="W141" s="147">
        <f t="shared" si="46"/>
        <v>0</v>
      </c>
      <c r="X141" s="147">
        <f t="shared" si="46"/>
        <v>0</v>
      </c>
      <c r="Y141" s="147">
        <f t="shared" si="46"/>
        <v>0</v>
      </c>
      <c r="AA141" s="355">
        <f t="shared" si="28"/>
        <v>0</v>
      </c>
      <c r="AB141" s="356">
        <f t="shared" si="41"/>
        <v>0</v>
      </c>
    </row>
    <row r="142" spans="1:28" s="128" customFormat="1">
      <c r="A142" s="128" t="s">
        <v>71</v>
      </c>
      <c r="F142" s="132">
        <f>F139-F140-F141</f>
        <v>0</v>
      </c>
      <c r="G142" s="132">
        <f t="shared" ref="G142:Y142" si="47">G139-G140-G141</f>
        <v>0</v>
      </c>
      <c r="H142" s="132">
        <f t="shared" si="47"/>
        <v>0</v>
      </c>
      <c r="I142" s="132">
        <f t="shared" si="47"/>
        <v>0</v>
      </c>
      <c r="J142" s="132">
        <f t="shared" si="47"/>
        <v>0</v>
      </c>
      <c r="K142" s="132">
        <f t="shared" si="47"/>
        <v>0</v>
      </c>
      <c r="L142" s="132">
        <f t="shared" si="47"/>
        <v>0</v>
      </c>
      <c r="M142" s="132">
        <f t="shared" si="47"/>
        <v>0</v>
      </c>
      <c r="N142" s="132">
        <f t="shared" si="47"/>
        <v>0</v>
      </c>
      <c r="O142" s="132">
        <f t="shared" si="47"/>
        <v>0</v>
      </c>
      <c r="P142" s="132">
        <f t="shared" si="47"/>
        <v>0</v>
      </c>
      <c r="Q142" s="132">
        <f t="shared" si="47"/>
        <v>0</v>
      </c>
      <c r="R142" s="132">
        <f t="shared" si="47"/>
        <v>0</v>
      </c>
      <c r="S142" s="132">
        <f t="shared" si="47"/>
        <v>0</v>
      </c>
      <c r="T142" s="132">
        <f t="shared" si="47"/>
        <v>0</v>
      </c>
      <c r="U142" s="132">
        <f t="shared" si="47"/>
        <v>0</v>
      </c>
      <c r="V142" s="132">
        <f t="shared" si="47"/>
        <v>0</v>
      </c>
      <c r="W142" s="132">
        <f t="shared" si="47"/>
        <v>0</v>
      </c>
      <c r="X142" s="132">
        <f t="shared" si="47"/>
        <v>0</v>
      </c>
      <c r="Y142" s="132">
        <f t="shared" si="47"/>
        <v>0</v>
      </c>
      <c r="AA142" s="355">
        <f t="shared" si="28"/>
        <v>0</v>
      </c>
      <c r="AB142" s="356">
        <f t="shared" si="41"/>
        <v>0</v>
      </c>
    </row>
    <row r="143" spans="1:28" s="128" customFormat="1">
      <c r="AA143" s="355">
        <f t="shared" si="28"/>
        <v>0</v>
      </c>
      <c r="AB143" s="356">
        <f t="shared" si="41"/>
        <v>0</v>
      </c>
    </row>
    <row r="144" spans="1:28" s="128" customFormat="1">
      <c r="A144" s="146" t="str">
        <f>A76</f>
        <v>Net Income to FPLE</v>
      </c>
      <c r="F144" s="149">
        <f>F76</f>
        <v>99.176483355220995</v>
      </c>
      <c r="G144" s="149">
        <f t="shared" ref="G144:Y144" si="48">G76</f>
        <v>104.91672006470952</v>
      </c>
      <c r="H144" s="149">
        <f t="shared" si="48"/>
        <v>108.66016167025688</v>
      </c>
      <c r="I144" s="149">
        <f t="shared" si="48"/>
        <v>110.16669359150343</v>
      </c>
      <c r="J144" s="149">
        <f t="shared" si="48"/>
        <v>114.76615336224597</v>
      </c>
      <c r="K144" s="149">
        <f t="shared" si="48"/>
        <v>110.86626327216118</v>
      </c>
      <c r="L144" s="149">
        <f t="shared" si="48"/>
        <v>112.55714580539311</v>
      </c>
      <c r="M144" s="149">
        <f t="shared" si="48"/>
        <v>118.75640981107117</v>
      </c>
      <c r="N144" s="149">
        <f t="shared" si="48"/>
        <v>121.05132223822575</v>
      </c>
      <c r="O144" s="149">
        <f t="shared" si="48"/>
        <v>123.5574413118272</v>
      </c>
      <c r="P144" s="149">
        <f t="shared" si="48"/>
        <v>125.72225789074514</v>
      </c>
      <c r="Q144" s="149">
        <f t="shared" si="48"/>
        <v>132.64604158588054</v>
      </c>
      <c r="R144" s="149">
        <f t="shared" si="48"/>
        <v>131.25449270282451</v>
      </c>
      <c r="S144" s="149">
        <f t="shared" si="48"/>
        <v>129.84521287542552</v>
      </c>
      <c r="T144" s="149">
        <f t="shared" si="48"/>
        <v>128.26568180557823</v>
      </c>
      <c r="U144" s="149">
        <f t="shared" si="48"/>
        <v>126.66000296018605</v>
      </c>
      <c r="V144" s="149">
        <f t="shared" si="48"/>
        <v>129.10718257530226</v>
      </c>
      <c r="W144" s="149">
        <f t="shared" si="48"/>
        <v>137.43095322002921</v>
      </c>
      <c r="X144" s="149">
        <f t="shared" si="48"/>
        <v>0</v>
      </c>
      <c r="Y144" s="149">
        <f t="shared" si="48"/>
        <v>0</v>
      </c>
      <c r="AA144" s="355">
        <f t="shared" si="28"/>
        <v>2165.4066200985867</v>
      </c>
      <c r="AB144" s="356">
        <f t="shared" si="41"/>
        <v>2165.4066200985867</v>
      </c>
    </row>
    <row r="145" spans="1:28" s="128" customFormat="1">
      <c r="A145" s="103" t="s">
        <v>79</v>
      </c>
      <c r="F145" s="142">
        <f>F142+F144</f>
        <v>99.176483355220995</v>
      </c>
      <c r="G145" s="142">
        <f t="shared" ref="G145:Y145" si="49">G142+G144</f>
        <v>104.91672006470952</v>
      </c>
      <c r="H145" s="142">
        <f t="shared" si="49"/>
        <v>108.66016167025688</v>
      </c>
      <c r="I145" s="142">
        <f t="shared" si="49"/>
        <v>110.16669359150343</v>
      </c>
      <c r="J145" s="142">
        <f t="shared" si="49"/>
        <v>114.76615336224597</v>
      </c>
      <c r="K145" s="142">
        <f t="shared" si="49"/>
        <v>110.86626327216118</v>
      </c>
      <c r="L145" s="142">
        <f t="shared" si="49"/>
        <v>112.55714580539311</v>
      </c>
      <c r="M145" s="142">
        <f t="shared" si="49"/>
        <v>118.75640981107117</v>
      </c>
      <c r="N145" s="142">
        <f t="shared" si="49"/>
        <v>121.05132223822575</v>
      </c>
      <c r="O145" s="142">
        <f t="shared" si="49"/>
        <v>123.5574413118272</v>
      </c>
      <c r="P145" s="142">
        <f t="shared" si="49"/>
        <v>125.72225789074514</v>
      </c>
      <c r="Q145" s="142">
        <f t="shared" si="49"/>
        <v>132.64604158588054</v>
      </c>
      <c r="R145" s="142">
        <f t="shared" si="49"/>
        <v>131.25449270282451</v>
      </c>
      <c r="S145" s="142">
        <f t="shared" si="49"/>
        <v>129.84521287542552</v>
      </c>
      <c r="T145" s="142">
        <f t="shared" si="49"/>
        <v>128.26568180557823</v>
      </c>
      <c r="U145" s="142">
        <f t="shared" si="49"/>
        <v>126.66000296018605</v>
      </c>
      <c r="V145" s="142">
        <f t="shared" si="49"/>
        <v>129.10718257530226</v>
      </c>
      <c r="W145" s="142">
        <f t="shared" si="49"/>
        <v>137.43095322002921</v>
      </c>
      <c r="X145" s="142">
        <f t="shared" si="49"/>
        <v>0</v>
      </c>
      <c r="Y145" s="142">
        <f t="shared" si="49"/>
        <v>0</v>
      </c>
      <c r="AA145" s="355">
        <f t="shared" si="28"/>
        <v>2165.4066200985867</v>
      </c>
      <c r="AB145" s="356">
        <f t="shared" si="41"/>
        <v>2165.4066200985867</v>
      </c>
    </row>
    <row r="146" spans="1:28" s="128" customFormat="1">
      <c r="AA146" s="355">
        <f t="shared" si="28"/>
        <v>0</v>
      </c>
      <c r="AB146" s="356">
        <f t="shared" si="41"/>
        <v>0</v>
      </c>
    </row>
    <row r="147" spans="1:28" s="128" customFormat="1">
      <c r="AA147" s="355">
        <f t="shared" si="28"/>
        <v>0</v>
      </c>
      <c r="AB147" s="356">
        <f t="shared" si="41"/>
        <v>0</v>
      </c>
    </row>
    <row r="148" spans="1:28" s="128" customFormat="1">
      <c r="AA148" s="355">
        <f t="shared" si="28"/>
        <v>0</v>
      </c>
      <c r="AB148" s="356">
        <f t="shared" si="41"/>
        <v>0</v>
      </c>
    </row>
    <row r="149" spans="1:28" s="128" customFormat="1">
      <c r="A149" s="105" t="s">
        <v>110</v>
      </c>
      <c r="AA149" s="355">
        <f t="shared" si="28"/>
        <v>0</v>
      </c>
      <c r="AB149" s="356">
        <f t="shared" si="41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0</v>
      </c>
      <c r="G150" s="129">
        <f t="shared" ref="G150:Y150" si="50">G142</f>
        <v>0</v>
      </c>
      <c r="H150" s="129">
        <f t="shared" si="50"/>
        <v>0</v>
      </c>
      <c r="I150" s="129">
        <f t="shared" si="50"/>
        <v>0</v>
      </c>
      <c r="J150" s="129">
        <f t="shared" si="50"/>
        <v>0</v>
      </c>
      <c r="K150" s="129">
        <f t="shared" si="50"/>
        <v>0</v>
      </c>
      <c r="L150" s="129">
        <f t="shared" si="50"/>
        <v>0</v>
      </c>
      <c r="M150" s="129">
        <f t="shared" si="50"/>
        <v>0</v>
      </c>
      <c r="N150" s="129">
        <f t="shared" si="50"/>
        <v>0</v>
      </c>
      <c r="O150" s="129">
        <f t="shared" si="50"/>
        <v>0</v>
      </c>
      <c r="P150" s="129">
        <f t="shared" si="50"/>
        <v>0</v>
      </c>
      <c r="Q150" s="129">
        <f t="shared" si="50"/>
        <v>0</v>
      </c>
      <c r="R150" s="129">
        <f t="shared" si="50"/>
        <v>0</v>
      </c>
      <c r="S150" s="129">
        <f t="shared" si="50"/>
        <v>0</v>
      </c>
      <c r="T150" s="129">
        <f t="shared" si="50"/>
        <v>0</v>
      </c>
      <c r="U150" s="129">
        <f t="shared" si="50"/>
        <v>0</v>
      </c>
      <c r="V150" s="129">
        <f t="shared" si="50"/>
        <v>0</v>
      </c>
      <c r="W150" s="129">
        <f t="shared" si="50"/>
        <v>0</v>
      </c>
      <c r="X150" s="129">
        <f t="shared" si="50"/>
        <v>0</v>
      </c>
      <c r="Y150" s="129">
        <f t="shared" si="50"/>
        <v>0</v>
      </c>
      <c r="AA150" s="355">
        <f t="shared" si="28"/>
        <v>0</v>
      </c>
      <c r="AB150" s="356">
        <f t="shared" si="41"/>
        <v>0</v>
      </c>
    </row>
    <row r="151" spans="1:28" s="128" customFormat="1">
      <c r="A151" s="128" t="s">
        <v>111</v>
      </c>
      <c r="F151" s="332">
        <v>0</v>
      </c>
      <c r="G151" s="332">
        <v>0</v>
      </c>
      <c r="H151" s="332">
        <v>0</v>
      </c>
      <c r="I151" s="332">
        <v>0</v>
      </c>
      <c r="J151" s="332">
        <v>0</v>
      </c>
      <c r="K151" s="332">
        <v>0</v>
      </c>
      <c r="L151" s="332">
        <v>0</v>
      </c>
      <c r="M151" s="332">
        <v>0</v>
      </c>
      <c r="N151" s="332">
        <v>0</v>
      </c>
      <c r="O151" s="332">
        <v>0</v>
      </c>
      <c r="P151" s="332">
        <v>0</v>
      </c>
      <c r="Q151" s="332">
        <v>0</v>
      </c>
      <c r="R151" s="332">
        <v>0</v>
      </c>
      <c r="S151" s="332">
        <v>0</v>
      </c>
      <c r="T151" s="332">
        <v>0</v>
      </c>
      <c r="U151" s="332">
        <v>0</v>
      </c>
      <c r="V151" s="332">
        <v>0</v>
      </c>
      <c r="W151" s="332">
        <v>0</v>
      </c>
      <c r="X151" s="332">
        <v>0</v>
      </c>
      <c r="Y151" s="332">
        <v>0</v>
      </c>
      <c r="AA151" s="355">
        <f t="shared" si="28"/>
        <v>0</v>
      </c>
      <c r="AB151" s="356">
        <f t="shared" si="41"/>
        <v>0</v>
      </c>
    </row>
    <row r="152" spans="1:28" s="128" customFormat="1">
      <c r="F152" s="129">
        <f>F150+F151</f>
        <v>0</v>
      </c>
      <c r="G152" s="129">
        <f t="shared" ref="G152:Y152" si="51">G150+G151</f>
        <v>0</v>
      </c>
      <c r="H152" s="129">
        <f t="shared" si="51"/>
        <v>0</v>
      </c>
      <c r="I152" s="129">
        <f t="shared" si="51"/>
        <v>0</v>
      </c>
      <c r="J152" s="129">
        <f t="shared" si="51"/>
        <v>0</v>
      </c>
      <c r="K152" s="129">
        <f t="shared" si="51"/>
        <v>0</v>
      </c>
      <c r="L152" s="129">
        <f t="shared" si="51"/>
        <v>0</v>
      </c>
      <c r="M152" s="129">
        <f t="shared" si="51"/>
        <v>0</v>
      </c>
      <c r="N152" s="129">
        <f t="shared" si="51"/>
        <v>0</v>
      </c>
      <c r="O152" s="129">
        <f t="shared" si="51"/>
        <v>0</v>
      </c>
      <c r="P152" s="129">
        <f t="shared" si="51"/>
        <v>0</v>
      </c>
      <c r="Q152" s="129">
        <f t="shared" si="51"/>
        <v>0</v>
      </c>
      <c r="R152" s="129">
        <f t="shared" si="51"/>
        <v>0</v>
      </c>
      <c r="S152" s="129">
        <f t="shared" si="51"/>
        <v>0</v>
      </c>
      <c r="T152" s="129">
        <f t="shared" si="51"/>
        <v>0</v>
      </c>
      <c r="U152" s="129">
        <f t="shared" si="51"/>
        <v>0</v>
      </c>
      <c r="V152" s="129">
        <f t="shared" si="51"/>
        <v>0</v>
      </c>
      <c r="W152" s="129">
        <f t="shared" si="51"/>
        <v>0</v>
      </c>
      <c r="X152" s="129">
        <f t="shared" si="51"/>
        <v>0</v>
      </c>
      <c r="Y152" s="129">
        <f t="shared" si="51"/>
        <v>0</v>
      </c>
      <c r="AA152" s="355">
        <f t="shared" si="28"/>
        <v>0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0</v>
      </c>
    </row>
    <row r="156" spans="1:28" s="128" customFormat="1" ht="13.5" thickBot="1">
      <c r="A156" s="128" t="s">
        <v>48</v>
      </c>
      <c r="C156" s="116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2709.6832796353892</v>
      </c>
    </row>
    <row r="161" spans="1:25" s="128" customFormat="1">
      <c r="A161" s="108" t="s">
        <v>74</v>
      </c>
      <c r="B161" s="109"/>
      <c r="C161" s="109"/>
      <c r="D161" s="333">
        <v>0</v>
      </c>
      <c r="F161" s="150"/>
    </row>
    <row r="162" spans="1:25" s="128" customFormat="1">
      <c r="A162" s="108" t="s">
        <v>75</v>
      </c>
      <c r="B162" s="109"/>
      <c r="C162" s="109"/>
      <c r="D162" s="111">
        <f>C155-D161</f>
        <v>0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2709.6832796353892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/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/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/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/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17"/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17"/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/>
      <c r="B175" s="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17"/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/>
      <c r="B177" s="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/>
      <c r="B178" s="17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/>
      <c r="B179" s="1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17"/>
      <c r="B180" s="1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17"/>
      <c r="B181" s="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17"/>
      <c r="B182" s="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/>
      <c r="B183" s="17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3.5" outlineLevel="1">
      <c r="A184" s="97"/>
      <c r="B184" s="6"/>
      <c r="C184" s="6"/>
      <c r="D184" s="31"/>
      <c r="E184" s="6"/>
      <c r="F184" s="6"/>
      <c r="G184" s="31"/>
      <c r="H184" s="6"/>
      <c r="I184" s="6"/>
      <c r="J184" s="6"/>
      <c r="K184" s="6"/>
      <c r="L184" s="6"/>
      <c r="M184" s="6"/>
      <c r="N184" s="6"/>
      <c r="O184" s="6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17"/>
      <c r="B185" s="6"/>
      <c r="C185" s="33"/>
      <c r="D185" s="31"/>
      <c r="E185" s="31"/>
      <c r="F185" s="31"/>
      <c r="G185" s="34"/>
      <c r="H185" s="35"/>
      <c r="I185" s="35"/>
      <c r="J185" s="35"/>
      <c r="K185" s="35"/>
      <c r="L185" s="35"/>
      <c r="M185" s="35"/>
      <c r="N185" s="35"/>
      <c r="O185" s="35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17"/>
      <c r="B186" s="36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36"/>
      <c r="B187" s="36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36"/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36"/>
      <c r="B189" s="6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6"/>
      <c r="B190" s="1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17"/>
      <c r="B191" s="1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1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6"/>
      <c r="B194" s="1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17"/>
      <c r="B195" s="6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38"/>
      <c r="B196" s="6"/>
      <c r="C196" s="6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40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41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41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41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41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8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40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" customHeight="1" outlineLevel="1">
      <c r="A219" s="40"/>
      <c r="B219" s="6"/>
      <c r="C219" s="6"/>
      <c r="D219" s="6"/>
      <c r="E219" s="27"/>
      <c r="F219" s="27"/>
      <c r="G219" s="2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4.25" customHeight="1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outlineLevel="1">
      <c r="A223" s="40"/>
      <c r="B223" s="6"/>
      <c r="C223" s="6"/>
      <c r="D223" s="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outlineLevel="1">
      <c r="A224" s="42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27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6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17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6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6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3"/>
      <c r="B236" s="3"/>
      <c r="C236" s="3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outlineLevel="1">
      <c r="A237" s="40"/>
      <c r="B237" s="6"/>
      <c r="C237" s="6"/>
      <c r="D237" s="6"/>
      <c r="E237" s="27"/>
      <c r="F237" s="27"/>
      <c r="G237" s="2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outlineLevel="1">
      <c r="A238" s="39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8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27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40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39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20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27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40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27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40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39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40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41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8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8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40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41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41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8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40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6"/>
      <c r="B279" s="6"/>
      <c r="C279" s="6"/>
      <c r="D279" s="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outlineLevel="1">
      <c r="A280" s="6"/>
      <c r="B280" s="6"/>
      <c r="C280" s="6"/>
      <c r="D280" s="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6"/>
      <c r="B281" s="6"/>
      <c r="C281" s="6"/>
      <c r="D281" s="6"/>
      <c r="E281" s="6"/>
      <c r="F281" s="6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3"/>
      <c r="B282" s="3"/>
      <c r="C282" s="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outlineLevel="1">
      <c r="A283" s="17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17"/>
      <c r="B284" s="43"/>
      <c r="C284" s="4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17"/>
      <c r="B287" s="17"/>
      <c r="C287" s="17"/>
      <c r="D287" s="1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44"/>
      <c r="B288" s="17"/>
      <c r="C288" s="17"/>
      <c r="D288" s="17"/>
      <c r="E288" s="45"/>
      <c r="F288" s="45"/>
      <c r="G288" s="45"/>
      <c r="H288" s="45"/>
      <c r="I288" s="45"/>
      <c r="J288" s="45"/>
      <c r="K288" s="45"/>
      <c r="L288" s="45"/>
      <c r="M288" s="6"/>
      <c r="N288" s="4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17"/>
      <c r="C289" s="17"/>
      <c r="D289" s="17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3"/>
      <c r="C292" s="3"/>
      <c r="D292" s="3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6"/>
      <c r="B293" s="6"/>
      <c r="C293" s="6"/>
      <c r="D293" s="6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17"/>
      <c r="B294" s="17"/>
      <c r="C294" s="17"/>
      <c r="D294" s="17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44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17"/>
      <c r="B306" s="17"/>
      <c r="C306" s="17"/>
      <c r="D306" s="17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17"/>
      <c r="B309" s="17"/>
      <c r="C309" s="17"/>
      <c r="D309" s="17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17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6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46"/>
      <c r="C312" s="46"/>
      <c r="D312" s="46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17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44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17"/>
      <c r="B315" s="17"/>
      <c r="C315" s="17"/>
      <c r="D315" s="17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6"/>
      <c r="B316" s="6"/>
      <c r="C316" s="6"/>
      <c r="D316" s="6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17"/>
      <c r="B317" s="17"/>
      <c r="C317" s="17"/>
      <c r="D317" s="17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6"/>
      <c r="C323" s="6"/>
      <c r="D323" s="6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17"/>
      <c r="B324" s="17"/>
      <c r="C324" s="17"/>
      <c r="D324" s="17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17"/>
      <c r="B325" s="17"/>
      <c r="C325" s="17"/>
      <c r="D325" s="17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6"/>
      <c r="B326" s="6"/>
      <c r="C326" s="6"/>
      <c r="D326" s="6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47"/>
      <c r="C327" s="47"/>
      <c r="D327" s="6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43"/>
      <c r="C328" s="43"/>
      <c r="D328" s="43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48"/>
      <c r="C330" s="48"/>
      <c r="D330" s="6"/>
      <c r="E330" s="6"/>
      <c r="F330" s="6"/>
      <c r="G330" s="20"/>
      <c r="H330" s="20"/>
      <c r="I330" s="20"/>
      <c r="J330" s="20"/>
      <c r="K330" s="20"/>
      <c r="L330" s="2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6"/>
      <c r="C331" s="6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s="50" customFormat="1" outlineLevel="1">
      <c r="A339" s="49"/>
    </row>
    <row r="340" spans="1:25" outlineLevel="1">
      <c r="A340" s="1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outlineLevel="1">
      <c r="A341" s="17"/>
      <c r="B341" s="6"/>
      <c r="C341" s="6"/>
      <c r="D341" s="6"/>
      <c r="E341" s="6"/>
      <c r="F341" s="6"/>
      <c r="G341" s="51"/>
      <c r="H341" s="51"/>
      <c r="I341" s="51"/>
      <c r="J341" s="51"/>
      <c r="K341" s="51"/>
      <c r="L341" s="5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7"/>
      <c r="B342" s="6"/>
      <c r="C342" s="6"/>
      <c r="D342" s="6"/>
      <c r="E342" s="6"/>
      <c r="F342" s="6"/>
      <c r="G342" s="51"/>
      <c r="H342" s="51"/>
      <c r="I342" s="51"/>
      <c r="J342" s="51"/>
      <c r="K342" s="51"/>
      <c r="L342" s="5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6"/>
      <c r="B343" s="52"/>
      <c r="C343" s="52"/>
      <c r="D343" s="52"/>
      <c r="E343" s="6"/>
      <c r="F343" s="6"/>
      <c r="G343" s="53"/>
      <c r="H343" s="53"/>
      <c r="I343" s="53"/>
      <c r="J343" s="53"/>
      <c r="K343" s="53"/>
      <c r="L343" s="5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7"/>
      <c r="B344" s="54"/>
      <c r="C344" s="54"/>
      <c r="D344" s="5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49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55"/>
      <c r="B346" s="6"/>
      <c r="C346" s="6"/>
      <c r="D346" s="6"/>
      <c r="E346" s="6"/>
      <c r="F346" s="6"/>
      <c r="G346" s="20"/>
      <c r="H346" s="20"/>
      <c r="I346" s="20"/>
      <c r="J346" s="20"/>
      <c r="K346" s="20"/>
      <c r="L346" s="2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55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55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55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55"/>
      <c r="B350" s="6"/>
      <c r="C350" s="6"/>
      <c r="D350" s="6"/>
      <c r="E350" s="6"/>
      <c r="F350" s="6"/>
      <c r="G350" s="51"/>
      <c r="H350" s="51"/>
      <c r="I350" s="51"/>
      <c r="J350" s="51"/>
      <c r="K350" s="51"/>
      <c r="L350" s="5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7"/>
      <c r="B351" s="6"/>
      <c r="C351" s="6"/>
      <c r="D351" s="6"/>
      <c r="E351" s="6"/>
      <c r="F351" s="6"/>
      <c r="G351" s="56"/>
      <c r="H351" s="56"/>
      <c r="I351" s="56"/>
      <c r="J351" s="56"/>
      <c r="K351" s="56"/>
      <c r="L351" s="5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55"/>
      <c r="B352" s="14"/>
      <c r="C352" s="14"/>
      <c r="D352" s="14"/>
      <c r="E352" s="6"/>
      <c r="F352" s="6"/>
      <c r="G352" s="57"/>
      <c r="H352" s="57"/>
      <c r="I352" s="57"/>
      <c r="J352" s="57"/>
      <c r="K352" s="57"/>
      <c r="L352" s="57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55"/>
      <c r="B353" s="6"/>
      <c r="C353" s="6"/>
      <c r="D353" s="6"/>
      <c r="E353" s="6"/>
      <c r="F353" s="6"/>
      <c r="G353" s="57"/>
      <c r="H353" s="57"/>
      <c r="I353" s="57"/>
      <c r="J353" s="57"/>
      <c r="K353" s="57"/>
      <c r="L353" s="57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55"/>
      <c r="B354" s="6"/>
      <c r="C354" s="6"/>
      <c r="D354" s="6"/>
      <c r="E354" s="6"/>
      <c r="F354" s="6"/>
      <c r="G354" s="57"/>
      <c r="H354" s="57"/>
      <c r="I354" s="57"/>
      <c r="J354" s="57"/>
      <c r="K354" s="57"/>
      <c r="L354" s="57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55"/>
      <c r="B355" s="6"/>
      <c r="C355" s="6"/>
      <c r="D355" s="6"/>
      <c r="E355" s="6"/>
      <c r="F355" s="6"/>
      <c r="G355" s="57"/>
      <c r="H355" s="57"/>
      <c r="I355" s="57"/>
      <c r="J355" s="57"/>
      <c r="K355" s="57"/>
      <c r="L355" s="57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55"/>
      <c r="B356" s="6"/>
      <c r="C356" s="6"/>
      <c r="D356" s="6"/>
      <c r="E356" s="6"/>
      <c r="F356" s="6"/>
      <c r="G356" s="56"/>
      <c r="H356" s="56"/>
      <c r="I356" s="56"/>
      <c r="J356" s="56"/>
      <c r="K356" s="56"/>
      <c r="L356" s="5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6"/>
      <c r="B358" s="6"/>
      <c r="C358" s="6"/>
      <c r="D358" s="6"/>
      <c r="E358" s="6"/>
      <c r="F358" s="6"/>
      <c r="G358" s="20"/>
      <c r="H358" s="20"/>
      <c r="I358" s="20"/>
      <c r="J358" s="20"/>
      <c r="K358" s="20"/>
      <c r="L358" s="2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58"/>
      <c r="F361" s="58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51"/>
      <c r="H364" s="51"/>
      <c r="I364" s="51"/>
      <c r="J364" s="51"/>
      <c r="K364" s="51"/>
      <c r="L364" s="5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55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55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55"/>
      <c r="B367" s="6"/>
      <c r="C367" s="6"/>
      <c r="D367" s="6"/>
      <c r="E367" s="58"/>
      <c r="F367" s="58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6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17"/>
      <c r="B375" s="6"/>
      <c r="C375" s="6"/>
      <c r="D375" s="6"/>
      <c r="E375" s="59"/>
      <c r="F375" s="59"/>
      <c r="G375" s="59"/>
      <c r="H375" s="59"/>
      <c r="I375" s="59"/>
      <c r="J375" s="59"/>
      <c r="K375" s="59"/>
      <c r="L375" s="5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14"/>
      <c r="E376" s="58"/>
      <c r="F376" s="58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59"/>
      <c r="F377" s="59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6"/>
      <c r="E378" s="6"/>
      <c r="F378" s="6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45"/>
      <c r="H383" s="45"/>
      <c r="I383" s="45"/>
      <c r="J383" s="45"/>
      <c r="K383" s="45"/>
      <c r="L383" s="4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59"/>
      <c r="H384" s="59"/>
      <c r="I384" s="59"/>
      <c r="J384" s="59"/>
      <c r="K384" s="59"/>
      <c r="L384" s="5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30" outlineLevel="1">
      <c r="A385" s="6"/>
      <c r="B385" s="6"/>
      <c r="C385" s="6"/>
      <c r="D385" s="6"/>
      <c r="E385" s="6"/>
      <c r="F385" s="6"/>
      <c r="G385" s="60"/>
      <c r="H385" s="60"/>
      <c r="I385" s="60"/>
      <c r="J385" s="60"/>
      <c r="K385" s="60"/>
      <c r="L385" s="60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30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30" outlineLevel="1">
      <c r="A387" s="6"/>
      <c r="B387" s="6"/>
      <c r="C387" s="6"/>
      <c r="D387" s="6"/>
      <c r="E387" s="6"/>
      <c r="F387" s="6"/>
      <c r="G387" s="60"/>
      <c r="H387" s="60"/>
      <c r="I387" s="60"/>
      <c r="J387" s="60"/>
      <c r="K387" s="60"/>
      <c r="L387" s="60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30" outlineLevel="1">
      <c r="A388" s="6"/>
      <c r="B388" s="6"/>
      <c r="C388" s="6"/>
      <c r="D388" s="6"/>
      <c r="E388" s="6"/>
      <c r="F388" s="6"/>
      <c r="G388" s="61"/>
      <c r="H388" s="61"/>
      <c r="I388" s="61"/>
      <c r="J388" s="61"/>
      <c r="K388" s="61"/>
      <c r="L388" s="6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30" outlineLevel="1">
      <c r="A389" s="6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30" hidden="1" outlineLevel="2">
      <c r="A390" s="17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30" hidden="1" outlineLevel="2">
      <c r="A391" s="17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30" hidden="1" outlineLevel="2">
      <c r="A392" s="6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30" hidden="1" outlineLevel="2">
      <c r="A393" s="17"/>
      <c r="B393" s="9"/>
      <c r="C393" s="9"/>
      <c r="D393" s="9"/>
      <c r="E393" s="10"/>
      <c r="F393" s="10"/>
      <c r="G393" s="10"/>
      <c r="H393" s="9"/>
      <c r="I393" s="9"/>
      <c r="J393" s="10"/>
      <c r="K393" s="10"/>
      <c r="L393" s="9"/>
      <c r="M393" s="10"/>
      <c r="N393" s="10"/>
      <c r="O393" s="10"/>
      <c r="P393" s="9"/>
      <c r="Q393" s="10"/>
      <c r="R393" s="10"/>
      <c r="S393" s="6"/>
      <c r="T393" s="6"/>
      <c r="U393" s="6"/>
      <c r="V393" s="6"/>
      <c r="W393" s="6"/>
      <c r="X393" s="10"/>
      <c r="Y393" s="6"/>
    </row>
    <row r="394" spans="1:30" hidden="1" outlineLevel="2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30" hidden="1" outlineLevel="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30" hidden="1" outlineLevel="2">
      <c r="A396" s="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6"/>
      <c r="T396" s="6"/>
      <c r="U396" s="6"/>
      <c r="V396" s="6"/>
      <c r="W396" s="6"/>
      <c r="X396" s="45"/>
      <c r="Y396" s="6"/>
    </row>
    <row r="397" spans="1:30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30" hidden="1" outlineLevel="2">
      <c r="A398" s="6"/>
      <c r="B398" s="59"/>
      <c r="C398" s="59"/>
      <c r="D398" s="59"/>
      <c r="E398" s="59"/>
      <c r="F398" s="59"/>
      <c r="G398" s="59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30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30" hidden="1" outlineLevel="2">
      <c r="A400" s="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45"/>
      <c r="Z400" s="45"/>
      <c r="AA400" s="45"/>
      <c r="AB400" s="45"/>
      <c r="AC400" s="45"/>
      <c r="AD400" s="45"/>
    </row>
    <row r="401" spans="1:25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6"/>
    </row>
    <row r="403" spans="1:25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idden="1" outlineLevel="2">
      <c r="A404" s="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6"/>
      <c r="T404" s="6"/>
      <c r="U404" s="6"/>
      <c r="V404" s="6"/>
      <c r="W404" s="6"/>
      <c r="X404" s="45"/>
      <c r="Y404" s="45"/>
    </row>
    <row r="405" spans="1:25" hidden="1" outlineLevel="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idden="1" outlineLevel="2">
      <c r="A406" s="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6"/>
      <c r="T406" s="6"/>
      <c r="U406" s="6"/>
      <c r="V406" s="6"/>
      <c r="W406" s="6"/>
      <c r="X406" s="45"/>
      <c r="Y406" s="45"/>
    </row>
    <row r="407" spans="1:25" hidden="1" outlineLevel="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1" collapsed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1">
      <c r="A411" s="3"/>
      <c r="B411" s="3"/>
      <c r="C411" s="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outlineLevel="1">
      <c r="A412" s="17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outlineLevel="1">
      <c r="A413" s="17"/>
      <c r="B413" s="43"/>
      <c r="C413" s="4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outlineLevel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outlineLevel="1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outlineLevel="1">
      <c r="A416" s="17"/>
      <c r="B416" s="17"/>
      <c r="C416" s="1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>
      <c r="A417" s="44"/>
      <c r="B417" s="17"/>
      <c r="C417" s="17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outlineLevel="1">
      <c r="A418" s="44"/>
      <c r="B418" s="17"/>
      <c r="C418" s="17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3"/>
      <c r="C421" s="3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6"/>
      <c r="B422" s="6"/>
      <c r="C422" s="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17"/>
      <c r="B423" s="17"/>
      <c r="C423" s="17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44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17"/>
      <c r="B435" s="17"/>
      <c r="C435" s="17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6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17"/>
      <c r="B439" s="17"/>
      <c r="C439" s="17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6"/>
      <c r="B440" s="6"/>
      <c r="C440" s="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17"/>
      <c r="B441" s="17"/>
      <c r="C441" s="17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6"/>
      <c r="C445" s="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17"/>
      <c r="B446" s="17"/>
      <c r="C446" s="17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17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44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3"/>
      <c r="B453" s="46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17"/>
      <c r="B454" s="17"/>
      <c r="C454" s="17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6"/>
      <c r="B455" s="6"/>
      <c r="C455" s="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43"/>
      <c r="C456" s="43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3"/>
      <c r="B461" s="3"/>
      <c r="C461" s="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17"/>
      <c r="B462" s="17"/>
      <c r="C462" s="1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17"/>
      <c r="B463" s="43"/>
      <c r="C463" s="4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6"/>
      <c r="T465" s="6"/>
      <c r="U465" s="6"/>
      <c r="V465" s="6"/>
      <c r="W465" s="6"/>
      <c r="X465" s="6"/>
      <c r="Y465" s="6"/>
    </row>
    <row r="466" spans="1:25" outlineLevel="1">
      <c r="A466" s="17"/>
      <c r="B466" s="17"/>
      <c r="C466" s="17"/>
      <c r="D466" s="1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outlineLevel="1">
      <c r="A467" s="44"/>
      <c r="B467" s="17"/>
      <c r="C467" s="17"/>
      <c r="D467" s="17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17"/>
      <c r="C468" s="17"/>
      <c r="D468" s="17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44"/>
      <c r="C469" s="44"/>
      <c r="D469" s="44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44"/>
      <c r="C470" s="44"/>
      <c r="D470" s="44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3"/>
      <c r="C471" s="3"/>
      <c r="D471" s="3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3"/>
      <c r="C472" s="3"/>
      <c r="D472" s="3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"/>
      <c r="T472" s="6"/>
      <c r="U472" s="6"/>
      <c r="V472" s="6"/>
      <c r="W472" s="6"/>
      <c r="X472" s="6"/>
      <c r="Y472" s="6"/>
    </row>
    <row r="473" spans="1:25" outlineLevel="1">
      <c r="A473" s="17"/>
      <c r="B473" s="17"/>
      <c r="C473" s="17"/>
      <c r="D473" s="17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17"/>
      <c r="C474" s="17"/>
      <c r="D474" s="17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44"/>
      <c r="C484" s="44"/>
      <c r="D484" s="44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44"/>
      <c r="C485" s="44"/>
      <c r="D485" s="44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"/>
      <c r="T485" s="6"/>
      <c r="U485" s="6"/>
      <c r="V485" s="6"/>
      <c r="W485" s="6"/>
      <c r="X485" s="6"/>
      <c r="Y485" s="6"/>
    </row>
    <row r="486" spans="1:25" outlineLevel="1">
      <c r="A486" s="17"/>
      <c r="B486" s="17"/>
      <c r="C486" s="17"/>
      <c r="D486" s="17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"/>
      <c r="T486" s="6"/>
      <c r="U486" s="6"/>
      <c r="V486" s="6"/>
      <c r="W486" s="6"/>
      <c r="X486" s="6"/>
      <c r="Y486" s="6"/>
    </row>
    <row r="487" spans="1:25" outlineLevel="1">
      <c r="A487" s="6"/>
      <c r="B487" s="17"/>
      <c r="C487" s="17"/>
      <c r="D487" s="17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"/>
      <c r="T487" s="6"/>
      <c r="U487" s="6"/>
      <c r="V487" s="6"/>
      <c r="W487" s="6"/>
      <c r="X487" s="6"/>
      <c r="Y487" s="6"/>
    </row>
    <row r="488" spans="1:25" outlineLevel="1">
      <c r="A488" s="44"/>
      <c r="B488" s="44"/>
      <c r="C488" s="44"/>
      <c r="D488" s="44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"/>
      <c r="T488" s="6"/>
      <c r="U488" s="6"/>
      <c r="V488" s="6"/>
      <c r="W488" s="6"/>
      <c r="X488" s="6"/>
      <c r="Y488" s="6"/>
    </row>
    <row r="489" spans="1:25" outlineLevel="1">
      <c r="A489" s="17"/>
      <c r="B489" s="17"/>
      <c r="C489" s="17"/>
      <c r="D489" s="17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"/>
      <c r="T489" s="6"/>
      <c r="U489" s="6"/>
      <c r="V489" s="6"/>
      <c r="W489" s="6"/>
      <c r="X489" s="6"/>
      <c r="Y489" s="6"/>
    </row>
    <row r="490" spans="1:25" outlineLevel="1">
      <c r="A490" s="44"/>
      <c r="B490" s="46"/>
      <c r="C490" s="46"/>
      <c r="D490" s="46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43"/>
      <c r="C494" s="43"/>
      <c r="D494" s="43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"/>
      <c r="T498" s="6"/>
      <c r="U498" s="6"/>
      <c r="V498" s="6"/>
      <c r="W498" s="6"/>
      <c r="X498" s="6"/>
      <c r="Y498" s="6"/>
    </row>
    <row r="499" spans="1:25" outlineLevel="1">
      <c r="A499" s="6"/>
      <c r="B499" s="43"/>
      <c r="C499" s="43"/>
      <c r="D499" s="43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 spans="1:25" outlineLevel="1">
      <c r="A500" s="6"/>
      <c r="B500" s="62"/>
      <c r="C500" s="62"/>
      <c r="D500" s="43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 spans="1:25" outlineLevel="1">
      <c r="A501" s="6"/>
      <c r="B501" s="43"/>
      <c r="C501" s="43"/>
      <c r="D501" s="43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 spans="1:25" outlineLevel="1">
      <c r="A502" s="6"/>
      <c r="B502" s="43"/>
      <c r="C502" s="43"/>
      <c r="D502" s="43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 spans="1:25" outlineLevel="1">
      <c r="A503" s="6"/>
      <c r="B503" s="43"/>
      <c r="C503" s="43"/>
      <c r="D503" s="43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 spans="1:25" outlineLevel="1">
      <c r="A504" s="6"/>
      <c r="B504" s="43"/>
      <c r="C504" s="43"/>
      <c r="D504" s="43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 spans="1:25" outlineLevel="1">
      <c r="A505" s="17"/>
      <c r="B505" s="43"/>
      <c r="C505" s="43"/>
      <c r="D505" s="43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 spans="1:25" outlineLevel="1">
      <c r="A506" s="6"/>
      <c r="B506" s="43"/>
      <c r="C506" s="43"/>
      <c r="D506" s="43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 spans="1:25" outlineLevel="1">
      <c r="A507" s="6"/>
      <c r="B507" s="43"/>
      <c r="C507" s="43"/>
      <c r="D507" s="43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 spans="1:25" outlineLevel="1">
      <c r="A508" s="17"/>
      <c r="B508" s="43"/>
      <c r="C508" s="43"/>
      <c r="D508" s="43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 spans="1:25" outlineLevel="1">
      <c r="A509" s="17"/>
      <c r="B509" s="43"/>
      <c r="C509" s="43"/>
      <c r="D509" s="43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 spans="1:25" outlineLevel="1">
      <c r="A510" s="6"/>
      <c r="B510" s="43"/>
      <c r="C510" s="43"/>
      <c r="D510" s="43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 spans="1:25" outlineLevel="1">
      <c r="A511" s="6"/>
      <c r="B511" s="43"/>
      <c r="C511" s="43"/>
      <c r="D511" s="43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 spans="1:25" outlineLevel="1">
      <c r="A512" s="6"/>
      <c r="B512" s="43"/>
      <c r="C512" s="43"/>
      <c r="D512" s="43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 spans="1:25" outlineLevel="1">
      <c r="A513" s="6"/>
      <c r="B513" s="43"/>
      <c r="C513" s="43"/>
      <c r="D513" s="43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 spans="1:25" outlineLevel="1">
      <c r="A514" s="6"/>
      <c r="B514" s="43"/>
      <c r="C514" s="43"/>
      <c r="D514" s="43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 spans="1:25" outlineLevel="1">
      <c r="A515" s="6"/>
      <c r="B515" s="43"/>
      <c r="C515" s="43"/>
      <c r="D515" s="43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 spans="1:25" outlineLevel="1">
      <c r="A516" s="6"/>
      <c r="B516" s="43"/>
      <c r="C516" s="43"/>
      <c r="D516" s="43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 spans="1:25" outlineLevel="1">
      <c r="A517" s="6"/>
      <c r="B517" s="43"/>
      <c r="C517" s="43"/>
      <c r="D517" s="43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"/>
      <c r="T517" s="6"/>
      <c r="U517" s="6"/>
      <c r="V517" s="6"/>
      <c r="W517" s="6"/>
      <c r="X517" s="6"/>
      <c r="Y517" s="6"/>
    </row>
    <row r="518" spans="1:25" outlineLevel="1">
      <c r="A518" s="17"/>
      <c r="B518" s="43"/>
      <c r="C518" s="43"/>
      <c r="D518" s="43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63"/>
      <c r="F522" s="63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6"/>
      <c r="T522" s="6"/>
      <c r="U522" s="6"/>
      <c r="V522" s="6"/>
      <c r="W522" s="6"/>
      <c r="X522" s="6"/>
      <c r="Y522" s="6"/>
    </row>
    <row r="523" spans="1:25" outlineLevel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outlineLevel="1">
      <c r="A529" s="6"/>
      <c r="B529" s="6"/>
      <c r="C529" s="6"/>
      <c r="D529" s="6"/>
      <c r="E529" s="6"/>
      <c r="F529" s="6"/>
      <c r="G529" s="3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outlineLevel="1">
      <c r="A530" s="17"/>
      <c r="B530" s="6"/>
      <c r="C530" s="6"/>
      <c r="D530" s="6"/>
      <c r="E530" s="6"/>
      <c r="F530" s="6"/>
      <c r="G530" s="31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6"/>
      <c r="T530" s="6"/>
      <c r="U530" s="6"/>
      <c r="V530" s="6"/>
      <c r="W530" s="6"/>
      <c r="X530" s="6"/>
      <c r="Y530" s="6"/>
    </row>
    <row r="531" spans="1:25" outlineLevel="1">
      <c r="A531" s="6"/>
      <c r="B531" s="6"/>
      <c r="C531" s="6"/>
      <c r="D531" s="6"/>
      <c r="E531" s="6"/>
      <c r="F531" s="6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55"/>
      <c r="B535" s="6"/>
      <c r="C535" s="6"/>
      <c r="D535" s="6"/>
      <c r="E535" s="6"/>
      <c r="F535" s="6"/>
      <c r="G535" s="3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6"/>
      <c r="T535" s="6"/>
      <c r="U535" s="6"/>
      <c r="V535" s="6"/>
      <c r="W535" s="6"/>
      <c r="X535" s="6"/>
      <c r="Y535" s="6"/>
    </row>
    <row r="536" spans="1:25" outlineLevel="1">
      <c r="A536" s="55"/>
      <c r="B536" s="6"/>
      <c r="C536" s="6"/>
      <c r="D536" s="6"/>
      <c r="E536" s="6"/>
      <c r="F536" s="6"/>
      <c r="G536" s="3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6"/>
      <c r="T536" s="6"/>
      <c r="U536" s="6"/>
      <c r="V536" s="6"/>
      <c r="W536" s="6"/>
      <c r="X536" s="6"/>
      <c r="Y536" s="6"/>
    </row>
    <row r="537" spans="1:25" outlineLevel="1">
      <c r="A537" s="17"/>
      <c r="B537" s="6"/>
      <c r="C537" s="6"/>
      <c r="D537" s="6"/>
      <c r="E537" s="6"/>
      <c r="F537" s="6"/>
      <c r="G537" s="3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outlineLevel="1">
      <c r="A538" s="6"/>
      <c r="B538" s="6"/>
      <c r="C538" s="6"/>
      <c r="D538" s="63"/>
      <c r="E538" s="63"/>
      <c r="F538" s="63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3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17"/>
      <c r="B540" s="6"/>
      <c r="C540" s="6"/>
      <c r="D540" s="6"/>
      <c r="E540" s="6"/>
      <c r="F540" s="6"/>
      <c r="G540" s="31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6"/>
      <c r="T540" s="6"/>
      <c r="U540" s="6"/>
      <c r="V540" s="6"/>
      <c r="W540" s="6"/>
      <c r="X540" s="6"/>
      <c r="Y540" s="6"/>
    </row>
    <row r="541" spans="1:25" outlineLevel="1">
      <c r="A541" s="6"/>
      <c r="B541" s="65"/>
      <c r="C541" s="65"/>
      <c r="D541" s="6"/>
      <c r="E541" s="6"/>
      <c r="F541" s="6"/>
      <c r="G541" s="3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6"/>
      <c r="T541" s="6"/>
      <c r="U541" s="6"/>
      <c r="V541" s="6"/>
      <c r="W541" s="6"/>
      <c r="X541" s="6"/>
      <c r="Y541" s="6"/>
    </row>
    <row r="542" spans="1:25" outlineLevel="1">
      <c r="A542" s="17"/>
      <c r="B542" s="6"/>
      <c r="C542" s="6"/>
      <c r="D542" s="6"/>
      <c r="E542" s="6"/>
      <c r="F542" s="6"/>
      <c r="G542" s="3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outlineLevel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s="67" customFormat="1" outlineLevel="1">
      <c r="A545" s="66"/>
      <c r="B545" s="66"/>
      <c r="C545" s="66"/>
      <c r="D545" s="66"/>
      <c r="E545" s="66"/>
      <c r="F545" s="66"/>
      <c r="G545" s="66"/>
    </row>
    <row r="546" spans="1:25" s="67" customFormat="1" outlineLevel="1">
      <c r="A546" s="66"/>
      <c r="B546" s="66"/>
      <c r="C546" s="66"/>
      <c r="D546" s="66"/>
      <c r="E546" s="66"/>
      <c r="F546" s="68"/>
      <c r="G546" s="69"/>
      <c r="H546" s="66"/>
      <c r="I546" s="70"/>
    </row>
    <row r="547" spans="1:25" s="67" customFormat="1" outlineLevel="1">
      <c r="A547" s="66"/>
      <c r="B547" s="69"/>
      <c r="C547" s="69"/>
      <c r="D547" s="69"/>
      <c r="E547" s="69"/>
      <c r="F547" s="71"/>
      <c r="G547" s="47"/>
      <c r="H547" s="47"/>
      <c r="I547" s="70"/>
    </row>
    <row r="548" spans="1:25" s="67" customFormat="1" outlineLevel="1">
      <c r="A548" s="66"/>
      <c r="B548" s="47"/>
      <c r="C548" s="47"/>
      <c r="D548" s="47"/>
      <c r="E548" s="47"/>
      <c r="F548" s="47"/>
      <c r="G548" s="70"/>
      <c r="H548" s="47"/>
      <c r="I548" s="71"/>
    </row>
    <row r="549" spans="1:25" s="67" customFormat="1" outlineLevel="1">
      <c r="A549" s="72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 spans="1:25" s="67" customFormat="1" outlineLevel="1">
      <c r="A550" s="40"/>
      <c r="B550" s="66"/>
      <c r="C550" s="66"/>
      <c r="D550" s="66"/>
      <c r="E550" s="66"/>
      <c r="F550" s="66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s="67" customFormat="1" outlineLevel="1">
      <c r="A551" s="39"/>
      <c r="B551" s="66"/>
      <c r="C551" s="66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74"/>
      <c r="C552" s="74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75"/>
      <c r="C553" s="75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8"/>
      <c r="B554" s="72"/>
      <c r="C554" s="72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27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40"/>
      <c r="B556" s="66"/>
      <c r="C556" s="66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76"/>
      <c r="B557" s="77"/>
      <c r="C557" s="7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42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8"/>
      <c r="C567" s="78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40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39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39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40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41"/>
      <c r="B575" s="77"/>
      <c r="C575" s="7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 spans="1:25" s="67" customFormat="1" outlineLevel="1">
      <c r="A576" s="39"/>
      <c r="B576" s="80"/>
      <c r="C576" s="80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ht="13.9" customHeight="1" outlineLevel="1">
      <c r="A577" s="38"/>
      <c r="B577" s="80"/>
      <c r="C577" s="80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outlineLevel="1">
      <c r="A578" s="39"/>
      <c r="B578" s="74"/>
      <c r="C578" s="74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8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81"/>
      <c r="C581" s="81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81"/>
      <c r="C582" s="81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81"/>
      <c r="C583" s="81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40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40"/>
      <c r="B585" s="66"/>
      <c r="C585" s="66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39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41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41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41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82"/>
      <c r="C592" s="8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41"/>
      <c r="B593" s="82"/>
      <c r="C593" s="8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8"/>
      <c r="B594" s="80"/>
      <c r="C594" s="80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40"/>
      <c r="B595" s="66"/>
      <c r="C595" s="66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80"/>
      <c r="C598" s="80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outlineLevel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83"/>
      <c r="B606" s="6"/>
      <c r="C606" s="6"/>
      <c r="D606" s="6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3"/>
      <c r="B608" s="3"/>
      <c r="C608" s="3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idden="1" outlineLevel="2">
      <c r="A609" s="1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44"/>
      <c r="B610" s="6"/>
      <c r="C610" s="6"/>
      <c r="D610" s="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8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6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17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44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6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44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6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17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44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outlineLevel="1" collapsed="1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6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6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17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>
      <c r="A643" s="6"/>
      <c r="B643" s="6"/>
      <c r="C643" s="6"/>
      <c r="D643" s="6"/>
      <c r="E643" s="6"/>
      <c r="F643" s="6"/>
      <c r="G643" s="6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F31" sqref="F31"/>
    </sheetView>
  </sheetViews>
  <sheetFormatPr defaultRowHeight="12.75"/>
  <cols>
    <col min="1" max="1" width="46.28515625" customWidth="1"/>
    <col min="2" max="3" width="6" customWidth="1"/>
    <col min="4" max="9" width="16" customWidth="1"/>
    <col min="10" max="10" width="17.140625" customWidth="1"/>
    <col min="11" max="13" width="16.140625" customWidth="1"/>
    <col min="14" max="14" width="21.5703125" customWidth="1"/>
    <col min="15" max="18" width="16.140625" customWidth="1"/>
    <col min="19" max="20" width="13.85546875" customWidth="1"/>
  </cols>
  <sheetData>
    <row r="1" spans="1:21">
      <c r="A1" s="430" t="s">
        <v>235</v>
      </c>
    </row>
    <row r="3" spans="1:21">
      <c r="A3" t="s">
        <v>236</v>
      </c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</row>
    <row r="4" spans="1:21">
      <c r="A4" t="s">
        <v>237</v>
      </c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</row>
    <row r="5" spans="1:21">
      <c r="A5" t="s">
        <v>238</v>
      </c>
    </row>
    <row r="6" spans="1:21">
      <c r="A6" t="s">
        <v>239</v>
      </c>
    </row>
    <row r="7" spans="1:21">
      <c r="A7" t="s">
        <v>240</v>
      </c>
    </row>
    <row r="8" spans="1:21">
      <c r="A8" t="s">
        <v>241</v>
      </c>
    </row>
    <row r="9" spans="1:21">
      <c r="A9" t="s">
        <v>242</v>
      </c>
    </row>
    <row r="10" spans="1:21">
      <c r="A10" t="s">
        <v>243</v>
      </c>
    </row>
    <row r="11" spans="1:21">
      <c r="A11" t="s">
        <v>244</v>
      </c>
    </row>
    <row r="12" spans="1:21">
      <c r="A12" t="s">
        <v>245</v>
      </c>
    </row>
    <row r="13" spans="1:21">
      <c r="A13" t="s">
        <v>246</v>
      </c>
    </row>
    <row r="14" spans="1:21">
      <c r="A14" t="s">
        <v>247</v>
      </c>
    </row>
    <row r="15" spans="1:21">
      <c r="A15" t="s">
        <v>248</v>
      </c>
    </row>
    <row r="16" spans="1:21">
      <c r="A16" t="s">
        <v>249</v>
      </c>
    </row>
    <row r="17" spans="1:1">
      <c r="A17" t="s">
        <v>250</v>
      </c>
    </row>
    <row r="18" spans="1:1">
      <c r="A18" t="s">
        <v>251</v>
      </c>
    </row>
    <row r="19" spans="1:1">
      <c r="A19" t="s">
        <v>252</v>
      </c>
    </row>
    <row r="20" spans="1:1">
      <c r="A20" t="s">
        <v>253</v>
      </c>
    </row>
    <row r="21" spans="1:1">
      <c r="A21" t="s">
        <v>254</v>
      </c>
    </row>
    <row r="22" spans="1:1">
      <c r="A22" t="s">
        <v>255</v>
      </c>
    </row>
    <row r="24" spans="1:1">
      <c r="A24" s="430" t="s">
        <v>256</v>
      </c>
    </row>
    <row r="25" spans="1:1" ht="51">
      <c r="A25" s="432" t="s">
        <v>257</v>
      </c>
    </row>
    <row r="26" spans="1:1">
      <c r="A26" s="432"/>
    </row>
    <row r="27" spans="1:1" ht="25.5">
      <c r="A27" s="432" t="s">
        <v>258</v>
      </c>
    </row>
    <row r="28" spans="1:1">
      <c r="A28" s="432"/>
    </row>
    <row r="29" spans="1:1" ht="76.5">
      <c r="A29" s="432" t="s">
        <v>259</v>
      </c>
    </row>
    <row r="31" spans="1:1" ht="51">
      <c r="A31" s="432" t="s">
        <v>260</v>
      </c>
    </row>
    <row r="33" spans="1:1">
      <c r="A33" t="s">
        <v>261</v>
      </c>
    </row>
    <row r="35" spans="1:1">
      <c r="A35" t="s">
        <v>262</v>
      </c>
    </row>
    <row r="37" spans="1:1">
      <c r="A37" t="s">
        <v>263</v>
      </c>
    </row>
    <row r="39" spans="1:1">
      <c r="A39" t="s">
        <v>264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48"/>
  <sheetViews>
    <sheetView tabSelected="1" zoomScale="75" zoomScaleNormal="75" workbookViewId="0">
      <selection activeCell="F44" sqref="F44"/>
    </sheetView>
  </sheetViews>
  <sheetFormatPr defaultRowHeight="12.75"/>
  <cols>
    <col min="1" max="1" width="3.42578125" style="158" bestFit="1" customWidth="1"/>
    <col min="2" max="2" width="32.28515625" style="158" customWidth="1"/>
    <col min="3" max="3" width="12.7109375" style="384" customWidth="1"/>
    <col min="4" max="7" width="12.7109375" style="158" customWidth="1"/>
    <col min="8" max="8" width="12.7109375" style="339" customWidth="1"/>
    <col min="9" max="36" width="12.7109375" style="158" customWidth="1"/>
    <col min="37" max="16384" width="9.140625" style="158"/>
  </cols>
  <sheetData>
    <row r="1" spans="2:16">
      <c r="C1" s="158"/>
    </row>
    <row r="2" spans="2:16" ht="18.75">
      <c r="B2" s="157" t="s">
        <v>132</v>
      </c>
      <c r="C2" s="338"/>
    </row>
    <row r="3" spans="2:16">
      <c r="C3" s="158"/>
    </row>
    <row r="4" spans="2:16">
      <c r="B4" s="160" t="s">
        <v>4</v>
      </c>
      <c r="C4" s="158"/>
      <c r="D4" s="338"/>
      <c r="E4" s="338"/>
      <c r="F4" s="338"/>
      <c r="G4" s="339"/>
      <c r="H4" s="158"/>
      <c r="J4" s="364" t="s">
        <v>137</v>
      </c>
    </row>
    <row r="5" spans="2:16" s="161" customFormat="1">
      <c r="C5" s="340"/>
      <c r="D5" s="390" t="s">
        <v>86</v>
      </c>
      <c r="E5" s="390"/>
      <c r="F5" s="390"/>
      <c r="G5" s="341" t="s">
        <v>144</v>
      </c>
      <c r="H5" s="340" t="s">
        <v>130</v>
      </c>
      <c r="J5" s="364" t="s">
        <v>128</v>
      </c>
      <c r="K5" s="340" t="s">
        <v>143</v>
      </c>
      <c r="L5" s="340" t="s">
        <v>129</v>
      </c>
      <c r="M5" s="161" t="s">
        <v>133</v>
      </c>
      <c r="P5" s="340"/>
    </row>
    <row r="6" spans="2:16" s="342" customFormat="1">
      <c r="C6" s="343" t="s">
        <v>81</v>
      </c>
      <c r="D6" s="344" t="s">
        <v>85</v>
      </c>
      <c r="E6" s="344" t="s">
        <v>87</v>
      </c>
      <c r="F6" s="344" t="s">
        <v>84</v>
      </c>
      <c r="G6" s="345" t="s">
        <v>139</v>
      </c>
      <c r="H6" s="343" t="s">
        <v>131</v>
      </c>
      <c r="I6" s="343" t="s">
        <v>105</v>
      </c>
      <c r="J6" s="365" t="s">
        <v>127</v>
      </c>
      <c r="K6" s="343" t="s">
        <v>142</v>
      </c>
      <c r="L6" s="343" t="s">
        <v>127</v>
      </c>
      <c r="M6" s="343" t="s">
        <v>83</v>
      </c>
      <c r="P6" s="343"/>
    </row>
    <row r="7" spans="2:16" s="363" customFormat="1">
      <c r="C7" s="394"/>
      <c r="D7" s="379"/>
      <c r="E7" s="379"/>
      <c r="F7" s="380"/>
      <c r="G7" s="381"/>
      <c r="J7" s="382"/>
    </row>
    <row r="8" spans="2:16">
      <c r="B8" s="161" t="s">
        <v>145</v>
      </c>
      <c r="C8" s="393"/>
      <c r="D8" s="400"/>
      <c r="E8" s="400"/>
      <c r="F8" s="400"/>
      <c r="G8" s="348"/>
      <c r="H8" s="158"/>
      <c r="I8" s="335"/>
      <c r="J8" s="374"/>
    </row>
    <row r="9" spans="2:16" s="162" customFormat="1">
      <c r="B9" s="392" t="s">
        <v>88</v>
      </c>
      <c r="C9" s="391">
        <v>42</v>
      </c>
      <c r="D9" s="385">
        <f>'Cerro Gordo'!D163</f>
        <v>50117.426339398015</v>
      </c>
      <c r="E9" s="397">
        <v>0</v>
      </c>
      <c r="F9" s="385">
        <f>D9+E9</f>
        <v>50117.426339398015</v>
      </c>
      <c r="G9" s="348">
        <f>'Cerro Gordo'!C96</f>
        <v>0.09</v>
      </c>
      <c r="H9" s="162">
        <f>F9+J9</f>
        <v>57040.218333968747</v>
      </c>
      <c r="I9" s="405">
        <f>H9/C9</f>
        <v>1358.1004365230654</v>
      </c>
      <c r="J9" s="376">
        <f>K9*195390.812936852</f>
        <v>6922.7919945707308</v>
      </c>
      <c r="K9" s="346">
        <f>D9/1414528.2253804</f>
        <v>3.5430488724196546E-2</v>
      </c>
      <c r="L9" s="162">
        <f>K9*845626.328862401</f>
        <v>29960.954109643018</v>
      </c>
      <c r="M9" s="391">
        <f>'Cerro Gordo'!E95</f>
        <v>2.0651370521908231E-11</v>
      </c>
      <c r="P9" s="339"/>
    </row>
    <row r="10" spans="2:16" s="162" customFormat="1">
      <c r="B10" s="392" t="s">
        <v>89</v>
      </c>
      <c r="C10" s="391">
        <v>75</v>
      </c>
      <c r="D10" s="385">
        <f>'Southwest Mesa'!D163</f>
        <v>100420.18494014685</v>
      </c>
      <c r="E10" s="397">
        <v>0</v>
      </c>
      <c r="F10" s="385">
        <f>D10+E10</f>
        <v>100420.18494014685</v>
      </c>
      <c r="G10" s="348">
        <f>'Southwest Mesa'!C96</f>
        <v>0.09</v>
      </c>
      <c r="H10" s="370">
        <f>F10+J10</f>
        <v>114291.36914041101</v>
      </c>
      <c r="I10" s="405">
        <f>H10/C10</f>
        <v>1523.8849218721468</v>
      </c>
      <c r="J10" s="376">
        <f>K10*195390.812936852</f>
        <v>13871.184200264168</v>
      </c>
      <c r="K10" s="346">
        <f>D10/1414528.2253804</f>
        <v>7.0991997995049905E-2</v>
      </c>
      <c r="L10" s="370">
        <f>K10*845626.328862401</f>
        <v>60032.702643160977</v>
      </c>
      <c r="M10" s="391">
        <f>'Southwest Mesa'!E95</f>
        <v>-1.5853577370353794E-11</v>
      </c>
      <c r="P10" s="339"/>
    </row>
    <row r="11" spans="2:16" s="162" customFormat="1">
      <c r="B11" s="392" t="s">
        <v>90</v>
      </c>
      <c r="C11" s="391">
        <v>24.9</v>
      </c>
      <c r="D11" s="385">
        <f>Vansycle!D163</f>
        <v>44304.743470888177</v>
      </c>
      <c r="E11" s="397">
        <v>0</v>
      </c>
      <c r="F11" s="385">
        <f>D11+E11</f>
        <v>44304.743470888177</v>
      </c>
      <c r="G11" s="348">
        <f>Vansycle!C96</f>
        <v>0.09</v>
      </c>
      <c r="H11" s="20">
        <f>F11+J11</f>
        <v>50424.621242438137</v>
      </c>
      <c r="I11" s="405">
        <f>H11/C11</f>
        <v>2025.085190459363</v>
      </c>
      <c r="J11" s="376">
        <f>K11*195390.812936852</f>
        <v>6119.8777715499637</v>
      </c>
      <c r="K11" s="346">
        <f>D11/1414528.2253804</f>
        <v>3.132121556568699E-2</v>
      </c>
      <c r="L11" s="20">
        <f>K11*845626.328862401</f>
        <v>26486.044534319779</v>
      </c>
      <c r="M11" s="391">
        <f>Vansycle!E95</f>
        <v>-7.5095892806939023E-12</v>
      </c>
      <c r="P11" s="339"/>
    </row>
    <row r="12" spans="2:16" s="162" customFormat="1">
      <c r="C12" s="395"/>
      <c r="D12" s="385"/>
      <c r="E12" s="398"/>
      <c r="F12" s="385"/>
      <c r="G12" s="386"/>
      <c r="H12" s="358"/>
      <c r="I12" s="406"/>
      <c r="J12" s="367"/>
      <c r="K12" s="347"/>
      <c r="L12" s="358"/>
      <c r="M12" s="391"/>
      <c r="P12" s="339"/>
    </row>
    <row r="13" spans="2:16" s="162" customFormat="1">
      <c r="C13" s="391">
        <f>SUM(C9:C12)</f>
        <v>141.9</v>
      </c>
      <c r="D13" s="401">
        <f>SUM(D9:D12)</f>
        <v>194842.35475043303</v>
      </c>
      <c r="E13" s="397">
        <f>SUM(E9:E12)</f>
        <v>0</v>
      </c>
      <c r="F13" s="401">
        <f>SUM(F9:F12)</f>
        <v>194842.35475043303</v>
      </c>
      <c r="G13" s="348"/>
      <c r="H13" s="20">
        <f>SUM(H9:H11)</f>
        <v>221756.2087168179</v>
      </c>
      <c r="I13" s="405">
        <f>H13/C13</f>
        <v>1562.763979681592</v>
      </c>
      <c r="J13" s="366">
        <f>SUM(J9:J11)</f>
        <v>26913.853966384861</v>
      </c>
      <c r="K13" s="346">
        <f>SUM(K9:K11)</f>
        <v>0.13774370228493343</v>
      </c>
      <c r="L13" s="20">
        <f>SUM(L9:L11)</f>
        <v>116479.70128712378</v>
      </c>
      <c r="M13" s="391"/>
      <c r="P13" s="339"/>
    </row>
    <row r="14" spans="2:16" s="162" customFormat="1">
      <c r="C14" s="391"/>
      <c r="D14" s="385"/>
      <c r="E14" s="397"/>
      <c r="F14" s="385"/>
      <c r="G14" s="348"/>
      <c r="H14" s="20"/>
      <c r="I14" s="405"/>
      <c r="J14" s="366"/>
      <c r="K14" s="346"/>
      <c r="L14" s="20"/>
      <c r="M14" s="391"/>
      <c r="P14" s="339"/>
    </row>
    <row r="15" spans="2:16" s="162" customFormat="1">
      <c r="B15" s="349" t="s">
        <v>146</v>
      </c>
      <c r="C15" s="391"/>
      <c r="D15" s="385"/>
      <c r="E15" s="397"/>
      <c r="F15" s="385"/>
      <c r="G15" s="348"/>
      <c r="H15" s="20"/>
      <c r="I15" s="405"/>
      <c r="J15" s="366"/>
      <c r="K15" s="346"/>
      <c r="L15" s="20"/>
      <c r="M15" s="391"/>
      <c r="P15" s="339"/>
    </row>
    <row r="16" spans="2:16" s="162" customFormat="1">
      <c r="B16" s="392" t="s">
        <v>91</v>
      </c>
      <c r="C16" s="391">
        <v>28</v>
      </c>
      <c r="D16" s="385">
        <f>Cameron!D163</f>
        <v>81217.279340629015</v>
      </c>
      <c r="E16" s="397">
        <v>0</v>
      </c>
      <c r="F16" s="385">
        <f t="shared" ref="F16:F23" si="0">D16+E16</f>
        <v>81217.279340629015</v>
      </c>
      <c r="G16" s="348">
        <f>Cameron!C96</f>
        <v>0.09</v>
      </c>
      <c r="H16" s="20">
        <f t="shared" ref="H16:H23" si="1">F16+J16</f>
        <v>92435.938643533576</v>
      </c>
      <c r="I16" s="405">
        <f t="shared" ref="I16:I23" si="2">H16/C16</f>
        <v>3301.2835229833422</v>
      </c>
      <c r="J16" s="376">
        <f t="shared" ref="J16:J23" si="3">K16*195390.812936852</f>
        <v>11218.659302904556</v>
      </c>
      <c r="K16" s="346">
        <f t="shared" ref="K16:K23" si="4">D16/1414528.2253804</f>
        <v>5.7416513777084774E-2</v>
      </c>
      <c r="L16" s="20">
        <f t="shared" ref="L16:L23" si="5">K16*845626.328862401</f>
        <v>48552.915761393662</v>
      </c>
      <c r="M16" s="391">
        <f>Cameron!E95</f>
        <v>0</v>
      </c>
      <c r="P16" s="339"/>
    </row>
    <row r="17" spans="1:16" s="162" customFormat="1">
      <c r="A17" s="162" t="s">
        <v>148</v>
      </c>
      <c r="B17" s="392" t="s">
        <v>103</v>
      </c>
      <c r="C17" s="391">
        <v>14</v>
      </c>
      <c r="D17" s="385">
        <f>'Pacific Crest'!D164</f>
        <v>73884.258339400156</v>
      </c>
      <c r="E17" s="397">
        <v>0</v>
      </c>
      <c r="F17" s="385">
        <f t="shared" si="0"/>
        <v>73884.258339400156</v>
      </c>
      <c r="G17" s="348">
        <f>'Pacific Crest'!C96</f>
        <v>0.09</v>
      </c>
      <c r="H17" s="20">
        <f t="shared" si="1"/>
        <v>84089.996932060283</v>
      </c>
      <c r="I17" s="405">
        <f t="shared" si="2"/>
        <v>6006.4283522900205</v>
      </c>
      <c r="J17" s="376">
        <f t="shared" si="3"/>
        <v>10205.738592660122</v>
      </c>
      <c r="K17" s="346">
        <f t="shared" si="4"/>
        <v>5.2232438359107992E-2</v>
      </c>
      <c r="L17" s="20">
        <f t="shared" si="5"/>
        <v>44169.12509714414</v>
      </c>
      <c r="M17" s="391">
        <f>'Pacific Crest'!E95</f>
        <v>-4.3388738066231434E-11</v>
      </c>
      <c r="P17" s="339"/>
    </row>
    <row r="18" spans="1:16" s="162" customFormat="1">
      <c r="B18" s="392" t="s">
        <v>92</v>
      </c>
      <c r="C18" s="391">
        <v>38.5</v>
      </c>
      <c r="D18" s="385">
        <f>'Sky River'!D163</f>
        <v>48242.767578053536</v>
      </c>
      <c r="E18" s="397">
        <v>0</v>
      </c>
      <c r="F18" s="385">
        <f t="shared" si="0"/>
        <v>48242.767578053536</v>
      </c>
      <c r="G18" s="348">
        <f>'Sky River'!C96</f>
        <v>0.09</v>
      </c>
      <c r="H18" s="20">
        <f t="shared" si="1"/>
        <v>54906.610268689532</v>
      </c>
      <c r="I18" s="405">
        <f t="shared" si="2"/>
        <v>1426.1457212646633</v>
      </c>
      <c r="J18" s="376">
        <f t="shared" si="3"/>
        <v>6663.8426906359964</v>
      </c>
      <c r="K18" s="346">
        <f t="shared" si="4"/>
        <v>3.4105199678910555E-2</v>
      </c>
      <c r="L18" s="20">
        <f t="shared" si="5"/>
        <v>28840.25479959627</v>
      </c>
      <c r="M18" s="391">
        <f>'Sky River'!E95</f>
        <v>6.6751904717279132E-12</v>
      </c>
      <c r="P18" s="339"/>
    </row>
    <row r="19" spans="1:16" s="162" customFormat="1">
      <c r="B19" s="392" t="s">
        <v>93</v>
      </c>
      <c r="C19" s="391">
        <v>15</v>
      </c>
      <c r="D19" s="385">
        <f>Ridgetop!D163</f>
        <v>12354.516341686585</v>
      </c>
      <c r="E19" s="397">
        <v>0</v>
      </c>
      <c r="F19" s="385">
        <f t="shared" si="0"/>
        <v>12354.516341686585</v>
      </c>
      <c r="G19" s="348">
        <f>Ridgetop!C96</f>
        <v>0.09</v>
      </c>
      <c r="H19" s="20">
        <f t="shared" si="1"/>
        <v>14061.06340672984</v>
      </c>
      <c r="I19" s="405">
        <f t="shared" si="2"/>
        <v>937.40422711532267</v>
      </c>
      <c r="J19" s="376">
        <f t="shared" si="3"/>
        <v>1706.5470650432544</v>
      </c>
      <c r="K19" s="346">
        <f t="shared" si="4"/>
        <v>8.7340189612435375E-3</v>
      </c>
      <c r="L19" s="20">
        <f t="shared" si="5"/>
        <v>7385.716390410973</v>
      </c>
      <c r="M19" s="391">
        <f>Ridgetop!E95</f>
        <v>2.5031964268979676E-12</v>
      </c>
      <c r="P19" s="339"/>
    </row>
    <row r="20" spans="1:16" s="162" customFormat="1">
      <c r="B20" s="392" t="s">
        <v>94</v>
      </c>
      <c r="C20" s="391">
        <v>82.5</v>
      </c>
      <c r="D20" s="385">
        <f>'Green Ridge'!D163</f>
        <v>24245.231609924969</v>
      </c>
      <c r="E20" s="397">
        <v>0</v>
      </c>
      <c r="F20" s="385">
        <f t="shared" si="0"/>
        <v>24245.231609924969</v>
      </c>
      <c r="G20" s="348">
        <f>'Green Ridge'!C96</f>
        <v>0.09</v>
      </c>
      <c r="H20" s="20">
        <f t="shared" si="1"/>
        <v>27594.260232405464</v>
      </c>
      <c r="I20" s="405">
        <f t="shared" si="2"/>
        <v>334.47588160491472</v>
      </c>
      <c r="J20" s="376">
        <f t="shared" si="3"/>
        <v>3349.0286224804954</v>
      </c>
      <c r="K20" s="346">
        <f t="shared" si="4"/>
        <v>1.714015399261818E-2</v>
      </c>
      <c r="L20" s="20">
        <f t="shared" si="5"/>
        <v>14494.165496913936</v>
      </c>
      <c r="M20" s="391">
        <f>'Green Ridge'!E95</f>
        <v>-2.0025571415183741E-11</v>
      </c>
      <c r="P20" s="339"/>
    </row>
    <row r="21" spans="1:16" s="162" customFormat="1">
      <c r="A21" s="162" t="s">
        <v>149</v>
      </c>
      <c r="B21" s="392" t="s">
        <v>153</v>
      </c>
      <c r="C21" s="391">
        <v>42.5</v>
      </c>
      <c r="D21" s="385">
        <f>'Mojave 16-18'!D163</f>
        <v>9202.4254532619434</v>
      </c>
      <c r="E21" s="397">
        <v>0</v>
      </c>
      <c r="F21" s="385">
        <f t="shared" si="0"/>
        <v>9202.4254532619434</v>
      </c>
      <c r="G21" s="348">
        <f>'Mojave 16-18'!C96</f>
        <v>0.09</v>
      </c>
      <c r="H21" s="20">
        <f t="shared" si="1"/>
        <v>10473.569682158533</v>
      </c>
      <c r="I21" s="405">
        <f t="shared" si="2"/>
        <v>246.43693369784785</v>
      </c>
      <c r="J21" s="376">
        <f t="shared" si="3"/>
        <v>1271.1442288965895</v>
      </c>
      <c r="K21" s="346">
        <f t="shared" si="4"/>
        <v>6.5056499320027316E-3</v>
      </c>
      <c r="L21" s="20">
        <f t="shared" si="5"/>
        <v>5501.3488688633979</v>
      </c>
      <c r="M21" s="391">
        <f>'Mojave 16-18'!E95</f>
        <v>-8.3439880896598915E-13</v>
      </c>
      <c r="P21" s="339"/>
    </row>
    <row r="22" spans="1:16" s="162" customFormat="1">
      <c r="B22" s="392" t="s">
        <v>95</v>
      </c>
      <c r="C22" s="391">
        <v>14.5</v>
      </c>
      <c r="D22" s="385">
        <f>Morwind!D163</f>
        <v>13066.242022202465</v>
      </c>
      <c r="E22" s="397">
        <v>0</v>
      </c>
      <c r="F22" s="385">
        <f t="shared" si="0"/>
        <v>13066.242022202465</v>
      </c>
      <c r="G22" s="348">
        <f>Morwind!C96</f>
        <v>0.09</v>
      </c>
      <c r="H22" s="20">
        <f t="shared" si="1"/>
        <v>14871.100776478102</v>
      </c>
      <c r="I22" s="405">
        <f t="shared" si="2"/>
        <v>1025.5931569984898</v>
      </c>
      <c r="J22" s="376">
        <f t="shared" si="3"/>
        <v>1804.858754275637</v>
      </c>
      <c r="K22" s="346">
        <f t="shared" si="4"/>
        <v>9.2371730643187721E-3</v>
      </c>
      <c r="L22" s="20">
        <f t="shared" si="5"/>
        <v>7811.1967474465382</v>
      </c>
      <c r="M22" s="391">
        <f>Morwind!E95</f>
        <v>1.5019178561387805E-11</v>
      </c>
      <c r="P22" s="339"/>
    </row>
    <row r="23" spans="1:16" s="162" customFormat="1">
      <c r="B23" s="392" t="s">
        <v>96</v>
      </c>
      <c r="C23" s="391">
        <v>11</v>
      </c>
      <c r="D23" s="385">
        <f>VG!D163</f>
        <v>11763.366557186608</v>
      </c>
      <c r="E23" s="397">
        <v>0</v>
      </c>
      <c r="F23" s="385">
        <f t="shared" si="0"/>
        <v>11763.366557186608</v>
      </c>
      <c r="G23" s="348">
        <f>VG!C96</f>
        <v>0.09</v>
      </c>
      <c r="H23" s="20">
        <f t="shared" si="1"/>
        <v>13388.257254482352</v>
      </c>
      <c r="I23" s="405">
        <f t="shared" si="2"/>
        <v>1217.1142958620321</v>
      </c>
      <c r="J23" s="376">
        <f t="shared" si="3"/>
        <v>1624.8906972957438</v>
      </c>
      <c r="K23" s="346">
        <f t="shared" si="4"/>
        <v>8.3161059257217448E-3</v>
      </c>
      <c r="L23" s="20">
        <f t="shared" si="5"/>
        <v>7032.3181243989375</v>
      </c>
      <c r="M23" s="391">
        <f>VG!E95</f>
        <v>1.6687976179319783E-12</v>
      </c>
      <c r="P23" s="339"/>
    </row>
    <row r="24" spans="1:16" s="162" customFormat="1">
      <c r="C24" s="395"/>
      <c r="D24" s="402"/>
      <c r="E24" s="398"/>
      <c r="F24" s="402"/>
      <c r="G24" s="386"/>
      <c r="H24" s="358"/>
      <c r="I24" s="406"/>
      <c r="J24" s="367"/>
      <c r="K24" s="347"/>
      <c r="L24" s="358"/>
      <c r="M24" s="391"/>
      <c r="P24" s="339"/>
    </row>
    <row r="25" spans="1:16" s="162" customFormat="1">
      <c r="C25" s="391">
        <f>SUM(C16:C24)</f>
        <v>246</v>
      </c>
      <c r="D25" s="385">
        <f>SUM(D16:D24)</f>
        <v>273976.08724234521</v>
      </c>
      <c r="E25" s="397">
        <f>SUM(E16:E24)</f>
        <v>0</v>
      </c>
      <c r="F25" s="385">
        <f>SUM(F16:F24)</f>
        <v>273976.08724234521</v>
      </c>
      <c r="G25" s="348"/>
      <c r="H25" s="20">
        <f>SUM(H16:H23)</f>
        <v>311820.79719653766</v>
      </c>
      <c r="I25" s="405">
        <f>H25/C25</f>
        <v>1267.5642162460881</v>
      </c>
      <c r="J25" s="366">
        <f>SUM(J16:J23)</f>
        <v>37844.709954192396</v>
      </c>
      <c r="K25" s="346">
        <f>SUM(K16:K23)</f>
        <v>0.19368725369100825</v>
      </c>
      <c r="L25" s="20">
        <f>SUM(L16:L23)</f>
        <v>163787.04128616786</v>
      </c>
      <c r="M25" s="391"/>
      <c r="P25" s="339"/>
    </row>
    <row r="26" spans="1:16" s="162" customFormat="1">
      <c r="C26" s="391"/>
      <c r="D26" s="385"/>
      <c r="E26" s="397"/>
      <c r="F26" s="385"/>
      <c r="G26" s="348"/>
      <c r="H26" s="371"/>
      <c r="I26" s="405"/>
      <c r="J26" s="369"/>
      <c r="K26" s="346"/>
      <c r="L26" s="371"/>
      <c r="M26" s="391"/>
      <c r="P26" s="339"/>
    </row>
    <row r="27" spans="1:16" s="162" customFormat="1">
      <c r="B27" s="349" t="s">
        <v>147</v>
      </c>
      <c r="C27" s="391"/>
      <c r="D27" s="385"/>
      <c r="E27" s="397"/>
      <c r="F27" s="385"/>
      <c r="G27" s="348"/>
      <c r="H27" s="370"/>
      <c r="I27" s="405"/>
      <c r="J27" s="368"/>
      <c r="K27" s="346"/>
      <c r="L27" s="370"/>
      <c r="M27" s="391"/>
      <c r="P27" s="339"/>
    </row>
    <row r="28" spans="1:16" s="162" customFormat="1">
      <c r="B28" s="392" t="s">
        <v>97</v>
      </c>
      <c r="C28" s="391">
        <v>15</v>
      </c>
      <c r="D28" s="403">
        <f>'WPP 92'!D163</f>
        <v>6188.2038908639715</v>
      </c>
      <c r="E28" s="397">
        <v>0</v>
      </c>
      <c r="F28" s="385">
        <f>D28+E28</f>
        <v>6188.2038908639715</v>
      </c>
      <c r="G28" s="348">
        <f>'WPP 92'!C$96</f>
        <v>0.09</v>
      </c>
      <c r="H28" s="162">
        <f t="shared" ref="H28:H34" si="6">F28+J28</f>
        <v>7042.9893713938782</v>
      </c>
      <c r="I28" s="405">
        <f>H28/C28</f>
        <v>469.5326247595919</v>
      </c>
      <c r="J28" s="376">
        <f t="shared" ref="J28:J34" si="7">K28*195390.812936852</f>
        <v>854.78548052990709</v>
      </c>
      <c r="K28" s="346">
        <f t="shared" ref="K28:K34" si="8">D28/1414528.2253804</f>
        <v>4.374747551749855E-3</v>
      </c>
      <c r="L28" s="370">
        <f t="shared" ref="L28:L34" si="9">K28*845626.328862401</f>
        <v>3699.4017118860065</v>
      </c>
      <c r="M28" s="391">
        <f>'WPP 92'!E95</f>
        <v>1.2098782730006843E-11</v>
      </c>
      <c r="P28" s="339"/>
    </row>
    <row r="29" spans="1:16" s="162" customFormat="1">
      <c r="B29" s="392" t="s">
        <v>98</v>
      </c>
      <c r="C29" s="391">
        <v>15.5</v>
      </c>
      <c r="D29" s="403">
        <f>'WPP 91-2'!D163</f>
        <v>3209.4444927660534</v>
      </c>
      <c r="E29" s="397">
        <v>0</v>
      </c>
      <c r="F29" s="385">
        <f>D29+E29</f>
        <v>3209.4444927660534</v>
      </c>
      <c r="G29" s="348">
        <f>'WPP 91-2'!C$96</f>
        <v>0.09</v>
      </c>
      <c r="H29" s="162">
        <f t="shared" si="6"/>
        <v>3652.7696645551287</v>
      </c>
      <c r="I29" s="405">
        <f>H29/C29</f>
        <v>235.66255900355668</v>
      </c>
      <c r="J29" s="376">
        <f t="shared" si="7"/>
        <v>443.3251717890754</v>
      </c>
      <c r="K29" s="346">
        <f t="shared" si="8"/>
        <v>2.2689151302745891E-3</v>
      </c>
      <c r="L29" s="370">
        <f t="shared" si="9"/>
        <v>1918.6543721144569</v>
      </c>
      <c r="M29" s="391">
        <f>'WPP 91-2'!E95</f>
        <v>1.8773973201734756E-12</v>
      </c>
      <c r="P29" s="339"/>
    </row>
    <row r="30" spans="1:16" s="162" customFormat="1">
      <c r="A30" s="162" t="s">
        <v>150</v>
      </c>
      <c r="B30" s="392" t="s">
        <v>152</v>
      </c>
      <c r="C30" s="391">
        <v>22.1</v>
      </c>
      <c r="D30" s="385">
        <v>0</v>
      </c>
      <c r="E30" s="397">
        <v>0</v>
      </c>
      <c r="F30" s="385">
        <v>0</v>
      </c>
      <c r="G30" s="348"/>
      <c r="H30" s="162">
        <f t="shared" si="6"/>
        <v>0</v>
      </c>
      <c r="I30" s="407">
        <v>0</v>
      </c>
      <c r="J30" s="376">
        <f t="shared" si="7"/>
        <v>0</v>
      </c>
      <c r="K30" s="346">
        <f t="shared" si="8"/>
        <v>0</v>
      </c>
      <c r="L30" s="23">
        <f t="shared" si="9"/>
        <v>0</v>
      </c>
      <c r="M30" s="391"/>
    </row>
    <row r="31" spans="1:16" s="162" customFormat="1">
      <c r="B31" s="392" t="s">
        <v>99</v>
      </c>
      <c r="C31" s="391">
        <v>13.8</v>
      </c>
      <c r="D31" s="385">
        <f>('WPP 89'!D160+'WPP 89'!D162)</f>
        <v>11223.364239440438</v>
      </c>
      <c r="E31" s="397">
        <v>0</v>
      </c>
      <c r="F31" s="385">
        <f>D31+E31</f>
        <v>11223.364239440438</v>
      </c>
      <c r="G31" s="348">
        <f>'WPP 89'!C$96</f>
        <v>0.09</v>
      </c>
      <c r="H31" s="162">
        <f t="shared" si="6"/>
        <v>12773.663641943294</v>
      </c>
      <c r="I31" s="405">
        <f>H31/C31</f>
        <v>925.62780014081841</v>
      </c>
      <c r="J31" s="376">
        <f t="shared" si="7"/>
        <v>1550.299402502857</v>
      </c>
      <c r="K31" s="346">
        <f t="shared" si="8"/>
        <v>7.9343515654643169E-3</v>
      </c>
      <c r="L31" s="31">
        <f t="shared" si="9"/>
        <v>6709.496586207234</v>
      </c>
      <c r="M31" s="391">
        <f>'WPP 89'!E95</f>
        <v>1.6687976179319783E-12</v>
      </c>
      <c r="P31" s="339"/>
    </row>
    <row r="32" spans="1:16" s="162" customFormat="1">
      <c r="B32" s="392" t="s">
        <v>100</v>
      </c>
      <c r="C32" s="391">
        <v>12</v>
      </c>
      <c r="D32" s="403">
        <f>'WPP 91'!D163</f>
        <v>3017.2785667747066</v>
      </c>
      <c r="E32" s="397">
        <v>0</v>
      </c>
      <c r="F32" s="385">
        <f>D32+E32</f>
        <v>3017.2785667747066</v>
      </c>
      <c r="G32" s="348">
        <f>'WPP 91'!C96</f>
        <v>0.09</v>
      </c>
      <c r="H32" s="162">
        <f t="shared" si="6"/>
        <v>3434.0595835412728</v>
      </c>
      <c r="I32" s="405">
        <f>H32/C32</f>
        <v>286.17163196177273</v>
      </c>
      <c r="J32" s="376">
        <f t="shared" si="7"/>
        <v>416.78101676656621</v>
      </c>
      <c r="K32" s="346">
        <f t="shared" si="8"/>
        <v>2.1330635279216783E-3</v>
      </c>
      <c r="L32" s="31">
        <f t="shared" si="9"/>
        <v>1803.7746803466903</v>
      </c>
      <c r="M32" s="391">
        <f>'WPP 91'!E95</f>
        <v>2.3206716874366575E-12</v>
      </c>
      <c r="P32" s="339"/>
    </row>
    <row r="33" spans="1:16" s="162" customFormat="1">
      <c r="B33" s="392" t="s">
        <v>101</v>
      </c>
      <c r="C33" s="391">
        <v>7.5</v>
      </c>
      <c r="D33" s="385">
        <f>'WPP 90'!D160</f>
        <v>2709.6832796353892</v>
      </c>
      <c r="E33" s="397">
        <v>0</v>
      </c>
      <c r="F33" s="385">
        <f>D33+E33</f>
        <v>2709.6832796353892</v>
      </c>
      <c r="G33" s="348">
        <f>'WPP 90'!C$96</f>
        <v>0.09</v>
      </c>
      <c r="H33" s="162">
        <f t="shared" si="6"/>
        <v>3083.975718138674</v>
      </c>
      <c r="I33" s="405">
        <f>H33/C33</f>
        <v>411.19676241848987</v>
      </c>
      <c r="J33" s="376">
        <f t="shared" si="7"/>
        <v>374.29243850328481</v>
      </c>
      <c r="K33" s="346">
        <f t="shared" si="8"/>
        <v>1.9156091981881037E-3</v>
      </c>
      <c r="L33" s="162">
        <f t="shared" si="9"/>
        <v>1619.8895737988537</v>
      </c>
      <c r="M33" s="391">
        <f>'WPP 90'!E95</f>
        <v>2.5031964268979676E-12</v>
      </c>
      <c r="P33" s="339"/>
    </row>
    <row r="34" spans="1:16" s="162" customFormat="1">
      <c r="A34" s="162" t="s">
        <v>150</v>
      </c>
      <c r="B34" s="392" t="s">
        <v>151</v>
      </c>
      <c r="C34" s="391">
        <v>8.8000000000000007</v>
      </c>
      <c r="D34" s="385">
        <v>0</v>
      </c>
      <c r="E34" s="397">
        <v>0</v>
      </c>
      <c r="F34" s="385">
        <v>0</v>
      </c>
      <c r="G34" s="348"/>
      <c r="H34" s="162">
        <f t="shared" si="6"/>
        <v>0</v>
      </c>
      <c r="I34" s="407">
        <f>H34/C34</f>
        <v>0</v>
      </c>
      <c r="J34" s="376">
        <f t="shared" si="7"/>
        <v>0</v>
      </c>
      <c r="K34" s="346">
        <f t="shared" si="8"/>
        <v>0</v>
      </c>
      <c r="L34" s="162">
        <f t="shared" si="9"/>
        <v>0</v>
      </c>
      <c r="M34" s="391"/>
    </row>
    <row r="35" spans="1:16" s="162" customFormat="1">
      <c r="C35" s="395"/>
      <c r="D35" s="385"/>
      <c r="E35" s="398"/>
      <c r="F35" s="385"/>
      <c r="G35" s="383"/>
      <c r="H35" s="362"/>
      <c r="I35" s="406"/>
      <c r="J35" s="375"/>
      <c r="K35" s="347"/>
      <c r="L35" s="362"/>
      <c r="M35" s="391"/>
    </row>
    <row r="36" spans="1:16" s="162" customFormat="1">
      <c r="C36" s="391">
        <f>SUM(C28:C35)</f>
        <v>94.7</v>
      </c>
      <c r="D36" s="401">
        <f>SUM(D28:D35)</f>
        <v>26347.974469480559</v>
      </c>
      <c r="E36" s="397">
        <f>SUM(E28:E35)</f>
        <v>0</v>
      </c>
      <c r="F36" s="401">
        <f>SUM(F28:F35)</f>
        <v>26347.974469480559</v>
      </c>
      <c r="G36" s="339"/>
      <c r="H36" s="162">
        <f>SUM(H28:H34)</f>
        <v>29987.457979572246</v>
      </c>
      <c r="I36" s="405">
        <f>H36/C36</f>
        <v>316.65742322673964</v>
      </c>
      <c r="J36" s="376">
        <f>SUM(J28:J34)</f>
        <v>3639.4835100916903</v>
      </c>
      <c r="K36" s="346">
        <f>SUM(K28:K34)</f>
        <v>1.8626686973598542E-2</v>
      </c>
      <c r="L36" s="162">
        <f>SUM(L28:L34)</f>
        <v>15751.216924353241</v>
      </c>
      <c r="M36" s="391"/>
    </row>
    <row r="37" spans="1:16" s="162" customFormat="1">
      <c r="C37" s="391"/>
      <c r="D37" s="385"/>
      <c r="E37" s="397"/>
      <c r="F37" s="385"/>
      <c r="G37" s="339"/>
      <c r="H37" s="158"/>
      <c r="I37" s="335"/>
      <c r="J37" s="374"/>
      <c r="K37" s="158"/>
      <c r="L37" s="158"/>
      <c r="M37" s="391"/>
    </row>
    <row r="38" spans="1:16" s="162" customFormat="1" ht="13.5" thickBot="1">
      <c r="B38" s="349" t="s">
        <v>102</v>
      </c>
      <c r="C38" s="396">
        <f>C13+C25+C36</f>
        <v>482.59999999999997</v>
      </c>
      <c r="D38" s="404">
        <f>D13+D25+D36</f>
        <v>495166.41646225879</v>
      </c>
      <c r="E38" s="399">
        <f>E13+E25+E36</f>
        <v>0</v>
      </c>
      <c r="F38" s="404">
        <f>F13+F25+F36</f>
        <v>495166.41646225879</v>
      </c>
      <c r="G38" s="354"/>
      <c r="H38" s="373">
        <f>H13+H25+H36</f>
        <v>563564.46389292786</v>
      </c>
      <c r="I38" s="408">
        <f>H38/C38</f>
        <v>1167.7672272957477</v>
      </c>
      <c r="J38" s="377">
        <f>J13+J25+J36</f>
        <v>68398.047430668958</v>
      </c>
      <c r="K38" s="372">
        <f>K13+K25+K36</f>
        <v>0.35005764294954023</v>
      </c>
      <c r="L38" s="373">
        <f>L13+L25+L36</f>
        <v>296017.95949764492</v>
      </c>
      <c r="M38" s="391"/>
    </row>
    <row r="39" spans="1:16" s="162" customFormat="1" ht="13.5" thickTop="1">
      <c r="D39" s="351"/>
      <c r="E39" s="351"/>
      <c r="F39" s="351"/>
      <c r="G39" s="339"/>
      <c r="H39" s="5"/>
      <c r="I39" s="359"/>
      <c r="J39" s="5"/>
      <c r="K39" s="5"/>
      <c r="L39" s="5"/>
    </row>
    <row r="40" spans="1:16" s="162" customFormat="1">
      <c r="G40" s="339"/>
      <c r="H40" s="5"/>
      <c r="I40" s="5"/>
      <c r="J40" s="5"/>
      <c r="K40" s="5"/>
    </row>
    <row r="41" spans="1:16" s="162" customFormat="1">
      <c r="B41" s="350" t="s">
        <v>122</v>
      </c>
      <c r="H41" s="339"/>
      <c r="I41" s="5"/>
      <c r="J41" s="5"/>
      <c r="K41" s="5"/>
      <c r="L41" s="5"/>
    </row>
    <row r="42" spans="1:16">
      <c r="B42" s="352" t="s">
        <v>123</v>
      </c>
      <c r="C42" s="158"/>
      <c r="I42" s="5"/>
      <c r="J42" s="5"/>
      <c r="K42" s="5"/>
      <c r="L42" s="5"/>
    </row>
    <row r="43" spans="1:16">
      <c r="B43" s="352" t="s">
        <v>124</v>
      </c>
      <c r="C43" s="158"/>
      <c r="I43" s="5"/>
      <c r="J43" s="5"/>
      <c r="K43" s="92"/>
      <c r="L43" s="5"/>
    </row>
    <row r="44" spans="1:16">
      <c r="B44" s="352" t="s">
        <v>125</v>
      </c>
      <c r="C44" s="158"/>
      <c r="I44" s="5"/>
      <c r="J44" s="5"/>
      <c r="K44" s="5"/>
      <c r="L44" s="5"/>
    </row>
    <row r="45" spans="1:16">
      <c r="C45" s="158"/>
    </row>
    <row r="46" spans="1:16">
      <c r="C46" s="158"/>
    </row>
    <row r="47" spans="1:16">
      <c r="C47" s="158"/>
      <c r="J47" s="357"/>
      <c r="K47" s="357"/>
      <c r="L47" s="357"/>
    </row>
    <row r="48" spans="1:16">
      <c r="C48" s="158"/>
    </row>
  </sheetData>
  <pageMargins left="0.5" right="0.5" top="0.75" bottom="0.5" header="0.25" footer="0.25"/>
  <pageSetup scale="88" orientation="landscape" r:id="rId1"/>
  <headerFooter alignWithMargins="0">
    <oddHeader>&amp;L&amp;12NewCo&amp;RCONFIDENTIAL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D858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81" sqref="K181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88</v>
      </c>
      <c r="C1" s="418">
        <v>42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AA10" s="355">
        <f t="shared" ref="AA10:AA38" si="1">SUM(F10:Y10)</f>
        <v>0</v>
      </c>
      <c r="AB10" s="356">
        <f>AA10*$C$60</f>
        <v>0</v>
      </c>
    </row>
    <row r="11" spans="1:28">
      <c r="A11" s="4" t="s">
        <v>8</v>
      </c>
      <c r="B11" s="9"/>
      <c r="C11" s="9"/>
      <c r="D11" s="86">
        <v>1</v>
      </c>
      <c r="E11" s="163">
        <f>[9]FINANCIALS!F$9</f>
        <v>5135.924</v>
      </c>
      <c r="F11" s="163">
        <f>[9]FINANCIALS!G$9</f>
        <v>4860.5940000000001</v>
      </c>
      <c r="G11" s="163">
        <f>[9]FINANCIALS!H$9</f>
        <v>4883.3599999999997</v>
      </c>
      <c r="H11" s="163">
        <f>[9]FINANCIALS!I$9</f>
        <v>4917.509</v>
      </c>
      <c r="I11" s="163">
        <f>[9]FINANCIALS!J$9</f>
        <v>4940.2749999999996</v>
      </c>
      <c r="J11" s="163">
        <f>[9]FINANCIALS!K$9</f>
        <v>5052.5122828681779</v>
      </c>
      <c r="K11" s="163">
        <f>[9]FINANCIALS!L$9</f>
        <v>5085.369607768208</v>
      </c>
      <c r="L11" s="163">
        <f>[9]FINANCIALS!M$9</f>
        <v>5119.8649811236664</v>
      </c>
      <c r="M11" s="163">
        <f>[9]FINANCIALS!N$9</f>
        <v>5154.7457776451074</v>
      </c>
      <c r="N11" s="163">
        <f>[9]FINANCIALS!O$9</f>
        <v>5189.7229299580431</v>
      </c>
      <c r="O11" s="163">
        <f>[9]FINANCIALS!P$9</f>
        <v>5227.6871118073468</v>
      </c>
      <c r="P11" s="163">
        <f>[9]FINANCIALS!Q$9</f>
        <v>5267.4820536950692</v>
      </c>
      <c r="Q11" s="163">
        <f>[9]FINANCIALS!R$9</f>
        <v>5308.4332650807391</v>
      </c>
      <c r="R11" s="163">
        <f>[9]FINANCIALS!S$9</f>
        <v>5350.5407459643566</v>
      </c>
      <c r="S11" s="163">
        <f>[9]FINANCIALS!T$9</f>
        <v>5394.2862753034005</v>
      </c>
      <c r="T11" s="163">
        <f>[9]FINANCIALS!U$9</f>
        <v>5438.899006765907</v>
      </c>
      <c r="U11" s="163">
        <f>[9]FINANCIALS!V$9</f>
        <v>5483.3190266454221</v>
      </c>
      <c r="V11" s="163">
        <f>[9]FINANCIALS!W$9</f>
        <v>5528.4135370654067</v>
      </c>
      <c r="W11" s="163">
        <f>[9]FINANCIALS!X$9</f>
        <v>4444.6999501133432</v>
      </c>
      <c r="X11" s="163">
        <f>[9]FINANCIALS!Y$9</f>
        <v>2890.6737448708009</v>
      </c>
      <c r="Y11" s="163">
        <f>[9]FINANCIALS!Z$9</f>
        <v>2890.6737448708009</v>
      </c>
      <c r="AA11" s="355">
        <f t="shared" si="1"/>
        <v>98429.062041545782</v>
      </c>
      <c r="AB11" s="356">
        <f t="shared" ref="AB11:AB74" si="2">AA11*$C$60</f>
        <v>98429.062041545782</v>
      </c>
    </row>
    <row r="12" spans="1:28">
      <c r="A12" s="4" t="s">
        <v>9</v>
      </c>
      <c r="B12" s="9"/>
      <c r="C12" s="9"/>
      <c r="D12" s="86">
        <v>1</v>
      </c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AA12" s="355">
        <f t="shared" si="1"/>
        <v>0</v>
      </c>
      <c r="AB12" s="356">
        <f t="shared" si="2"/>
        <v>0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5135.924</v>
      </c>
      <c r="F20" s="86">
        <f t="shared" si="3"/>
        <v>4860.5940000000001</v>
      </c>
      <c r="G20" s="86">
        <f t="shared" si="3"/>
        <v>4883.3599999999997</v>
      </c>
      <c r="H20" s="86">
        <f t="shared" si="3"/>
        <v>4917.509</v>
      </c>
      <c r="I20" s="86">
        <f t="shared" si="3"/>
        <v>4940.2749999999996</v>
      </c>
      <c r="J20" s="86">
        <f t="shared" si="3"/>
        <v>5052.5122828681779</v>
      </c>
      <c r="K20" s="86">
        <f t="shared" si="3"/>
        <v>5085.369607768208</v>
      </c>
      <c r="L20" s="86">
        <f t="shared" si="3"/>
        <v>5119.8649811236664</v>
      </c>
      <c r="M20" s="86">
        <f t="shared" si="3"/>
        <v>5154.7457776451074</v>
      </c>
      <c r="N20" s="86">
        <f t="shared" si="3"/>
        <v>5189.7229299580431</v>
      </c>
      <c r="O20" s="86">
        <f t="shared" si="3"/>
        <v>5227.6871118073468</v>
      </c>
      <c r="P20" s="86">
        <f t="shared" si="3"/>
        <v>5267.4820536950692</v>
      </c>
      <c r="Q20" s="86">
        <f t="shared" si="3"/>
        <v>5308.4332650807391</v>
      </c>
      <c r="R20" s="86">
        <f t="shared" si="3"/>
        <v>5350.5407459643566</v>
      </c>
      <c r="S20" s="86">
        <f t="shared" si="3"/>
        <v>5394.2862753034005</v>
      </c>
      <c r="T20" s="86">
        <f t="shared" si="3"/>
        <v>5438.899006765907</v>
      </c>
      <c r="U20" s="86">
        <f t="shared" si="3"/>
        <v>5483.3190266454221</v>
      </c>
      <c r="V20" s="86">
        <f t="shared" si="3"/>
        <v>5528.4135370654067</v>
      </c>
      <c r="W20" s="86">
        <f t="shared" si="3"/>
        <v>4444.6999501133432</v>
      </c>
      <c r="X20" s="86">
        <f t="shared" si="3"/>
        <v>2890.6737448708009</v>
      </c>
      <c r="Y20" s="86">
        <f t="shared" si="3"/>
        <v>2890.6737448708009</v>
      </c>
      <c r="AA20" s="355">
        <f t="shared" si="1"/>
        <v>98429.062041545782</v>
      </c>
      <c r="AB20" s="356">
        <f t="shared" si="2"/>
        <v>98429.062041545782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14.793761904761904</v>
      </c>
      <c r="F23" s="417">
        <f>F25/$C$1</f>
        <v>14.610833333333332</v>
      </c>
      <c r="G23" s="417">
        <f>G25/$C$1</f>
        <v>18.607452380952378</v>
      </c>
      <c r="H23" s="417">
        <f>H25/$C$1</f>
        <v>18.9925</v>
      </c>
      <c r="I23" s="417">
        <f t="shared" ref="I23:Y23" si="4">I25/$C$1</f>
        <v>18.814738095238095</v>
      </c>
      <c r="J23" s="417">
        <f t="shared" si="4"/>
        <v>23.766808531335691</v>
      </c>
      <c r="K23" s="417">
        <f t="shared" si="4"/>
        <v>24.081241966085258</v>
      </c>
      <c r="L23" s="417">
        <f t="shared" si="4"/>
        <v>24.401964069529825</v>
      </c>
      <c r="M23" s="417">
        <f t="shared" si="4"/>
        <v>24.729100615043276</v>
      </c>
      <c r="N23" s="417">
        <f t="shared" si="4"/>
        <v>25.062779891466999</v>
      </c>
      <c r="O23" s="417">
        <f t="shared" si="4"/>
        <v>25.403132753419197</v>
      </c>
      <c r="P23" s="417">
        <f t="shared" si="4"/>
        <v>25.750292672610438</v>
      </c>
      <c r="Q23" s="417">
        <f t="shared" si="4"/>
        <v>26.104395790185499</v>
      </c>
      <c r="R23" s="417">
        <f t="shared" si="4"/>
        <v>26.465580970112065</v>
      </c>
      <c r="S23" s="417">
        <f t="shared" si="4"/>
        <v>26.833989853637167</v>
      </c>
      <c r="T23" s="417">
        <f t="shared" si="4"/>
        <v>27.209766914832763</v>
      </c>
      <c r="U23" s="417">
        <f t="shared" si="4"/>
        <v>27.593059517252282</v>
      </c>
      <c r="V23" s="417">
        <f t="shared" si="4"/>
        <v>27.984017971720181</v>
      </c>
      <c r="W23" s="417">
        <f t="shared" si="4"/>
        <v>28.382795595277447</v>
      </c>
      <c r="X23" s="417">
        <f t="shared" si="4"/>
        <v>28.789548771305856</v>
      </c>
      <c r="Y23" s="417">
        <f t="shared" si="4"/>
        <v>29.204437010854832</v>
      </c>
      <c r="AA23" s="355">
        <f t="shared" si="1"/>
        <v>492.78843670419258</v>
      </c>
      <c r="AB23" s="356">
        <f t="shared" si="2"/>
        <v>492.78843670419258</v>
      </c>
    </row>
    <row r="24" spans="1:28">
      <c r="A24" s="4" t="s">
        <v>36</v>
      </c>
      <c r="D24" s="86">
        <v>0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SUM([9]FINANCIALS!F$14:F$17)</f>
        <v>621.33799999999997</v>
      </c>
      <c r="F25" s="163">
        <f>SUM([9]FINANCIALS!G$14:G$17)</f>
        <v>613.65499999999997</v>
      </c>
      <c r="G25" s="163">
        <f>SUM([9]FINANCIALS!H$14:H$17)</f>
        <v>781.51299999999992</v>
      </c>
      <c r="H25" s="163">
        <f>SUM([9]FINANCIALS!I$14:I$17)</f>
        <v>797.68499999999995</v>
      </c>
      <c r="I25" s="163">
        <f>SUM([9]FINANCIALS!J$14:J$17)</f>
        <v>790.21899999999994</v>
      </c>
      <c r="J25" s="163">
        <f>SUM([9]FINANCIALS!K$14:K$17)</f>
        <v>998.20595831609899</v>
      </c>
      <c r="K25" s="163">
        <f>SUM([9]FINANCIALS!L$14:L$17)</f>
        <v>1011.4121625755809</v>
      </c>
      <c r="L25" s="163">
        <f>SUM([9]FINANCIALS!M$14:M$17)</f>
        <v>1024.8824909202526</v>
      </c>
      <c r="M25" s="163">
        <f>SUM([9]FINANCIALS!N$14:N$17)</f>
        <v>1038.6222258318176</v>
      </c>
      <c r="N25" s="163">
        <f>SUM([9]FINANCIALS!O$14:O$17)</f>
        <v>1052.636755441614</v>
      </c>
      <c r="O25" s="163">
        <f>SUM([9]FINANCIALS!P$14:P$17)</f>
        <v>1066.9315756436063</v>
      </c>
      <c r="P25" s="163">
        <f>SUM([9]FINANCIALS!Q$14:Q$17)</f>
        <v>1081.5122922496384</v>
      </c>
      <c r="Q25" s="163">
        <f>SUM([9]FINANCIALS!R$14:R$17)</f>
        <v>1096.384623187791</v>
      </c>
      <c r="R25" s="163">
        <f>SUM([9]FINANCIALS!S$14:S$17)</f>
        <v>1111.5544007447068</v>
      </c>
      <c r="S25" s="163">
        <f>SUM([9]FINANCIALS!T$14:T$17)</f>
        <v>1127.027573852761</v>
      </c>
      <c r="T25" s="163">
        <f>SUM([9]FINANCIALS!U$14:U$17)</f>
        <v>1142.8102104229761</v>
      </c>
      <c r="U25" s="163">
        <f>SUM([9]FINANCIALS!V$14:V$17)</f>
        <v>1158.9084997245959</v>
      </c>
      <c r="V25" s="163">
        <f>SUM([9]FINANCIALS!W$14:W$17)</f>
        <v>1175.3287548122476</v>
      </c>
      <c r="W25" s="163">
        <f>SUM([9]FINANCIALS!X$14:X$17)</f>
        <v>1192.0774150016528</v>
      </c>
      <c r="X25" s="163">
        <f>SUM([9]FINANCIALS!Y$14:Y$17)</f>
        <v>1209.1610483948459</v>
      </c>
      <c r="Y25" s="163">
        <f>SUM([9]FINANCIALS!Z$14:Z$17)</f>
        <v>1226.5863544559029</v>
      </c>
      <c r="AA25" s="355">
        <f t="shared" si="1"/>
        <v>20697.114341576089</v>
      </c>
      <c r="AB25" s="356">
        <f t="shared" si="2"/>
        <v>20697.114341576089</v>
      </c>
    </row>
    <row r="26" spans="1:28">
      <c r="A26" s="4" t="s">
        <v>16</v>
      </c>
      <c r="D26" s="86">
        <v>0</v>
      </c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>
        <f>[9]FINANCIALS!F$18</f>
        <v>65.143000000000001</v>
      </c>
      <c r="F28" s="163">
        <f>[9]FINANCIALS!G$18</f>
        <v>66</v>
      </c>
      <c r="G28" s="163">
        <f>[9]FINANCIALS!H$18</f>
        <v>68</v>
      </c>
      <c r="H28" s="163">
        <f>[9]FINANCIALS!I$18</f>
        <v>69</v>
      </c>
      <c r="I28" s="163">
        <f>[9]FINANCIALS!J$18</f>
        <v>71</v>
      </c>
      <c r="J28" s="163">
        <f>[9]FINANCIALS!K$18</f>
        <v>72.42</v>
      </c>
      <c r="K28" s="163">
        <f>[9]FINANCIALS!L$18</f>
        <v>73.868400000000008</v>
      </c>
      <c r="L28" s="163">
        <f>[9]FINANCIALS!M$18</f>
        <v>75.345768000000007</v>
      </c>
      <c r="M28" s="163">
        <f>[9]FINANCIALS!N$18</f>
        <v>76.852683360000015</v>
      </c>
      <c r="N28" s="163">
        <f>[9]FINANCIALS!O$18</f>
        <v>78.389737027200013</v>
      </c>
      <c r="O28" s="163">
        <f>[9]FINANCIALS!P$18</f>
        <v>79.957531767744015</v>
      </c>
      <c r="P28" s="163">
        <f>[9]FINANCIALS!Q$18</f>
        <v>81.556682403098904</v>
      </c>
      <c r="Q28" s="163">
        <f>[9]FINANCIALS!R$18</f>
        <v>83.18781605116088</v>
      </c>
      <c r="R28" s="163">
        <f>[9]FINANCIALS!S$18</f>
        <v>84.851572372184094</v>
      </c>
      <c r="S28" s="163">
        <f>[9]FINANCIALS!T$18</f>
        <v>86.548603819627772</v>
      </c>
      <c r="T28" s="163">
        <f>[9]FINANCIALS!U$18</f>
        <v>88.279575896020333</v>
      </c>
      <c r="U28" s="163">
        <f>[9]FINANCIALS!V$18</f>
        <v>90.045167413940746</v>
      </c>
      <c r="V28" s="163">
        <f>[9]FINANCIALS!W$18</f>
        <v>91.846070762219568</v>
      </c>
      <c r="W28" s="163">
        <f>[9]FINANCIALS!X$18</f>
        <v>93.682992177463959</v>
      </c>
      <c r="X28" s="163">
        <f>[9]FINANCIALS!Y$18</f>
        <v>95.556652021013235</v>
      </c>
      <c r="Y28" s="163">
        <f>[9]FINANCIALS!Z$18</f>
        <v>97.467785061433503</v>
      </c>
      <c r="AA28" s="355">
        <f t="shared" si="1"/>
        <v>1623.8570381331072</v>
      </c>
      <c r="AB28" s="356">
        <f t="shared" si="2"/>
        <v>1623.8570381331072</v>
      </c>
    </row>
    <row r="29" spans="1:28">
      <c r="A29" s="4" t="s">
        <v>3</v>
      </c>
      <c r="D29" s="86">
        <v>0</v>
      </c>
      <c r="E29" s="163">
        <f>[9]FINANCIALS!F$19+[9]FINANCIALS!F$22</f>
        <v>53</v>
      </c>
      <c r="F29" s="163">
        <f>[9]FINANCIALS!G$19+[9]FINANCIALS!G$22</f>
        <v>73.460000000000008</v>
      </c>
      <c r="G29" s="163">
        <f>[9]FINANCIALS!H$19+[9]FINANCIALS!H$22</f>
        <v>33.929000000000002</v>
      </c>
      <c r="H29" s="163">
        <f>[9]FINANCIALS!I$19+[9]FINANCIALS!I$22</f>
        <v>34.408000000000001</v>
      </c>
      <c r="I29" s="163">
        <f>[9]FINANCIALS!J$19+[9]FINANCIALS!J$22</f>
        <v>34.896000000000001</v>
      </c>
      <c r="J29" s="163">
        <f>[9]FINANCIALS!K$19+[9]FINANCIALS!K$22</f>
        <v>25.393920000000001</v>
      </c>
      <c r="K29" s="163">
        <f>[9]FINANCIALS!L$19+[9]FINANCIALS!L$22</f>
        <v>25.901798400000001</v>
      </c>
      <c r="L29" s="163">
        <f>[9]FINANCIALS!M$19+[9]FINANCIALS!M$22</f>
        <v>26.419834368</v>
      </c>
      <c r="M29" s="163">
        <f>[9]FINANCIALS!N$19+[9]FINANCIALS!N$22</f>
        <v>26.948231055360001</v>
      </c>
      <c r="N29" s="163">
        <f>[9]FINANCIALS!O$19+[9]FINANCIALS!O$22</f>
        <v>27.487195676467202</v>
      </c>
      <c r="O29" s="163">
        <f>[9]FINANCIALS!P$19+[9]FINANCIALS!P$22</f>
        <v>28.036939589996546</v>
      </c>
      <c r="P29" s="163">
        <f>[9]FINANCIALS!Q$19+[9]FINANCIALS!Q$22</f>
        <v>28.597678381796477</v>
      </c>
      <c r="Q29" s="163">
        <f>[9]FINANCIALS!R$19+[9]FINANCIALS!R$22</f>
        <v>29.169631949432407</v>
      </c>
      <c r="R29" s="163">
        <f>[9]FINANCIALS!S$19+[9]FINANCIALS!S$22</f>
        <v>29.753024588421056</v>
      </c>
      <c r="S29" s="163">
        <f>[9]FINANCIALS!T$19+[9]FINANCIALS!T$22</f>
        <v>30.348085080189477</v>
      </c>
      <c r="T29" s="163">
        <f>[9]FINANCIALS!U$19+[9]FINANCIALS!U$22</f>
        <v>30.955046781793268</v>
      </c>
      <c r="U29" s="163">
        <f>[9]FINANCIALS!V$19+[9]FINANCIALS!V$22</f>
        <v>31.574147717429135</v>
      </c>
      <c r="V29" s="163">
        <f>[9]FINANCIALS!W$19+[9]FINANCIALS!W$22</f>
        <v>32.205630671777719</v>
      </c>
      <c r="W29" s="163">
        <f>[9]FINANCIALS!X$19+[9]FINANCIALS!X$22</f>
        <v>32.849743285213272</v>
      </c>
      <c r="X29" s="163">
        <f>[9]FINANCIALS!Y$19+[9]FINANCIALS!Y$22</f>
        <v>33.506738150917535</v>
      </c>
      <c r="Y29" s="163">
        <f>[9]FINANCIALS!Z$19+[9]FINANCIALS!Z$22</f>
        <v>34.176872913935888</v>
      </c>
      <c r="AA29" s="355">
        <f t="shared" si="1"/>
        <v>650.01751861073012</v>
      </c>
      <c r="AB29" s="356">
        <f t="shared" si="2"/>
        <v>650.01751861073012</v>
      </c>
    </row>
    <row r="30" spans="1:28">
      <c r="A30" s="4" t="s">
        <v>38</v>
      </c>
      <c r="D30" s="86">
        <v>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86">
        <v>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AA31" s="355">
        <f t="shared" si="1"/>
        <v>0</v>
      </c>
      <c r="AB31" s="356">
        <f t="shared" si="2"/>
        <v>0</v>
      </c>
    </row>
    <row r="32" spans="1:28">
      <c r="A32" s="4" t="s">
        <v>34</v>
      </c>
      <c r="D32" s="86">
        <v>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>
        <f>[9]FINANCIALS!F$21</f>
        <v>153</v>
      </c>
      <c r="F34" s="163">
        <f>[9]FINANCIALS!G$21</f>
        <v>156</v>
      </c>
      <c r="G34" s="163">
        <f>[9]FINANCIALS!H$21</f>
        <v>159</v>
      </c>
      <c r="H34" s="163">
        <f>[9]FINANCIALS!I$21</f>
        <v>162</v>
      </c>
      <c r="I34" s="163">
        <f>[9]FINANCIALS!J$21</f>
        <v>165</v>
      </c>
      <c r="J34" s="163">
        <f>[9]FINANCIALS!K$21</f>
        <v>168.3</v>
      </c>
      <c r="K34" s="163">
        <f>[9]FINANCIALS!L$21</f>
        <v>171.66600000000003</v>
      </c>
      <c r="L34" s="163">
        <f>[9]FINANCIALS!M$21</f>
        <v>175.09932000000003</v>
      </c>
      <c r="M34" s="163">
        <f>[9]FINANCIALS!N$21</f>
        <v>178.60130640000003</v>
      </c>
      <c r="N34" s="163">
        <f>[9]FINANCIALS!O$21</f>
        <v>182.17333252800003</v>
      </c>
      <c r="O34" s="163">
        <f>[9]FINANCIALS!P$21</f>
        <v>185.81679917856005</v>
      </c>
      <c r="P34" s="163">
        <f>[9]FINANCIALS!Q$21</f>
        <v>189.53313516213126</v>
      </c>
      <c r="Q34" s="163">
        <f>[9]FINANCIALS!R$21</f>
        <v>193.32379786537388</v>
      </c>
      <c r="R34" s="163">
        <f>[9]FINANCIALS!S$21</f>
        <v>197.19027382268135</v>
      </c>
      <c r="S34" s="163">
        <f>[9]FINANCIALS!T$21</f>
        <v>201.13407929913498</v>
      </c>
      <c r="T34" s="163">
        <f>[9]FINANCIALS!U$21</f>
        <v>205.15676088511768</v>
      </c>
      <c r="U34" s="163">
        <f>[9]FINANCIALS!V$21</f>
        <v>209.25989610282002</v>
      </c>
      <c r="V34" s="163">
        <f>[9]FINANCIALS!W$21</f>
        <v>213.44509402487643</v>
      </c>
      <c r="W34" s="163">
        <f>[9]FINANCIALS!X$21</f>
        <v>217.71399590537396</v>
      </c>
      <c r="X34" s="163">
        <f>[9]FINANCIALS!Y$21</f>
        <v>222.06827582348146</v>
      </c>
      <c r="Y34" s="163">
        <f>[9]FINANCIALS!Z$21</f>
        <v>226.50964133995109</v>
      </c>
      <c r="AA34" s="355">
        <f t="shared" si="1"/>
        <v>3778.9917083375026</v>
      </c>
      <c r="AB34" s="356">
        <f t="shared" si="2"/>
        <v>3778.9917083375026</v>
      </c>
    </row>
    <row r="35" spans="1:28">
      <c r="A35" s="4" t="s">
        <v>19</v>
      </c>
      <c r="B35" s="6"/>
      <c r="C35" s="6"/>
      <c r="D35" s="87">
        <v>0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D36" s="86"/>
      <c r="E36" s="86">
        <f t="shared" ref="E36:Y36" si="5">SUM(E24:E35)</f>
        <v>892.48099999999999</v>
      </c>
      <c r="F36" s="86">
        <f t="shared" si="5"/>
        <v>909.11500000000001</v>
      </c>
      <c r="G36" s="86">
        <f t="shared" si="5"/>
        <v>1042.442</v>
      </c>
      <c r="H36" s="86">
        <f t="shared" si="5"/>
        <v>1063.0929999999998</v>
      </c>
      <c r="I36" s="86">
        <f t="shared" si="5"/>
        <v>1061.1149999999998</v>
      </c>
      <c r="J36" s="86">
        <f t="shared" si="5"/>
        <v>1264.319878316099</v>
      </c>
      <c r="K36" s="86">
        <f t="shared" si="5"/>
        <v>1282.8483609755808</v>
      </c>
      <c r="L36" s="86">
        <f t="shared" si="5"/>
        <v>1301.7474132882526</v>
      </c>
      <c r="M36" s="86">
        <f t="shared" si="5"/>
        <v>1321.0244466471777</v>
      </c>
      <c r="N36" s="86">
        <f t="shared" si="5"/>
        <v>1340.6870206732813</v>
      </c>
      <c r="O36" s="86">
        <f t="shared" si="5"/>
        <v>1360.742846179907</v>
      </c>
      <c r="P36" s="86">
        <f t="shared" si="5"/>
        <v>1381.1997881966649</v>
      </c>
      <c r="Q36" s="86">
        <f t="shared" si="5"/>
        <v>1402.065869053758</v>
      </c>
      <c r="R36" s="86">
        <f t="shared" si="5"/>
        <v>1423.3492715279933</v>
      </c>
      <c r="S36" s="86">
        <f t="shared" si="5"/>
        <v>1445.0583420517132</v>
      </c>
      <c r="T36" s="86">
        <f t="shared" si="5"/>
        <v>1467.2015939859073</v>
      </c>
      <c r="U36" s="86">
        <f t="shared" si="5"/>
        <v>1489.787710958786</v>
      </c>
      <c r="V36" s="86">
        <f t="shared" si="5"/>
        <v>1512.8255502711213</v>
      </c>
      <c r="W36" s="86">
        <f t="shared" si="5"/>
        <v>1536.3241463697041</v>
      </c>
      <c r="X36" s="86">
        <f t="shared" si="5"/>
        <v>1560.292714390258</v>
      </c>
      <c r="Y36" s="86">
        <f t="shared" si="5"/>
        <v>1584.7406537712234</v>
      </c>
      <c r="AA36" s="355">
        <f t="shared" si="1"/>
        <v>26749.980606657431</v>
      </c>
      <c r="AB36" s="356">
        <f t="shared" si="2"/>
        <v>26749.980606657431</v>
      </c>
    </row>
    <row r="37" spans="1:28" outlineLevel="1">
      <c r="A37" s="4"/>
      <c r="B37" s="92"/>
      <c r="C37" s="92"/>
      <c r="D37" s="86"/>
      <c r="E37" s="416">
        <f>E36/E20</f>
        <v>0.17377223650505733</v>
      </c>
      <c r="F37" s="416">
        <f t="shared" ref="F37:Y37" si="6">F36/F20</f>
        <v>0.18703783940810526</v>
      </c>
      <c r="G37" s="416">
        <f t="shared" si="6"/>
        <v>0.21346818583925822</v>
      </c>
      <c r="H37" s="416">
        <f t="shared" si="6"/>
        <v>0.21618526778496996</v>
      </c>
      <c r="I37" s="416">
        <f t="shared" si="6"/>
        <v>0.21478865042937889</v>
      </c>
      <c r="J37" s="416">
        <f t="shared" si="6"/>
        <v>0.25023588415669878</v>
      </c>
      <c r="K37" s="416">
        <f t="shared" si="6"/>
        <v>0.25226256101738459</v>
      </c>
      <c r="L37" s="416">
        <f t="shared" si="6"/>
        <v>0.25425424656463413</v>
      </c>
      <c r="M37" s="416">
        <f t="shared" si="6"/>
        <v>0.25627344269355495</v>
      </c>
      <c r="N37" s="416">
        <f t="shared" si="6"/>
        <v>0.25833498989590958</v>
      </c>
      <c r="O37" s="416">
        <f t="shared" si="6"/>
        <v>0.26029538820456738</v>
      </c>
      <c r="P37" s="416">
        <f t="shared" si="6"/>
        <v>0.2622125285130818</v>
      </c>
      <c r="Q37" s="416">
        <f t="shared" si="6"/>
        <v>0.26412046625445013</v>
      </c>
      <c r="R37" s="416">
        <f t="shared" si="6"/>
        <v>0.26601970513009437</v>
      </c>
      <c r="S37" s="416">
        <f t="shared" si="6"/>
        <v>0.26788684698986176</v>
      </c>
      <c r="T37" s="416">
        <f t="shared" si="6"/>
        <v>0.26976077183281599</v>
      </c>
      <c r="U37" s="416">
        <f t="shared" si="6"/>
        <v>0.27169451635394015</v>
      </c>
      <c r="V37" s="416">
        <f t="shared" si="6"/>
        <v>0.27364551152484146</v>
      </c>
      <c r="W37" s="416">
        <f t="shared" si="6"/>
        <v>0.34565306176191413</v>
      </c>
      <c r="X37" s="416">
        <f t="shared" si="6"/>
        <v>0.53976783687845598</v>
      </c>
      <c r="Y37" s="416">
        <f t="shared" si="6"/>
        <v>0.54822535977405973</v>
      </c>
      <c r="AA37" s="355">
        <f t="shared" si="1"/>
        <v>5.6721230610079774</v>
      </c>
      <c r="AB37" s="356">
        <f t="shared" si="2"/>
        <v>5.6721230610079774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4243.4430000000002</v>
      </c>
      <c r="F39" s="89">
        <f t="shared" si="7"/>
        <v>3951.4790000000003</v>
      </c>
      <c r="G39" s="89">
        <f t="shared" si="7"/>
        <v>3840.9179999999997</v>
      </c>
      <c r="H39" s="89">
        <f t="shared" si="7"/>
        <v>3854.4160000000002</v>
      </c>
      <c r="I39" s="89">
        <f t="shared" si="7"/>
        <v>3879.16</v>
      </c>
      <c r="J39" s="89">
        <f t="shared" si="7"/>
        <v>3788.1924045520791</v>
      </c>
      <c r="K39" s="89">
        <f t="shared" si="7"/>
        <v>3802.5212467926272</v>
      </c>
      <c r="L39" s="89">
        <f t="shared" si="7"/>
        <v>3818.1175678354139</v>
      </c>
      <c r="M39" s="89">
        <f t="shared" si="7"/>
        <v>3833.7213309979297</v>
      </c>
      <c r="N39" s="89">
        <f t="shared" si="7"/>
        <v>3849.0359092847621</v>
      </c>
      <c r="O39" s="89">
        <f t="shared" si="7"/>
        <v>3866.9442656274396</v>
      </c>
      <c r="P39" s="89">
        <f t="shared" si="7"/>
        <v>3886.2822654984043</v>
      </c>
      <c r="Q39" s="89">
        <f t="shared" si="7"/>
        <v>3906.3673960269812</v>
      </c>
      <c r="R39" s="89">
        <f t="shared" si="7"/>
        <v>3927.191474436363</v>
      </c>
      <c r="S39" s="89">
        <f t="shared" si="7"/>
        <v>3949.2279332516873</v>
      </c>
      <c r="T39" s="89">
        <f t="shared" si="7"/>
        <v>3971.6974127799995</v>
      </c>
      <c r="U39" s="89">
        <f t="shared" si="7"/>
        <v>3993.5313156866359</v>
      </c>
      <c r="V39" s="89">
        <f t="shared" si="7"/>
        <v>4015.5879867942854</v>
      </c>
      <c r="W39" s="89">
        <f t="shared" si="7"/>
        <v>2908.3758037436392</v>
      </c>
      <c r="X39" s="89">
        <f t="shared" si="7"/>
        <v>1330.3810304805429</v>
      </c>
      <c r="Y39" s="89">
        <f t="shared" si="7"/>
        <v>1305.9330910995775</v>
      </c>
      <c r="AA39" s="355">
        <f>SUM(F39:Y39)</f>
        <v>71679.081434888358</v>
      </c>
      <c r="AB39" s="356">
        <f t="shared" si="2"/>
        <v>71679.081434888358</v>
      </c>
    </row>
    <row r="40" spans="1:28" s="17" customFormat="1">
      <c r="A40" s="1"/>
      <c r="B40" s="1"/>
      <c r="C40" s="1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1475</v>
      </c>
      <c r="G41" s="86">
        <f t="shared" ref="G41:Y41" si="9">+G109</f>
        <v>1475</v>
      </c>
      <c r="H41" s="86">
        <f t="shared" si="9"/>
        <v>1475</v>
      </c>
      <c r="I41" s="86">
        <f t="shared" si="9"/>
        <v>1475</v>
      </c>
      <c r="J41" s="86">
        <f t="shared" si="9"/>
        <v>1475</v>
      </c>
      <c r="K41" s="86">
        <f t="shared" si="9"/>
        <v>1475</v>
      </c>
      <c r="L41" s="86">
        <f t="shared" si="9"/>
        <v>1475</v>
      </c>
      <c r="M41" s="86">
        <f t="shared" si="9"/>
        <v>1475</v>
      </c>
      <c r="N41" s="86">
        <f t="shared" si="9"/>
        <v>1475</v>
      </c>
      <c r="O41" s="86">
        <f t="shared" si="9"/>
        <v>1475</v>
      </c>
      <c r="P41" s="86">
        <f t="shared" si="9"/>
        <v>1475</v>
      </c>
      <c r="Q41" s="86">
        <f t="shared" si="9"/>
        <v>1475</v>
      </c>
      <c r="R41" s="86">
        <f t="shared" si="9"/>
        <v>1475</v>
      </c>
      <c r="S41" s="86">
        <f t="shared" si="9"/>
        <v>1475</v>
      </c>
      <c r="T41" s="86">
        <f t="shared" si="9"/>
        <v>1475</v>
      </c>
      <c r="U41" s="86">
        <f t="shared" si="9"/>
        <v>1475</v>
      </c>
      <c r="V41" s="86">
        <f t="shared" si="9"/>
        <v>1475</v>
      </c>
      <c r="W41" s="86">
        <f t="shared" si="9"/>
        <v>1475</v>
      </c>
      <c r="X41" s="86">
        <f t="shared" si="9"/>
        <v>1475</v>
      </c>
      <c r="Y41" s="86">
        <f t="shared" si="9"/>
        <v>1475</v>
      </c>
      <c r="AA41" s="355">
        <f t="shared" si="8"/>
        <v>29500</v>
      </c>
      <c r="AB41" s="356">
        <f t="shared" si="2"/>
        <v>29500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4243.4430000000002</v>
      </c>
      <c r="F44" s="89">
        <f t="shared" si="10"/>
        <v>2476.4790000000003</v>
      </c>
      <c r="G44" s="89">
        <f t="shared" si="10"/>
        <v>2365.9179999999997</v>
      </c>
      <c r="H44" s="89">
        <f t="shared" si="10"/>
        <v>2379.4160000000002</v>
      </c>
      <c r="I44" s="89">
        <f t="shared" si="10"/>
        <v>2404.16</v>
      </c>
      <c r="J44" s="89">
        <f t="shared" si="10"/>
        <v>2313.1924045520791</v>
      </c>
      <c r="K44" s="89">
        <f t="shared" si="10"/>
        <v>2327.5212467926272</v>
      </c>
      <c r="L44" s="89">
        <f t="shared" si="10"/>
        <v>2343.1175678354139</v>
      </c>
      <c r="M44" s="89">
        <f t="shared" si="10"/>
        <v>2358.7213309979297</v>
      </c>
      <c r="N44" s="89">
        <f t="shared" si="10"/>
        <v>2374.0359092847621</v>
      </c>
      <c r="O44" s="89">
        <f t="shared" si="10"/>
        <v>2391.9442656274396</v>
      </c>
      <c r="P44" s="89">
        <f t="shared" si="10"/>
        <v>2411.2822654984043</v>
      </c>
      <c r="Q44" s="89">
        <f t="shared" si="10"/>
        <v>2431.3673960269812</v>
      </c>
      <c r="R44" s="89">
        <f t="shared" si="10"/>
        <v>2452.191474436363</v>
      </c>
      <c r="S44" s="89">
        <f t="shared" si="10"/>
        <v>2474.2279332516873</v>
      </c>
      <c r="T44" s="89">
        <f t="shared" si="10"/>
        <v>2496.6974127799995</v>
      </c>
      <c r="U44" s="89">
        <f t="shared" si="10"/>
        <v>2518.5313156866359</v>
      </c>
      <c r="V44" s="89">
        <f t="shared" si="10"/>
        <v>2540.5879867942854</v>
      </c>
      <c r="W44" s="89">
        <f t="shared" si="10"/>
        <v>1433.3758037436392</v>
      </c>
      <c r="X44" s="89">
        <f t="shared" si="10"/>
        <v>-144.6189695194571</v>
      </c>
      <c r="Y44" s="89">
        <f t="shared" si="10"/>
        <v>-169.0669089004225</v>
      </c>
      <c r="AA44" s="355">
        <f t="shared" si="8"/>
        <v>42179.081434888372</v>
      </c>
      <c r="AB44" s="356">
        <f t="shared" si="2"/>
        <v>42179.081434888372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4243.4430000000002</v>
      </c>
      <c r="F49" s="89">
        <f t="shared" si="11"/>
        <v>2476.4790000000003</v>
      </c>
      <c r="G49" s="89">
        <f t="shared" si="11"/>
        <v>2365.9179999999997</v>
      </c>
      <c r="H49" s="89">
        <f t="shared" si="11"/>
        <v>2379.4160000000002</v>
      </c>
      <c r="I49" s="89">
        <f t="shared" si="11"/>
        <v>2404.16</v>
      </c>
      <c r="J49" s="89">
        <f t="shared" si="11"/>
        <v>2313.1924045520791</v>
      </c>
      <c r="K49" s="89">
        <f t="shared" si="11"/>
        <v>2327.5212467926272</v>
      </c>
      <c r="L49" s="89">
        <f t="shared" si="11"/>
        <v>2343.1175678354139</v>
      </c>
      <c r="M49" s="89">
        <f t="shared" si="11"/>
        <v>2358.7213309979297</v>
      </c>
      <c r="N49" s="89">
        <f t="shared" si="11"/>
        <v>2374.0359092847621</v>
      </c>
      <c r="O49" s="89">
        <f t="shared" si="11"/>
        <v>2391.9442656274396</v>
      </c>
      <c r="P49" s="89">
        <f t="shared" si="11"/>
        <v>2411.2822654984043</v>
      </c>
      <c r="Q49" s="89">
        <f t="shared" si="11"/>
        <v>2431.3673960269812</v>
      </c>
      <c r="R49" s="89">
        <f t="shared" si="11"/>
        <v>2452.191474436363</v>
      </c>
      <c r="S49" s="89">
        <f t="shared" si="11"/>
        <v>2474.2279332516873</v>
      </c>
      <c r="T49" s="89">
        <f t="shared" si="11"/>
        <v>2496.6974127799995</v>
      </c>
      <c r="U49" s="89">
        <f t="shared" si="11"/>
        <v>2518.5313156866359</v>
      </c>
      <c r="V49" s="89">
        <f t="shared" si="11"/>
        <v>2540.5879867942854</v>
      </c>
      <c r="W49" s="89">
        <f t="shared" si="11"/>
        <v>1433.3758037436392</v>
      </c>
      <c r="X49" s="89">
        <f t="shared" si="11"/>
        <v>-144.6189695194571</v>
      </c>
      <c r="Y49" s="89">
        <f t="shared" si="11"/>
        <v>-169.0669089004225</v>
      </c>
      <c r="AA49" s="355">
        <f t="shared" si="8"/>
        <v>42179.081434888372</v>
      </c>
      <c r="AB49" s="356">
        <f t="shared" si="2"/>
        <v>42179.081434888372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7">
        <v>0.12</v>
      </c>
      <c r="D51" s="86"/>
      <c r="E51" s="86">
        <f t="shared" ref="E51:Y51" si="12">E49*-$C$51</f>
        <v>-509.21316000000002</v>
      </c>
      <c r="F51" s="86">
        <f t="shared" si="12"/>
        <v>-297.17748</v>
      </c>
      <c r="G51" s="51">
        <f t="shared" si="12"/>
        <v>-283.91015999999996</v>
      </c>
      <c r="H51" s="86">
        <f t="shared" si="12"/>
        <v>-285.52992</v>
      </c>
      <c r="I51" s="86">
        <f t="shared" si="12"/>
        <v>-288.49919999999997</v>
      </c>
      <c r="J51" s="86">
        <f t="shared" si="12"/>
        <v>-277.58308854624948</v>
      </c>
      <c r="K51" s="86">
        <f t="shared" si="12"/>
        <v>-279.30254961511525</v>
      </c>
      <c r="L51" s="86">
        <f t="shared" si="12"/>
        <v>-281.17410814024964</v>
      </c>
      <c r="M51" s="86">
        <f t="shared" si="12"/>
        <v>-283.04655971975154</v>
      </c>
      <c r="N51" s="86">
        <f t="shared" si="12"/>
        <v>-284.88430911417146</v>
      </c>
      <c r="O51" s="86">
        <f t="shared" si="12"/>
        <v>-287.03331187529272</v>
      </c>
      <c r="P51" s="86">
        <f t="shared" si="12"/>
        <v>-289.35387185980852</v>
      </c>
      <c r="Q51" s="86">
        <f t="shared" si="12"/>
        <v>-291.76408752323772</v>
      </c>
      <c r="R51" s="86">
        <f t="shared" si="12"/>
        <v>-294.26297693236353</v>
      </c>
      <c r="S51" s="86">
        <f t="shared" si="12"/>
        <v>-296.90735199020247</v>
      </c>
      <c r="T51" s="86">
        <f t="shared" si="12"/>
        <v>-299.60368953359995</v>
      </c>
      <c r="U51" s="86">
        <f t="shared" si="12"/>
        <v>-302.22375788239628</v>
      </c>
      <c r="V51" s="86">
        <f t="shared" si="12"/>
        <v>-304.87055841531424</v>
      </c>
      <c r="W51" s="86">
        <f t="shared" si="12"/>
        <v>-172.0050964492367</v>
      </c>
      <c r="X51" s="86">
        <f t="shared" si="12"/>
        <v>17.354276342334853</v>
      </c>
      <c r="Y51" s="86">
        <f t="shared" si="12"/>
        <v>20.288029068050701</v>
      </c>
      <c r="AA51" s="355">
        <f t="shared" si="8"/>
        <v>-5061.4897721866037</v>
      </c>
      <c r="AB51" s="356">
        <f t="shared" si="2"/>
        <v>-5061.4897721866037</v>
      </c>
    </row>
    <row r="52" spans="1:28">
      <c r="A52" s="4" t="s">
        <v>27</v>
      </c>
      <c r="C52" s="168">
        <v>0.35</v>
      </c>
      <c r="D52" s="85"/>
      <c r="E52" s="85">
        <f>((E49+E51)*-$C$52)+E56</f>
        <v>774.30465230697655</v>
      </c>
      <c r="F52" s="85">
        <f t="shared" ref="F52:Y52" si="13">((F49+F51)*-$C$52)+F56</f>
        <v>1318.5295643069762</v>
      </c>
      <c r="G52" s="85">
        <f t="shared" si="13"/>
        <v>1352.5823523069766</v>
      </c>
      <c r="H52" s="85">
        <f t="shared" si="13"/>
        <v>1464.0519181018083</v>
      </c>
      <c r="I52" s="85">
        <f t="shared" si="13"/>
        <v>1456.4307661018083</v>
      </c>
      <c r="J52" s="85">
        <f t="shared" si="13"/>
        <v>1600.0757352945998</v>
      </c>
      <c r="K52" s="85">
        <f t="shared" si="13"/>
        <v>1595.662451884511</v>
      </c>
      <c r="L52" s="85">
        <f t="shared" si="13"/>
        <v>1590.8587850033327</v>
      </c>
      <c r="M52" s="85">
        <f t="shared" si="13"/>
        <v>1701.6797757441104</v>
      </c>
      <c r="N52" s="85">
        <f t="shared" si="13"/>
        <v>273.32586541813544</v>
      </c>
      <c r="O52" s="85">
        <f t="shared" si="13"/>
        <v>-736.71883381325131</v>
      </c>
      <c r="P52" s="85">
        <f t="shared" si="13"/>
        <v>-742.67493777350853</v>
      </c>
      <c r="Q52" s="85">
        <f t="shared" si="13"/>
        <v>-748.8611579763101</v>
      </c>
      <c r="R52" s="85">
        <f t="shared" si="13"/>
        <v>-755.2749741263998</v>
      </c>
      <c r="S52" s="85">
        <f t="shared" si="13"/>
        <v>-762.06220344151961</v>
      </c>
      <c r="T52" s="85">
        <f t="shared" si="13"/>
        <v>-768.98280313623968</v>
      </c>
      <c r="U52" s="85">
        <f t="shared" si="13"/>
        <v>-775.70764523148387</v>
      </c>
      <c r="V52" s="85">
        <f t="shared" si="13"/>
        <v>-782.50109993263982</v>
      </c>
      <c r="W52" s="85">
        <f t="shared" si="13"/>
        <v>-441.47974755304085</v>
      </c>
      <c r="X52" s="85">
        <f t="shared" si="13"/>
        <v>44.542642611992783</v>
      </c>
      <c r="Y52" s="85">
        <f t="shared" si="13"/>
        <v>52.072607941330133</v>
      </c>
      <c r="AA52" s="355">
        <f t="shared" si="8"/>
        <v>5935.5490617311898</v>
      </c>
      <c r="AB52" s="356">
        <f t="shared" si="2"/>
        <v>5935.5490617311898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4508.534492306977</v>
      </c>
      <c r="F54" s="89">
        <f t="shared" si="14"/>
        <v>3497.8310843069767</v>
      </c>
      <c r="G54" s="89">
        <f t="shared" si="14"/>
        <v>3434.5901923069764</v>
      </c>
      <c r="H54" s="89">
        <f t="shared" si="14"/>
        <v>3557.9379981018083</v>
      </c>
      <c r="I54" s="89">
        <f t="shared" si="14"/>
        <v>3572.091566101808</v>
      </c>
      <c r="J54" s="89">
        <f t="shared" si="14"/>
        <v>3635.6850513004292</v>
      </c>
      <c r="K54" s="89">
        <f t="shared" si="14"/>
        <v>3643.8811490620228</v>
      </c>
      <c r="L54" s="89">
        <f t="shared" si="14"/>
        <v>3652.8022446984969</v>
      </c>
      <c r="M54" s="89">
        <f t="shared" si="14"/>
        <v>3777.3545470222884</v>
      </c>
      <c r="N54" s="89">
        <f t="shared" si="14"/>
        <v>2362.4774655887259</v>
      </c>
      <c r="O54" s="89">
        <f t="shared" si="14"/>
        <v>1368.1921199388953</v>
      </c>
      <c r="P54" s="89">
        <f t="shared" si="14"/>
        <v>1379.2534558650873</v>
      </c>
      <c r="Q54" s="89">
        <f t="shared" si="14"/>
        <v>1390.7421505274333</v>
      </c>
      <c r="R54" s="89">
        <f t="shared" si="14"/>
        <v>1402.6535233775999</v>
      </c>
      <c r="S54" s="89">
        <f t="shared" si="14"/>
        <v>1415.2583778199651</v>
      </c>
      <c r="T54" s="89">
        <f t="shared" si="14"/>
        <v>1428.1109201101597</v>
      </c>
      <c r="U54" s="89">
        <f t="shared" si="14"/>
        <v>1440.599912572756</v>
      </c>
      <c r="V54" s="89">
        <f t="shared" si="14"/>
        <v>1453.2163284463311</v>
      </c>
      <c r="W54" s="89">
        <f t="shared" si="14"/>
        <v>819.89095974136171</v>
      </c>
      <c r="X54" s="89">
        <f t="shared" si="14"/>
        <v>-82.72205056512945</v>
      </c>
      <c r="Y54" s="89">
        <f t="shared" si="14"/>
        <v>-96.706271891041681</v>
      </c>
      <c r="AA54" s="355">
        <f t="shared" si="8"/>
        <v>43053.140724432946</v>
      </c>
      <c r="AB54" s="356">
        <f t="shared" si="2"/>
        <v>43053.140724432946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f>[9]TAX!F$48</f>
        <v>2081.2850963069764</v>
      </c>
      <c r="F56" s="169">
        <f>[9]TAX!G$48</f>
        <v>2081.2850963069764</v>
      </c>
      <c r="G56" s="169">
        <f>[9]TAX!H$48</f>
        <v>2081.2850963069764</v>
      </c>
      <c r="H56" s="169">
        <f>[9]TAX!I$48</f>
        <v>2196.9120461018083</v>
      </c>
      <c r="I56" s="169">
        <f>[9]TAX!J$48</f>
        <v>2196.9120461018083</v>
      </c>
      <c r="J56" s="169">
        <f>[9]TAX!K$48</f>
        <v>2312.5389958966402</v>
      </c>
      <c r="K56" s="169">
        <f>[9]TAX!L$48</f>
        <v>2312.5389958966402</v>
      </c>
      <c r="L56" s="169">
        <f>[9]TAX!M$48</f>
        <v>2312.5389958966402</v>
      </c>
      <c r="M56" s="169">
        <f>[9]TAX!N$48</f>
        <v>2428.1659456914726</v>
      </c>
      <c r="N56" s="169">
        <f>[9]TAX!O$48</f>
        <v>1004.528925477842</v>
      </c>
      <c r="O56" s="169">
        <f>[9]TAX!P$48</f>
        <v>0</v>
      </c>
      <c r="P56" s="169">
        <f>[9]TAX!Q$48</f>
        <v>0</v>
      </c>
      <c r="Q56" s="169">
        <f>[9]TAX!R$48</f>
        <v>0</v>
      </c>
      <c r="R56" s="169">
        <f>[9]TAX!S$48</f>
        <v>0</v>
      </c>
      <c r="S56" s="169">
        <f>[9]TAX!T$48</f>
        <v>0</v>
      </c>
      <c r="T56" s="169">
        <f>[9]TAX!U$48</f>
        <v>0</v>
      </c>
      <c r="U56" s="169">
        <f>[9]TAX!V$48</f>
        <v>0</v>
      </c>
      <c r="V56" s="169">
        <f>[9]TAX!W$48</f>
        <v>0</v>
      </c>
      <c r="W56" s="169">
        <f>[9]TAX!X$48</f>
        <v>0</v>
      </c>
      <c r="X56" s="169">
        <f>[9]TAX!Y$48</f>
        <v>0</v>
      </c>
      <c r="Y56" s="169">
        <f>[9]TAX!Z$48</f>
        <v>0</v>
      </c>
      <c r="AA56" s="355">
        <f t="shared" si="8"/>
        <v>18926.706143676805</v>
      </c>
      <c r="AB56" s="356">
        <f t="shared" si="2"/>
        <v>18926.706143676805</v>
      </c>
    </row>
    <row r="57" spans="1:28" outlineLevel="1">
      <c r="A57" s="12"/>
      <c r="D57" s="419" t="s">
        <v>181</v>
      </c>
      <c r="E57" s="420">
        <f>E56/(0.017*C1*8760)</f>
        <v>0.33275857544270754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1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40210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4243.4430000000002</v>
      </c>
      <c r="F64" s="16">
        <f t="shared" si="16"/>
        <v>3951.4790000000003</v>
      </c>
      <c r="G64" s="20">
        <f t="shared" si="16"/>
        <v>3840.9179999999997</v>
      </c>
      <c r="H64" s="16">
        <f t="shared" si="16"/>
        <v>3854.4160000000002</v>
      </c>
      <c r="I64" s="16">
        <f t="shared" si="16"/>
        <v>3879.16</v>
      </c>
      <c r="J64" s="16">
        <f t="shared" si="16"/>
        <v>3788.1924045520791</v>
      </c>
      <c r="K64" s="16">
        <f t="shared" si="16"/>
        <v>3802.5212467926272</v>
      </c>
      <c r="L64" s="16">
        <f t="shared" si="16"/>
        <v>3818.1175678354139</v>
      </c>
      <c r="M64" s="16">
        <f t="shared" si="16"/>
        <v>3833.7213309979297</v>
      </c>
      <c r="N64" s="16">
        <f t="shared" si="16"/>
        <v>3849.0359092847621</v>
      </c>
      <c r="O64" s="16">
        <f t="shared" si="16"/>
        <v>3866.9442656274396</v>
      </c>
      <c r="P64" s="16">
        <f t="shared" si="16"/>
        <v>3886.2822654984043</v>
      </c>
      <c r="Q64" s="16">
        <f t="shared" si="16"/>
        <v>3906.3673960269812</v>
      </c>
      <c r="R64" s="16">
        <f t="shared" si="16"/>
        <v>3927.191474436363</v>
      </c>
      <c r="S64" s="16">
        <f t="shared" si="16"/>
        <v>3949.2279332516873</v>
      </c>
      <c r="T64" s="16">
        <f t="shared" si="16"/>
        <v>3971.6974127799995</v>
      </c>
      <c r="U64" s="16">
        <f t="shared" si="16"/>
        <v>3993.5313156866359</v>
      </c>
      <c r="V64" s="16">
        <f t="shared" si="16"/>
        <v>4015.5879867942854</v>
      </c>
      <c r="W64" s="16">
        <f t="shared" si="16"/>
        <v>2908.3758037436392</v>
      </c>
      <c r="X64" s="16">
        <f t="shared" si="16"/>
        <v>1330.3810304805429</v>
      </c>
      <c r="Y64" s="16">
        <f t="shared" si="16"/>
        <v>1305.9330910995775</v>
      </c>
      <c r="AA64" s="355">
        <f t="shared" si="8"/>
        <v>71679.081434888358</v>
      </c>
      <c r="AB64" s="356">
        <f t="shared" si="2"/>
        <v>71679.081434888358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171">
        <v>0</v>
      </c>
      <c r="F66" s="171">
        <v>0</v>
      </c>
      <c r="G66" s="171">
        <v>0</v>
      </c>
      <c r="H66" s="171">
        <v>0</v>
      </c>
      <c r="I66" s="171">
        <v>0</v>
      </c>
      <c r="J66" s="171">
        <v>0</v>
      </c>
      <c r="K66" s="171">
        <v>0</v>
      </c>
      <c r="L66" s="171">
        <v>0</v>
      </c>
      <c r="M66" s="171">
        <v>0</v>
      </c>
      <c r="N66" s="171">
        <v>0</v>
      </c>
      <c r="O66" s="171">
        <v>0</v>
      </c>
      <c r="P66" s="171">
        <v>0</v>
      </c>
      <c r="Q66" s="171">
        <v>0</v>
      </c>
      <c r="R66" s="171">
        <v>0</v>
      </c>
      <c r="S66" s="171">
        <v>0</v>
      </c>
      <c r="T66" s="171">
        <v>0</v>
      </c>
      <c r="U66" s="171">
        <v>0</v>
      </c>
      <c r="V66" s="171">
        <v>0</v>
      </c>
      <c r="W66" s="171">
        <v>0</v>
      </c>
      <c r="X66" s="171">
        <v>0</v>
      </c>
      <c r="Y66" s="171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7">SUM(E64:E66)</f>
        <v>4243.4430000000002</v>
      </c>
      <c r="F69" s="91">
        <f t="shared" si="17"/>
        <v>3951.4790000000003</v>
      </c>
      <c r="G69" s="91">
        <f t="shared" si="17"/>
        <v>3840.9179999999997</v>
      </c>
      <c r="H69" s="91">
        <f t="shared" si="17"/>
        <v>3854.4160000000002</v>
      </c>
      <c r="I69" s="91">
        <f t="shared" si="17"/>
        <v>3879.16</v>
      </c>
      <c r="J69" s="91">
        <f t="shared" si="17"/>
        <v>3788.1924045520791</v>
      </c>
      <c r="K69" s="91">
        <f t="shared" si="17"/>
        <v>3802.5212467926272</v>
      </c>
      <c r="L69" s="91">
        <f t="shared" si="17"/>
        <v>3818.1175678354139</v>
      </c>
      <c r="M69" s="91">
        <f t="shared" si="17"/>
        <v>3833.7213309979297</v>
      </c>
      <c r="N69" s="91">
        <f t="shared" si="17"/>
        <v>3849.0359092847621</v>
      </c>
      <c r="O69" s="91">
        <f t="shared" si="17"/>
        <v>3866.9442656274396</v>
      </c>
      <c r="P69" s="91">
        <f t="shared" si="17"/>
        <v>3886.2822654984043</v>
      </c>
      <c r="Q69" s="91">
        <f t="shared" si="17"/>
        <v>3906.3673960269812</v>
      </c>
      <c r="R69" s="91">
        <f t="shared" si="17"/>
        <v>3927.191474436363</v>
      </c>
      <c r="S69" s="91">
        <f t="shared" si="17"/>
        <v>3949.2279332516873</v>
      </c>
      <c r="T69" s="91">
        <f t="shared" si="17"/>
        <v>3971.6974127799995</v>
      </c>
      <c r="U69" s="91">
        <f t="shared" si="17"/>
        <v>3993.5313156866359</v>
      </c>
      <c r="V69" s="91">
        <f t="shared" si="17"/>
        <v>4015.5879867942854</v>
      </c>
      <c r="W69" s="91">
        <f t="shared" si="17"/>
        <v>2908.3758037436392</v>
      </c>
      <c r="X69" s="91">
        <f t="shared" si="17"/>
        <v>1330.3810304805429</v>
      </c>
      <c r="Y69" s="91">
        <f t="shared" si="17"/>
        <v>1305.9330910995775</v>
      </c>
      <c r="AA69" s="355">
        <f t="shared" si="8"/>
        <v>71679.081434888358</v>
      </c>
      <c r="AB69" s="356">
        <f t="shared" si="2"/>
        <v>71679.081434888358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8">F89</f>
        <v>2097.8406905297975</v>
      </c>
      <c r="G71" s="94">
        <f t="shared" si="18"/>
        <v>4418.6050200476757</v>
      </c>
      <c r="H71" s="94">
        <f t="shared" si="18"/>
        <v>1987.8207064286053</v>
      </c>
      <c r="I71" s="94">
        <f t="shared" si="18"/>
        <v>522.22597265716331</v>
      </c>
      <c r="J71" s="94">
        <f t="shared" si="18"/>
        <v>561.16010350887336</v>
      </c>
      <c r="K71" s="94">
        <f t="shared" si="18"/>
        <v>-536.22586729866271</v>
      </c>
      <c r="L71" s="94">
        <f t="shared" si="18"/>
        <v>-1634.1543190335572</v>
      </c>
      <c r="M71" s="94">
        <f t="shared" si="18"/>
        <v>-1640.8327296671137</v>
      </c>
      <c r="N71" s="94">
        <f t="shared" si="18"/>
        <v>-1647.3873691738779</v>
      </c>
      <c r="O71" s="94">
        <f t="shared" si="18"/>
        <v>-1655.052145688544</v>
      </c>
      <c r="P71" s="94">
        <f t="shared" si="18"/>
        <v>-1663.3288096333172</v>
      </c>
      <c r="Q71" s="94">
        <f t="shared" si="18"/>
        <v>-1671.9252454995478</v>
      </c>
      <c r="R71" s="94">
        <f t="shared" si="18"/>
        <v>-1680.8379510587633</v>
      </c>
      <c r="S71" s="94">
        <f t="shared" si="18"/>
        <v>-1690.269555431722</v>
      </c>
      <c r="T71" s="94">
        <f t="shared" si="18"/>
        <v>-1699.8864926698395</v>
      </c>
      <c r="U71" s="94">
        <f t="shared" si="18"/>
        <v>-1709.2314031138801</v>
      </c>
      <c r="V71" s="94">
        <f t="shared" si="18"/>
        <v>-1718.671658347954</v>
      </c>
      <c r="W71" s="94">
        <f t="shared" si="18"/>
        <v>-1244.7848440022776</v>
      </c>
      <c r="X71" s="94">
        <f t="shared" si="18"/>
        <v>-569.40308104567225</v>
      </c>
      <c r="Y71" s="94">
        <f t="shared" si="18"/>
        <v>-558.9393629906192</v>
      </c>
      <c r="AA71" s="355">
        <f t="shared" si="8"/>
        <v>-11733.278341483232</v>
      </c>
      <c r="AB71" s="356">
        <f t="shared" si="2"/>
        <v>-11733.278341483232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19">E69+E71</f>
        <v>4243.4430000000002</v>
      </c>
      <c r="F73" s="24">
        <f t="shared" si="19"/>
        <v>6049.3196905297973</v>
      </c>
      <c r="G73" s="24">
        <f t="shared" si="19"/>
        <v>8259.5230200476763</v>
      </c>
      <c r="H73" s="24">
        <f t="shared" si="19"/>
        <v>5842.2367064286054</v>
      </c>
      <c r="I73" s="24">
        <f t="shared" si="19"/>
        <v>4401.3859726571627</v>
      </c>
      <c r="J73" s="24">
        <f t="shared" si="19"/>
        <v>4349.3525080609525</v>
      </c>
      <c r="K73" s="24">
        <f t="shared" si="19"/>
        <v>3266.2953794939644</v>
      </c>
      <c r="L73" s="24">
        <f t="shared" si="19"/>
        <v>2183.9632488018569</v>
      </c>
      <c r="M73" s="24">
        <f t="shared" si="19"/>
        <v>2192.8886013308161</v>
      </c>
      <c r="N73" s="24">
        <f t="shared" si="19"/>
        <v>2201.6485401108839</v>
      </c>
      <c r="O73" s="24">
        <f t="shared" si="19"/>
        <v>2211.8921199388956</v>
      </c>
      <c r="P73" s="24">
        <f t="shared" si="19"/>
        <v>2222.9534558650871</v>
      </c>
      <c r="Q73" s="24">
        <f t="shared" si="19"/>
        <v>2234.4421505274331</v>
      </c>
      <c r="R73" s="24">
        <f t="shared" si="19"/>
        <v>2246.3535233775997</v>
      </c>
      <c r="S73" s="24">
        <f t="shared" si="19"/>
        <v>2258.9583778199653</v>
      </c>
      <c r="T73" s="24">
        <f t="shared" si="19"/>
        <v>2271.8109201101597</v>
      </c>
      <c r="U73" s="24">
        <f t="shared" si="19"/>
        <v>2284.2999125727556</v>
      </c>
      <c r="V73" s="24">
        <f t="shared" si="19"/>
        <v>2296.9163284463311</v>
      </c>
      <c r="W73" s="24">
        <f t="shared" si="19"/>
        <v>1663.5909597413615</v>
      </c>
      <c r="X73" s="24">
        <f t="shared" si="19"/>
        <v>760.97794943487065</v>
      </c>
      <c r="Y73" s="24">
        <f t="shared" si="19"/>
        <v>746.99372810895829</v>
      </c>
      <c r="AA73" s="355">
        <f t="shared" si="8"/>
        <v>59945.803093405135</v>
      </c>
      <c r="AB73" s="356">
        <f t="shared" si="2"/>
        <v>59945.803093405135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"/>
      <c r="C76" s="159">
        <f>+C$60</f>
        <v>1</v>
      </c>
      <c r="D76" s="24"/>
      <c r="E76" s="24">
        <f t="shared" ref="E76:Y76" si="21">$C$76*E54</f>
        <v>4508.534492306977</v>
      </c>
      <c r="F76" s="24">
        <f t="shared" si="21"/>
        <v>3497.8310843069767</v>
      </c>
      <c r="G76" s="91">
        <f t="shared" si="21"/>
        <v>3434.5901923069764</v>
      </c>
      <c r="H76" s="24">
        <f t="shared" si="21"/>
        <v>3557.9379981018083</v>
      </c>
      <c r="I76" s="24">
        <f t="shared" si="21"/>
        <v>3572.091566101808</v>
      </c>
      <c r="J76" s="24">
        <f t="shared" si="21"/>
        <v>3635.6850513004292</v>
      </c>
      <c r="K76" s="24">
        <f t="shared" si="21"/>
        <v>3643.8811490620228</v>
      </c>
      <c r="L76" s="24">
        <f t="shared" si="21"/>
        <v>3652.8022446984969</v>
      </c>
      <c r="M76" s="24">
        <f t="shared" si="21"/>
        <v>3777.3545470222884</v>
      </c>
      <c r="N76" s="24">
        <f t="shared" si="21"/>
        <v>2362.4774655887259</v>
      </c>
      <c r="O76" s="24">
        <f t="shared" si="21"/>
        <v>1368.1921199388953</v>
      </c>
      <c r="P76" s="24">
        <f t="shared" si="21"/>
        <v>1379.2534558650873</v>
      </c>
      <c r="Q76" s="24">
        <f t="shared" si="21"/>
        <v>1390.7421505274333</v>
      </c>
      <c r="R76" s="24">
        <f t="shared" si="21"/>
        <v>1402.6535233775999</v>
      </c>
      <c r="S76" s="24">
        <f t="shared" si="21"/>
        <v>1415.2583778199651</v>
      </c>
      <c r="T76" s="24">
        <f t="shared" si="21"/>
        <v>1428.1109201101597</v>
      </c>
      <c r="U76" s="24">
        <f t="shared" si="21"/>
        <v>1440.599912572756</v>
      </c>
      <c r="V76" s="24">
        <f t="shared" si="21"/>
        <v>1453.2163284463311</v>
      </c>
      <c r="W76" s="24">
        <f t="shared" si="21"/>
        <v>819.89095974136171</v>
      </c>
      <c r="X76" s="24">
        <f t="shared" si="21"/>
        <v>-82.72205056512945</v>
      </c>
      <c r="Y76" s="24">
        <f t="shared" si="21"/>
        <v>-96.706271891041681</v>
      </c>
      <c r="AA76" s="355">
        <f t="shared" si="8"/>
        <v>43053.140724432946</v>
      </c>
      <c r="AB76" s="356">
        <f>AA76</f>
        <v>43053.140724432946</v>
      </c>
    </row>
    <row r="77" spans="1:28" outlineLevel="1">
      <c r="A77" s="13" t="s">
        <v>136</v>
      </c>
      <c r="B77" s="22"/>
      <c r="C77" s="159">
        <f>+C60</f>
        <v>1</v>
      </c>
      <c r="D77" s="24"/>
      <c r="E77" s="24">
        <f t="shared" ref="E77:Y77" si="22">$C$77*E73</f>
        <v>4243.4430000000002</v>
      </c>
      <c r="F77" s="24">
        <f t="shared" si="22"/>
        <v>6049.3196905297973</v>
      </c>
      <c r="G77" s="91">
        <f t="shared" si="22"/>
        <v>8259.5230200476763</v>
      </c>
      <c r="H77" s="24">
        <f t="shared" si="22"/>
        <v>5842.2367064286054</v>
      </c>
      <c r="I77" s="24">
        <f t="shared" si="22"/>
        <v>4401.3859726571627</v>
      </c>
      <c r="J77" s="24">
        <f t="shared" si="22"/>
        <v>4349.3525080609525</v>
      </c>
      <c r="K77" s="24">
        <f t="shared" si="22"/>
        <v>3266.2953794939644</v>
      </c>
      <c r="L77" s="24">
        <f t="shared" si="22"/>
        <v>2183.9632488018569</v>
      </c>
      <c r="M77" s="24">
        <f t="shared" si="22"/>
        <v>2192.8886013308161</v>
      </c>
      <c r="N77" s="24">
        <f t="shared" si="22"/>
        <v>2201.6485401108839</v>
      </c>
      <c r="O77" s="24">
        <f t="shared" si="22"/>
        <v>2211.8921199388956</v>
      </c>
      <c r="P77" s="24">
        <f t="shared" si="22"/>
        <v>2222.9534558650871</v>
      </c>
      <c r="Q77" s="24">
        <f t="shared" si="22"/>
        <v>2234.4421505274331</v>
      </c>
      <c r="R77" s="24">
        <f t="shared" si="22"/>
        <v>2246.3535233775997</v>
      </c>
      <c r="S77" s="24">
        <f t="shared" si="22"/>
        <v>2258.9583778199653</v>
      </c>
      <c r="T77" s="24">
        <f t="shared" si="22"/>
        <v>2271.8109201101597</v>
      </c>
      <c r="U77" s="24">
        <f t="shared" si="22"/>
        <v>2284.2999125727556</v>
      </c>
      <c r="V77" s="24">
        <f t="shared" si="22"/>
        <v>2296.9163284463311</v>
      </c>
      <c r="W77" s="24">
        <f t="shared" si="22"/>
        <v>1663.5909597413615</v>
      </c>
      <c r="X77" s="24">
        <f t="shared" si="22"/>
        <v>760.97794943487065</v>
      </c>
      <c r="Y77" s="24">
        <f t="shared" si="22"/>
        <v>746.99372810895829</v>
      </c>
      <c r="AA77" s="355">
        <f t="shared" si="8"/>
        <v>59945.803093405135</v>
      </c>
      <c r="AB77" s="356">
        <f>AA77</f>
        <v>59945.803093405135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0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0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0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0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0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0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0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0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3">G62</f>
        <v>2002</v>
      </c>
      <c r="H86" s="99">
        <f t="shared" si="23"/>
        <v>2003</v>
      </c>
      <c r="I86" s="99">
        <f t="shared" si="23"/>
        <v>2004</v>
      </c>
      <c r="J86" s="99">
        <f t="shared" si="23"/>
        <v>2005</v>
      </c>
      <c r="K86" s="99">
        <f t="shared" si="23"/>
        <v>2006</v>
      </c>
      <c r="L86" s="99">
        <f t="shared" si="23"/>
        <v>2007</v>
      </c>
      <c r="M86" s="99">
        <f t="shared" si="23"/>
        <v>2008</v>
      </c>
      <c r="N86" s="99">
        <f t="shared" si="23"/>
        <v>2009</v>
      </c>
      <c r="O86" s="99">
        <f t="shared" si="23"/>
        <v>2010</v>
      </c>
      <c r="P86" s="99">
        <f t="shared" si="23"/>
        <v>2011</v>
      </c>
      <c r="Q86" s="99">
        <f t="shared" si="23"/>
        <v>2012</v>
      </c>
      <c r="R86" s="99">
        <f t="shared" si="23"/>
        <v>2013</v>
      </c>
      <c r="S86" s="99">
        <f t="shared" si="23"/>
        <v>2014</v>
      </c>
      <c r="T86" s="99">
        <f t="shared" si="23"/>
        <v>2015</v>
      </c>
      <c r="U86" s="99">
        <f t="shared" si="23"/>
        <v>2016</v>
      </c>
      <c r="V86" s="99">
        <f t="shared" si="23"/>
        <v>2017</v>
      </c>
      <c r="W86" s="99">
        <f t="shared" si="23"/>
        <v>2018</v>
      </c>
      <c r="X86" s="99">
        <f t="shared" si="23"/>
        <v>2019</v>
      </c>
      <c r="Y86" s="99">
        <f t="shared" si="23"/>
        <v>2020</v>
      </c>
      <c r="AA86" s="355">
        <f t="shared" si="8"/>
        <v>40210</v>
      </c>
      <c r="AB86" s="356">
        <f t="shared" si="20"/>
        <v>40210</v>
      </c>
    </row>
    <row r="87" spans="1:30" s="128" customFormat="1">
      <c r="AA87" s="355">
        <f t="shared" si="8"/>
        <v>0</v>
      </c>
      <c r="AB87" s="356">
        <f t="shared" si="20"/>
        <v>0</v>
      </c>
    </row>
    <row r="88" spans="1:30" s="128" customFormat="1">
      <c r="A88" s="11" t="s">
        <v>31</v>
      </c>
      <c r="F88" s="129">
        <f>F69</f>
        <v>3951.4790000000003</v>
      </c>
      <c r="G88" s="129">
        <f t="shared" ref="G88:Y88" si="24">G69</f>
        <v>3840.9179999999997</v>
      </c>
      <c r="H88" s="129">
        <f t="shared" si="24"/>
        <v>3854.4160000000002</v>
      </c>
      <c r="I88" s="129">
        <f t="shared" si="24"/>
        <v>3879.16</v>
      </c>
      <c r="J88" s="129">
        <f t="shared" si="24"/>
        <v>3788.1924045520791</v>
      </c>
      <c r="K88" s="129">
        <f t="shared" si="24"/>
        <v>3802.5212467926272</v>
      </c>
      <c r="L88" s="129">
        <f t="shared" si="24"/>
        <v>3818.1175678354139</v>
      </c>
      <c r="M88" s="129">
        <f t="shared" si="24"/>
        <v>3833.7213309979297</v>
      </c>
      <c r="N88" s="129">
        <f t="shared" si="24"/>
        <v>3849.0359092847621</v>
      </c>
      <c r="O88" s="129">
        <f t="shared" si="24"/>
        <v>3866.9442656274396</v>
      </c>
      <c r="P88" s="129">
        <f t="shared" si="24"/>
        <v>3886.2822654984043</v>
      </c>
      <c r="Q88" s="129">
        <f t="shared" si="24"/>
        <v>3906.3673960269812</v>
      </c>
      <c r="R88" s="129">
        <f t="shared" si="24"/>
        <v>3927.191474436363</v>
      </c>
      <c r="S88" s="129">
        <f t="shared" si="24"/>
        <v>3949.2279332516873</v>
      </c>
      <c r="T88" s="129">
        <f t="shared" si="24"/>
        <v>3971.6974127799995</v>
      </c>
      <c r="U88" s="129">
        <f t="shared" si="24"/>
        <v>3993.5313156866359</v>
      </c>
      <c r="V88" s="129">
        <f t="shared" si="24"/>
        <v>4015.5879867942854</v>
      </c>
      <c r="W88" s="129">
        <f t="shared" si="24"/>
        <v>2908.3758037436392</v>
      </c>
      <c r="X88" s="129">
        <f t="shared" si="24"/>
        <v>1330.3810304805429</v>
      </c>
      <c r="Y88" s="129">
        <f t="shared" si="24"/>
        <v>1305.9330910995775</v>
      </c>
      <c r="AA88" s="355">
        <f t="shared" si="8"/>
        <v>71679.081434888358</v>
      </c>
      <c r="AB88" s="356">
        <f t="shared" si="20"/>
        <v>71679.081434888358</v>
      </c>
    </row>
    <row r="89" spans="1:30" s="128" customFormat="1">
      <c r="A89" s="128" t="s">
        <v>42</v>
      </c>
      <c r="F89" s="100">
        <f>F126+F127</f>
        <v>2097.8406905297975</v>
      </c>
      <c r="G89" s="100">
        <f t="shared" ref="G89:Y89" si="25">G126+G127</f>
        <v>4418.6050200476757</v>
      </c>
      <c r="H89" s="100">
        <f t="shared" si="25"/>
        <v>1987.8207064286053</v>
      </c>
      <c r="I89" s="100">
        <f t="shared" si="25"/>
        <v>522.22597265716331</v>
      </c>
      <c r="J89" s="100">
        <f t="shared" si="25"/>
        <v>561.16010350887336</v>
      </c>
      <c r="K89" s="100">
        <f t="shared" si="25"/>
        <v>-536.22586729866271</v>
      </c>
      <c r="L89" s="100">
        <f t="shared" si="25"/>
        <v>-1634.1543190335572</v>
      </c>
      <c r="M89" s="100">
        <f t="shared" si="25"/>
        <v>-1640.8327296671137</v>
      </c>
      <c r="N89" s="100">
        <f t="shared" si="25"/>
        <v>-1647.3873691738779</v>
      </c>
      <c r="O89" s="100">
        <f t="shared" si="25"/>
        <v>-1655.052145688544</v>
      </c>
      <c r="P89" s="100">
        <f t="shared" si="25"/>
        <v>-1663.3288096333172</v>
      </c>
      <c r="Q89" s="100">
        <f t="shared" si="25"/>
        <v>-1671.9252454995478</v>
      </c>
      <c r="R89" s="100">
        <f t="shared" si="25"/>
        <v>-1680.8379510587633</v>
      </c>
      <c r="S89" s="100">
        <f t="shared" si="25"/>
        <v>-1690.269555431722</v>
      </c>
      <c r="T89" s="100">
        <f t="shared" si="25"/>
        <v>-1699.8864926698395</v>
      </c>
      <c r="U89" s="100">
        <f t="shared" si="25"/>
        <v>-1709.2314031138801</v>
      </c>
      <c r="V89" s="100">
        <f t="shared" si="25"/>
        <v>-1718.671658347954</v>
      </c>
      <c r="W89" s="100">
        <f t="shared" si="25"/>
        <v>-1244.7848440022776</v>
      </c>
      <c r="X89" s="100">
        <f t="shared" si="25"/>
        <v>-569.40308104567225</v>
      </c>
      <c r="Y89" s="100">
        <f t="shared" si="25"/>
        <v>-558.9393629906192</v>
      </c>
      <c r="AA89" s="355">
        <f t="shared" si="8"/>
        <v>-11733.278341483232</v>
      </c>
      <c r="AB89" s="356">
        <f t="shared" si="20"/>
        <v>-11733.278341483232</v>
      </c>
    </row>
    <row r="90" spans="1:30" s="128" customFormat="1">
      <c r="A90" s="128" t="s">
        <v>109</v>
      </c>
      <c r="F90" s="100">
        <f>F56</f>
        <v>2081.2850963069764</v>
      </c>
      <c r="G90" s="100">
        <f t="shared" ref="G90:Y90" si="26">G56</f>
        <v>2081.2850963069764</v>
      </c>
      <c r="H90" s="100">
        <f t="shared" si="26"/>
        <v>2196.9120461018083</v>
      </c>
      <c r="I90" s="100">
        <f t="shared" si="26"/>
        <v>2196.9120461018083</v>
      </c>
      <c r="J90" s="100">
        <f t="shared" si="26"/>
        <v>2312.5389958966402</v>
      </c>
      <c r="K90" s="100">
        <f t="shared" si="26"/>
        <v>2312.5389958966402</v>
      </c>
      <c r="L90" s="100">
        <f t="shared" si="26"/>
        <v>2312.5389958966402</v>
      </c>
      <c r="M90" s="100">
        <f t="shared" si="26"/>
        <v>2428.1659456914726</v>
      </c>
      <c r="N90" s="100">
        <f t="shared" si="26"/>
        <v>1004.528925477842</v>
      </c>
      <c r="O90" s="100">
        <f t="shared" si="26"/>
        <v>0</v>
      </c>
      <c r="P90" s="100">
        <f t="shared" si="26"/>
        <v>0</v>
      </c>
      <c r="Q90" s="100">
        <f t="shared" si="26"/>
        <v>0</v>
      </c>
      <c r="R90" s="100">
        <f t="shared" si="26"/>
        <v>0</v>
      </c>
      <c r="S90" s="100">
        <f t="shared" si="26"/>
        <v>0</v>
      </c>
      <c r="T90" s="100">
        <f t="shared" si="26"/>
        <v>0</v>
      </c>
      <c r="U90" s="100">
        <f t="shared" si="26"/>
        <v>0</v>
      </c>
      <c r="V90" s="100">
        <f t="shared" si="26"/>
        <v>0</v>
      </c>
      <c r="W90" s="100">
        <f t="shared" si="26"/>
        <v>0</v>
      </c>
      <c r="X90" s="100">
        <f t="shared" si="26"/>
        <v>0</v>
      </c>
      <c r="Y90" s="100">
        <f t="shared" si="26"/>
        <v>0</v>
      </c>
      <c r="AA90" s="355">
        <f t="shared" si="8"/>
        <v>18926.706143676805</v>
      </c>
      <c r="AB90" s="356">
        <f t="shared" si="20"/>
        <v>18926.706143676805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f>Y99</f>
        <v>10447.46472879662</v>
      </c>
      <c r="AA91" s="355">
        <f t="shared" si="8"/>
        <v>10447.46472879662</v>
      </c>
      <c r="AB91" s="356">
        <f t="shared" si="20"/>
        <v>10447.46472879662</v>
      </c>
    </row>
    <row r="92" spans="1:30" s="128" customFormat="1">
      <c r="A92" s="128" t="s">
        <v>44</v>
      </c>
      <c r="E92" s="173">
        <v>-49183.199669389891</v>
      </c>
      <c r="F92" s="129">
        <f>SUM(F88:F91)</f>
        <v>8130.6047868367732</v>
      </c>
      <c r="G92" s="129">
        <f t="shared" ref="G92:Y92" si="27">SUM(G88:G91)</f>
        <v>10340.808116354652</v>
      </c>
      <c r="H92" s="129">
        <f t="shared" si="27"/>
        <v>8039.1487525304137</v>
      </c>
      <c r="I92" s="129">
        <f t="shared" si="27"/>
        <v>6598.298018758971</v>
      </c>
      <c r="J92" s="129">
        <f t="shared" si="27"/>
        <v>6661.8915039575932</v>
      </c>
      <c r="K92" s="129">
        <f t="shared" si="27"/>
        <v>5578.8343753906047</v>
      </c>
      <c r="L92" s="129">
        <f t="shared" si="27"/>
        <v>4496.5022446984967</v>
      </c>
      <c r="M92" s="129">
        <f t="shared" si="27"/>
        <v>4621.0545470222887</v>
      </c>
      <c r="N92" s="129">
        <f t="shared" si="27"/>
        <v>3206.1774655887257</v>
      </c>
      <c r="O92" s="129">
        <f t="shared" si="27"/>
        <v>2211.8921199388956</v>
      </c>
      <c r="P92" s="129">
        <f t="shared" si="27"/>
        <v>2222.9534558650871</v>
      </c>
      <c r="Q92" s="129">
        <f t="shared" si="27"/>
        <v>2234.4421505274331</v>
      </c>
      <c r="R92" s="129">
        <f t="shared" si="27"/>
        <v>2246.3535233775997</v>
      </c>
      <c r="S92" s="129">
        <f t="shared" si="27"/>
        <v>2258.9583778199653</v>
      </c>
      <c r="T92" s="129">
        <f t="shared" si="27"/>
        <v>2271.8109201101597</v>
      </c>
      <c r="U92" s="129">
        <f t="shared" si="27"/>
        <v>2284.2999125727556</v>
      </c>
      <c r="V92" s="129">
        <f t="shared" si="27"/>
        <v>2296.9163284463311</v>
      </c>
      <c r="W92" s="129">
        <f t="shared" si="27"/>
        <v>1663.5909597413615</v>
      </c>
      <c r="X92" s="129">
        <f t="shared" si="27"/>
        <v>760.97794943487065</v>
      </c>
      <c r="Y92" s="129">
        <f t="shared" si="27"/>
        <v>11194.458456905579</v>
      </c>
      <c r="AA92" s="355">
        <f t="shared" si="8"/>
        <v>89319.973965878555</v>
      </c>
      <c r="AB92" s="356">
        <f t="shared" si="20"/>
        <v>89319.973965878555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0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0"/>
        <v>0</v>
      </c>
    </row>
    <row r="95" spans="1:30" s="128" customFormat="1" ht="13.5" thickBot="1">
      <c r="A95" s="128" t="s">
        <v>46</v>
      </c>
      <c r="E95" s="174">
        <f>NPV(C96,E92:Y92)</f>
        <v>2.0651370521908231E-11</v>
      </c>
      <c r="R95" s="133"/>
      <c r="U95" s="134" t="s">
        <v>47</v>
      </c>
      <c r="V95" s="135"/>
      <c r="W95" s="135"/>
      <c r="X95" s="135"/>
      <c r="Y95" s="136">
        <f>Y39</f>
        <v>1305.9330910995775</v>
      </c>
      <c r="AA95" s="355">
        <f t="shared" si="8"/>
        <v>1305.9330910995775</v>
      </c>
      <c r="AB95" s="356">
        <f t="shared" si="20"/>
        <v>1305.9330910995775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0"/>
        <v>1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1305.9330910995775</v>
      </c>
      <c r="AA97" s="355">
        <f t="shared" si="8"/>
        <v>1305.9330910995775</v>
      </c>
      <c r="AB97" s="356">
        <f t="shared" si="20"/>
        <v>1305.9330910995775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0"/>
        <v>8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10447.46472879662</v>
      </c>
      <c r="AA99" s="355">
        <f t="shared" si="8"/>
        <v>10447.46472879662</v>
      </c>
      <c r="AB99" s="356">
        <f t="shared" si="20"/>
        <v>10447.46472879662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0"/>
        <v>0</v>
      </c>
    </row>
    <row r="101" spans="1:28" s="128" customFormat="1">
      <c r="A101" s="128" t="s">
        <v>53</v>
      </c>
      <c r="D101" s="177">
        <v>0</v>
      </c>
      <c r="AA101" s="355">
        <f t="shared" si="8"/>
        <v>0</v>
      </c>
      <c r="AB101" s="356">
        <f t="shared" si="20"/>
        <v>0</v>
      </c>
    </row>
    <row r="102" spans="1:28" s="128" customFormat="1" ht="15">
      <c r="A102" s="128" t="s">
        <v>54</v>
      </c>
      <c r="D102" s="101">
        <f>-E92</f>
        <v>49183.199669389891</v>
      </c>
      <c r="AA102" s="355">
        <f t="shared" si="8"/>
        <v>0</v>
      </c>
      <c r="AB102" s="356">
        <f t="shared" si="20"/>
        <v>0</v>
      </c>
    </row>
    <row r="103" spans="1:28" s="128" customFormat="1">
      <c r="D103" s="142">
        <f>D101+D102</f>
        <v>49183.199669389891</v>
      </c>
      <c r="AA103" s="355">
        <f t="shared" si="8"/>
        <v>0</v>
      </c>
      <c r="AB103" s="356">
        <f t="shared" si="20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28" customFormat="1">
      <c r="A105" s="128" t="s">
        <v>56</v>
      </c>
      <c r="D105" s="142">
        <f>D103*D104</f>
        <v>44264.879702450904</v>
      </c>
      <c r="AA105" s="355">
        <f t="shared" si="28"/>
        <v>0</v>
      </c>
      <c r="AB105" s="356">
        <f t="shared" si="20"/>
        <v>0</v>
      </c>
    </row>
    <row r="106" spans="1:28" s="128" customFormat="1">
      <c r="AA106" s="355">
        <f t="shared" si="28"/>
        <v>0</v>
      </c>
      <c r="AB106" s="356">
        <f t="shared" si="20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29">G107+1</f>
        <v>2003</v>
      </c>
      <c r="I107" s="99">
        <f t="shared" si="29"/>
        <v>2004</v>
      </c>
      <c r="J107" s="99">
        <f t="shared" si="29"/>
        <v>2005</v>
      </c>
      <c r="K107" s="99">
        <f t="shared" si="29"/>
        <v>2006</v>
      </c>
      <c r="L107" s="99">
        <f t="shared" si="29"/>
        <v>2007</v>
      </c>
      <c r="M107" s="99">
        <f t="shared" si="29"/>
        <v>2008</v>
      </c>
      <c r="N107" s="99">
        <f t="shared" si="29"/>
        <v>2009</v>
      </c>
      <c r="O107" s="99">
        <f t="shared" si="29"/>
        <v>2010</v>
      </c>
      <c r="P107" s="99">
        <f t="shared" si="29"/>
        <v>2011</v>
      </c>
      <c r="Q107" s="99">
        <f t="shared" si="29"/>
        <v>2012</v>
      </c>
      <c r="R107" s="99">
        <f t="shared" si="29"/>
        <v>2013</v>
      </c>
      <c r="S107" s="99">
        <f t="shared" si="29"/>
        <v>2014</v>
      </c>
      <c r="T107" s="99">
        <f t="shared" si="29"/>
        <v>2015</v>
      </c>
      <c r="U107" s="99">
        <f t="shared" si="29"/>
        <v>2016</v>
      </c>
      <c r="V107" s="99">
        <f t="shared" si="29"/>
        <v>2017</v>
      </c>
      <c r="W107" s="99">
        <f t="shared" si="29"/>
        <v>2018</v>
      </c>
      <c r="X107" s="99">
        <f t="shared" si="29"/>
        <v>2019</v>
      </c>
      <c r="Y107" s="99">
        <f t="shared" si="29"/>
        <v>2020</v>
      </c>
      <c r="AA107" s="355">
        <f t="shared" si="28"/>
        <v>40210</v>
      </c>
      <c r="AB107" s="356">
        <f t="shared" si="20"/>
        <v>40210</v>
      </c>
    </row>
    <row r="108" spans="1:28" s="128" customFormat="1">
      <c r="A108" s="103" t="s">
        <v>57</v>
      </c>
      <c r="AA108" s="355">
        <f t="shared" si="28"/>
        <v>0</v>
      </c>
      <c r="AB108" s="356">
        <f t="shared" si="20"/>
        <v>0</v>
      </c>
    </row>
    <row r="109" spans="1:28" s="128" customFormat="1">
      <c r="A109" s="128" t="s">
        <v>58</v>
      </c>
      <c r="B109" s="179">
        <v>30</v>
      </c>
      <c r="C109" s="128" t="s">
        <v>0</v>
      </c>
      <c r="D109" s="143">
        <f>D105</f>
        <v>44264.879702450904</v>
      </c>
      <c r="F109" s="132">
        <f>ROUND(D109/$B$109,0)</f>
        <v>1475</v>
      </c>
      <c r="G109" s="132">
        <f>F109</f>
        <v>1475</v>
      </c>
      <c r="H109" s="132">
        <f t="shared" ref="H109:Y110" si="30">G109</f>
        <v>1475</v>
      </c>
      <c r="I109" s="132">
        <f t="shared" si="30"/>
        <v>1475</v>
      </c>
      <c r="J109" s="132">
        <f t="shared" si="30"/>
        <v>1475</v>
      </c>
      <c r="K109" s="132">
        <f t="shared" si="30"/>
        <v>1475</v>
      </c>
      <c r="L109" s="132">
        <f t="shared" si="30"/>
        <v>1475</v>
      </c>
      <c r="M109" s="132">
        <f t="shared" si="30"/>
        <v>1475</v>
      </c>
      <c r="N109" s="132">
        <f t="shared" si="30"/>
        <v>1475</v>
      </c>
      <c r="O109" s="132">
        <f t="shared" si="30"/>
        <v>1475</v>
      </c>
      <c r="P109" s="132">
        <f t="shared" si="30"/>
        <v>1475</v>
      </c>
      <c r="Q109" s="132">
        <f t="shared" si="30"/>
        <v>1475</v>
      </c>
      <c r="R109" s="132">
        <f t="shared" si="30"/>
        <v>1475</v>
      </c>
      <c r="S109" s="132">
        <f t="shared" si="30"/>
        <v>1475</v>
      </c>
      <c r="T109" s="132">
        <f t="shared" si="30"/>
        <v>1475</v>
      </c>
      <c r="U109" s="132">
        <f t="shared" si="30"/>
        <v>1475</v>
      </c>
      <c r="V109" s="132">
        <f t="shared" si="30"/>
        <v>1475</v>
      </c>
      <c r="W109" s="132">
        <f t="shared" si="30"/>
        <v>1475</v>
      </c>
      <c r="X109" s="132">
        <f t="shared" si="30"/>
        <v>1475</v>
      </c>
      <c r="Y109" s="132">
        <f t="shared" si="30"/>
        <v>1475</v>
      </c>
      <c r="AA109" s="355">
        <f t="shared" si="28"/>
        <v>29500</v>
      </c>
      <c r="AB109" s="356">
        <f t="shared" si="20"/>
        <v>29500</v>
      </c>
    </row>
    <row r="110" spans="1:28" s="128" customFormat="1">
      <c r="A110" s="128" t="s">
        <v>138</v>
      </c>
      <c r="D110" s="143">
        <f>D104*'FPLE_Wind Summary'!J9</f>
        <v>6230.5127951136583</v>
      </c>
      <c r="F110" s="132">
        <f>ROUND(D110/$B$109,0)</f>
        <v>208</v>
      </c>
      <c r="G110" s="132">
        <f>F110</f>
        <v>208</v>
      </c>
      <c r="H110" s="132">
        <f t="shared" si="30"/>
        <v>208</v>
      </c>
      <c r="I110" s="132">
        <f t="shared" si="30"/>
        <v>208</v>
      </c>
      <c r="J110" s="132">
        <f t="shared" si="30"/>
        <v>208</v>
      </c>
      <c r="K110" s="132">
        <f t="shared" si="30"/>
        <v>208</v>
      </c>
      <c r="L110" s="132">
        <f t="shared" si="30"/>
        <v>208</v>
      </c>
      <c r="M110" s="132">
        <f t="shared" si="30"/>
        <v>208</v>
      </c>
      <c r="N110" s="132">
        <f t="shared" si="30"/>
        <v>208</v>
      </c>
      <c r="O110" s="132">
        <f t="shared" si="30"/>
        <v>208</v>
      </c>
      <c r="P110" s="132">
        <f t="shared" si="30"/>
        <v>208</v>
      </c>
      <c r="Q110" s="132">
        <f t="shared" si="30"/>
        <v>208</v>
      </c>
      <c r="R110" s="132">
        <f t="shared" si="30"/>
        <v>208</v>
      </c>
      <c r="S110" s="132">
        <f t="shared" si="30"/>
        <v>208</v>
      </c>
      <c r="T110" s="132">
        <f t="shared" si="30"/>
        <v>208</v>
      </c>
      <c r="U110" s="132">
        <f t="shared" si="30"/>
        <v>208</v>
      </c>
      <c r="V110" s="132">
        <f t="shared" si="30"/>
        <v>208</v>
      </c>
      <c r="W110" s="132">
        <f t="shared" si="30"/>
        <v>208</v>
      </c>
      <c r="X110" s="132">
        <f t="shared" si="30"/>
        <v>208</v>
      </c>
      <c r="Y110" s="132">
        <f t="shared" si="30"/>
        <v>208</v>
      </c>
      <c r="AA110" s="355">
        <f t="shared" si="28"/>
        <v>4160</v>
      </c>
      <c r="AB110" s="356">
        <f t="shared" si="20"/>
        <v>4160</v>
      </c>
    </row>
    <row r="111" spans="1:28" s="128" customFormat="1">
      <c r="AA111" s="355">
        <f t="shared" si="28"/>
        <v>0</v>
      </c>
      <c r="AB111" s="356">
        <f t="shared" si="20"/>
        <v>0</v>
      </c>
    </row>
    <row r="112" spans="1:28" s="128" customFormat="1">
      <c r="A112" s="103" t="s">
        <v>59</v>
      </c>
      <c r="AA112" s="355">
        <f t="shared" si="28"/>
        <v>0</v>
      </c>
      <c r="AB112" s="356">
        <f t="shared" si="20"/>
        <v>0</v>
      </c>
    </row>
    <row r="113" spans="1:28" s="128" customFormat="1">
      <c r="A113" s="104" t="s">
        <v>60</v>
      </c>
      <c r="D113" s="143">
        <f>D109</f>
        <v>44264.879702450904</v>
      </c>
      <c r="AA113" s="355">
        <f t="shared" si="28"/>
        <v>0</v>
      </c>
      <c r="AB113" s="356">
        <f t="shared" si="20"/>
        <v>0</v>
      </c>
    </row>
    <row r="114" spans="1:28" s="128" customFormat="1">
      <c r="A114" s="128" t="s">
        <v>61</v>
      </c>
      <c r="E114" s="144"/>
      <c r="F114" s="180">
        <v>0.2</v>
      </c>
      <c r="G114" s="180">
        <v>0.32</v>
      </c>
      <c r="H114" s="180">
        <v>0.192</v>
      </c>
      <c r="I114" s="180">
        <v>0.1152</v>
      </c>
      <c r="J114" s="180">
        <v>0.1152</v>
      </c>
      <c r="K114" s="180">
        <v>5.7599999999999998E-2</v>
      </c>
      <c r="L114" s="180">
        <v>0</v>
      </c>
      <c r="M114" s="180">
        <v>0</v>
      </c>
      <c r="N114" s="180">
        <v>0</v>
      </c>
      <c r="O114" s="180">
        <v>0</v>
      </c>
      <c r="P114" s="180">
        <v>0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45"/>
      <c r="AA114" s="355">
        <f t="shared" si="28"/>
        <v>0.99999999999999989</v>
      </c>
      <c r="AB114" s="356">
        <f t="shared" si="20"/>
        <v>0.99999999999999989</v>
      </c>
    </row>
    <row r="115" spans="1:28" s="128" customFormat="1">
      <c r="A115" s="128" t="s">
        <v>59</v>
      </c>
      <c r="F115" s="132">
        <f t="shared" ref="F115:Y115" si="31">$D$113*F114</f>
        <v>8852.9759404901815</v>
      </c>
      <c r="G115" s="132">
        <f t="shared" si="31"/>
        <v>14164.76150478429</v>
      </c>
      <c r="H115" s="132">
        <f t="shared" si="31"/>
        <v>8498.8569028705733</v>
      </c>
      <c r="I115" s="132">
        <f t="shared" si="31"/>
        <v>5099.3141417223442</v>
      </c>
      <c r="J115" s="132">
        <f t="shared" si="31"/>
        <v>5099.3141417223442</v>
      </c>
      <c r="K115" s="132">
        <f t="shared" si="31"/>
        <v>2549.6570708611721</v>
      </c>
      <c r="L115" s="132">
        <f t="shared" si="31"/>
        <v>0</v>
      </c>
      <c r="M115" s="132">
        <f t="shared" si="31"/>
        <v>0</v>
      </c>
      <c r="N115" s="132">
        <f t="shared" si="31"/>
        <v>0</v>
      </c>
      <c r="O115" s="132">
        <f t="shared" si="31"/>
        <v>0</v>
      </c>
      <c r="P115" s="132">
        <f t="shared" si="31"/>
        <v>0</v>
      </c>
      <c r="Q115" s="132">
        <f t="shared" si="31"/>
        <v>0</v>
      </c>
      <c r="R115" s="132">
        <f t="shared" si="31"/>
        <v>0</v>
      </c>
      <c r="S115" s="132">
        <f t="shared" si="31"/>
        <v>0</v>
      </c>
      <c r="T115" s="132">
        <f t="shared" si="31"/>
        <v>0</v>
      </c>
      <c r="U115" s="132">
        <f t="shared" si="31"/>
        <v>0</v>
      </c>
      <c r="V115" s="132">
        <f t="shared" si="31"/>
        <v>0</v>
      </c>
      <c r="W115" s="132">
        <f t="shared" si="31"/>
        <v>0</v>
      </c>
      <c r="X115" s="132">
        <f t="shared" si="31"/>
        <v>0</v>
      </c>
      <c r="Y115" s="132">
        <f t="shared" si="31"/>
        <v>0</v>
      </c>
      <c r="AA115" s="355">
        <f t="shared" si="28"/>
        <v>44264.879702450904</v>
      </c>
      <c r="AB115" s="356">
        <f t="shared" si="20"/>
        <v>44264.879702450904</v>
      </c>
    </row>
    <row r="116" spans="1:28" s="128" customFormat="1">
      <c r="A116" s="128" t="s">
        <v>138</v>
      </c>
      <c r="D116" s="143">
        <f>D110</f>
        <v>6230.5127951136583</v>
      </c>
      <c r="F116" s="132">
        <f>$D$116*F114</f>
        <v>1246.1025590227318</v>
      </c>
      <c r="G116" s="132">
        <f t="shared" ref="G116:Y116" si="32">$D$116*G114</f>
        <v>1993.7640944363707</v>
      </c>
      <c r="H116" s="132">
        <f t="shared" si="32"/>
        <v>1196.2584566618225</v>
      </c>
      <c r="I116" s="132">
        <f t="shared" si="32"/>
        <v>717.7550739970934</v>
      </c>
      <c r="J116" s="132">
        <f t="shared" si="32"/>
        <v>717.7550739970934</v>
      </c>
      <c r="K116" s="132">
        <f t="shared" si="32"/>
        <v>358.8775369985467</v>
      </c>
      <c r="L116" s="132">
        <f t="shared" si="32"/>
        <v>0</v>
      </c>
      <c r="M116" s="132">
        <f t="shared" si="32"/>
        <v>0</v>
      </c>
      <c r="N116" s="132">
        <f t="shared" si="32"/>
        <v>0</v>
      </c>
      <c r="O116" s="132">
        <f t="shared" si="32"/>
        <v>0</v>
      </c>
      <c r="P116" s="132">
        <f t="shared" si="32"/>
        <v>0</v>
      </c>
      <c r="Q116" s="132">
        <f t="shared" si="32"/>
        <v>0</v>
      </c>
      <c r="R116" s="132">
        <f t="shared" si="32"/>
        <v>0</v>
      </c>
      <c r="S116" s="132">
        <f t="shared" si="32"/>
        <v>0</v>
      </c>
      <c r="T116" s="132">
        <f t="shared" si="32"/>
        <v>0</v>
      </c>
      <c r="U116" s="132">
        <f t="shared" si="32"/>
        <v>0</v>
      </c>
      <c r="V116" s="132">
        <f t="shared" si="32"/>
        <v>0</v>
      </c>
      <c r="W116" s="132">
        <f t="shared" si="32"/>
        <v>0</v>
      </c>
      <c r="X116" s="132">
        <f t="shared" si="32"/>
        <v>0</v>
      </c>
      <c r="Y116" s="132">
        <f t="shared" si="32"/>
        <v>0</v>
      </c>
      <c r="AA116" s="355">
        <f t="shared" si="28"/>
        <v>6230.5127951136601</v>
      </c>
      <c r="AB116" s="356">
        <f t="shared" si="20"/>
        <v>6230.5127951136601</v>
      </c>
    </row>
    <row r="117" spans="1:28" s="128" customFormat="1">
      <c r="AA117" s="355">
        <f t="shared" si="28"/>
        <v>0</v>
      </c>
      <c r="AB117" s="356">
        <f t="shared" si="20"/>
        <v>0</v>
      </c>
    </row>
    <row r="118" spans="1:28" s="128" customFormat="1">
      <c r="AA118" s="355">
        <f t="shared" si="28"/>
        <v>0</v>
      </c>
      <c r="AB118" s="356">
        <f t="shared" si="20"/>
        <v>0</v>
      </c>
    </row>
    <row r="119" spans="1:28" s="128" customFormat="1" ht="13.5" thickBot="1">
      <c r="F119" s="99">
        <f>F107</f>
        <v>2001</v>
      </c>
      <c r="G119" s="99">
        <f t="shared" ref="G119:Y119" si="33">G107</f>
        <v>2002</v>
      </c>
      <c r="H119" s="99">
        <f t="shared" si="33"/>
        <v>2003</v>
      </c>
      <c r="I119" s="99">
        <f t="shared" si="33"/>
        <v>2004</v>
      </c>
      <c r="J119" s="99">
        <f t="shared" si="33"/>
        <v>2005</v>
      </c>
      <c r="K119" s="99">
        <f t="shared" si="33"/>
        <v>2006</v>
      </c>
      <c r="L119" s="99">
        <f t="shared" si="33"/>
        <v>2007</v>
      </c>
      <c r="M119" s="99">
        <f t="shared" si="33"/>
        <v>2008</v>
      </c>
      <c r="N119" s="99">
        <f t="shared" si="33"/>
        <v>2009</v>
      </c>
      <c r="O119" s="99">
        <f t="shared" si="33"/>
        <v>2010</v>
      </c>
      <c r="P119" s="99">
        <f t="shared" si="33"/>
        <v>2011</v>
      </c>
      <c r="Q119" s="99">
        <f t="shared" si="33"/>
        <v>2012</v>
      </c>
      <c r="R119" s="99">
        <f t="shared" si="33"/>
        <v>2013</v>
      </c>
      <c r="S119" s="99">
        <f t="shared" si="33"/>
        <v>2014</v>
      </c>
      <c r="T119" s="99">
        <f t="shared" si="33"/>
        <v>2015</v>
      </c>
      <c r="U119" s="99">
        <f t="shared" si="33"/>
        <v>2016</v>
      </c>
      <c r="V119" s="99">
        <f t="shared" si="33"/>
        <v>2017</v>
      </c>
      <c r="W119" s="99">
        <f t="shared" si="33"/>
        <v>2018</v>
      </c>
      <c r="X119" s="99">
        <f t="shared" si="33"/>
        <v>2019</v>
      </c>
      <c r="Y119" s="99">
        <f t="shared" si="33"/>
        <v>2020</v>
      </c>
      <c r="AA119" s="355">
        <f t="shared" si="28"/>
        <v>40210</v>
      </c>
      <c r="AB119" s="356">
        <f t="shared" si="20"/>
        <v>40210</v>
      </c>
    </row>
    <row r="120" spans="1:28" s="128" customFormat="1">
      <c r="A120" s="98" t="s">
        <v>62</v>
      </c>
      <c r="AA120" s="355">
        <f t="shared" si="28"/>
        <v>0</v>
      </c>
      <c r="AB120" s="356">
        <f t="shared" si="20"/>
        <v>0</v>
      </c>
    </row>
    <row r="121" spans="1:28" s="128" customFormat="1">
      <c r="A121" s="146" t="str">
        <f>A64</f>
        <v>EBITDA</v>
      </c>
      <c r="F121" s="132">
        <f>F39</f>
        <v>3951.4790000000003</v>
      </c>
      <c r="G121" s="132">
        <f t="shared" ref="G121:Y121" si="34">G39</f>
        <v>3840.9179999999997</v>
      </c>
      <c r="H121" s="132">
        <f t="shared" si="34"/>
        <v>3854.4160000000002</v>
      </c>
      <c r="I121" s="132">
        <f t="shared" si="34"/>
        <v>3879.16</v>
      </c>
      <c r="J121" s="132">
        <f>J39</f>
        <v>3788.1924045520791</v>
      </c>
      <c r="K121" s="132">
        <f t="shared" si="34"/>
        <v>3802.5212467926272</v>
      </c>
      <c r="L121" s="132">
        <f t="shared" si="34"/>
        <v>3818.1175678354139</v>
      </c>
      <c r="M121" s="132">
        <f t="shared" si="34"/>
        <v>3833.7213309979297</v>
      </c>
      <c r="N121" s="132">
        <f t="shared" si="34"/>
        <v>3849.0359092847621</v>
      </c>
      <c r="O121" s="132">
        <f t="shared" si="34"/>
        <v>3866.9442656274396</v>
      </c>
      <c r="P121" s="132">
        <f t="shared" si="34"/>
        <v>3886.2822654984043</v>
      </c>
      <c r="Q121" s="132">
        <f t="shared" si="34"/>
        <v>3906.3673960269812</v>
      </c>
      <c r="R121" s="132">
        <f t="shared" si="34"/>
        <v>3927.191474436363</v>
      </c>
      <c r="S121" s="132">
        <f t="shared" si="34"/>
        <v>3949.2279332516873</v>
      </c>
      <c r="T121" s="132">
        <f t="shared" si="34"/>
        <v>3971.6974127799995</v>
      </c>
      <c r="U121" s="132">
        <f t="shared" si="34"/>
        <v>3993.5313156866359</v>
      </c>
      <c r="V121" s="132">
        <f t="shared" si="34"/>
        <v>4015.5879867942854</v>
      </c>
      <c r="W121" s="132">
        <f t="shared" si="34"/>
        <v>2908.3758037436392</v>
      </c>
      <c r="X121" s="132">
        <f t="shared" si="34"/>
        <v>1330.3810304805429</v>
      </c>
      <c r="Y121" s="132">
        <f t="shared" si="34"/>
        <v>1305.9330910995775</v>
      </c>
      <c r="AA121" s="355">
        <f t="shared" si="28"/>
        <v>71679.081434888358</v>
      </c>
      <c r="AB121" s="356">
        <f t="shared" si="20"/>
        <v>71679.081434888358</v>
      </c>
    </row>
    <row r="122" spans="1:28" s="128" customFormat="1">
      <c r="A122" s="128" t="s">
        <v>63</v>
      </c>
      <c r="F122" s="132">
        <f>-F115</f>
        <v>-8852.9759404901815</v>
      </c>
      <c r="G122" s="132">
        <f t="shared" ref="G122:Y122" si="35">-G115</f>
        <v>-14164.76150478429</v>
      </c>
      <c r="H122" s="132">
        <f t="shared" si="35"/>
        <v>-8498.8569028705733</v>
      </c>
      <c r="I122" s="132">
        <f t="shared" si="35"/>
        <v>-5099.3141417223442</v>
      </c>
      <c r="J122" s="132">
        <f t="shared" si="35"/>
        <v>-5099.3141417223442</v>
      </c>
      <c r="K122" s="132">
        <f t="shared" si="35"/>
        <v>-2549.6570708611721</v>
      </c>
      <c r="L122" s="132">
        <f t="shared" si="35"/>
        <v>0</v>
      </c>
      <c r="M122" s="132">
        <f t="shared" si="35"/>
        <v>0</v>
      </c>
      <c r="N122" s="132">
        <f t="shared" si="35"/>
        <v>0</v>
      </c>
      <c r="O122" s="132">
        <f t="shared" si="35"/>
        <v>0</v>
      </c>
      <c r="P122" s="132">
        <f t="shared" si="35"/>
        <v>0</v>
      </c>
      <c r="Q122" s="132">
        <f t="shared" si="35"/>
        <v>0</v>
      </c>
      <c r="R122" s="132">
        <f t="shared" si="35"/>
        <v>0</v>
      </c>
      <c r="S122" s="132">
        <f t="shared" si="35"/>
        <v>0</v>
      </c>
      <c r="T122" s="132">
        <f t="shared" si="35"/>
        <v>0</v>
      </c>
      <c r="U122" s="132">
        <f t="shared" si="35"/>
        <v>0</v>
      </c>
      <c r="V122" s="132">
        <f t="shared" si="35"/>
        <v>0</v>
      </c>
      <c r="W122" s="132">
        <f t="shared" si="35"/>
        <v>0</v>
      </c>
      <c r="X122" s="132">
        <f t="shared" si="35"/>
        <v>0</v>
      </c>
      <c r="Y122" s="132">
        <f t="shared" si="35"/>
        <v>0</v>
      </c>
      <c r="AA122" s="355">
        <f t="shared" si="28"/>
        <v>-44264.879702450904</v>
      </c>
      <c r="AB122" s="356">
        <f t="shared" si="20"/>
        <v>-44264.879702450904</v>
      </c>
    </row>
    <row r="123" spans="1:28" s="128" customFormat="1">
      <c r="A123" s="128" t="s">
        <v>64</v>
      </c>
      <c r="F123" s="147">
        <f>-F46</f>
        <v>0</v>
      </c>
      <c r="G123" s="147">
        <f t="shared" ref="G123:Y123" si="36">-G46</f>
        <v>0</v>
      </c>
      <c r="H123" s="147">
        <f t="shared" si="36"/>
        <v>0</v>
      </c>
      <c r="I123" s="147">
        <f t="shared" si="36"/>
        <v>0</v>
      </c>
      <c r="J123" s="147">
        <f t="shared" si="36"/>
        <v>0</v>
      </c>
      <c r="K123" s="147">
        <f t="shared" si="36"/>
        <v>0</v>
      </c>
      <c r="L123" s="147">
        <f t="shared" si="36"/>
        <v>0</v>
      </c>
      <c r="M123" s="147">
        <f t="shared" si="36"/>
        <v>0</v>
      </c>
      <c r="N123" s="147">
        <f t="shared" si="36"/>
        <v>0</v>
      </c>
      <c r="O123" s="147">
        <f t="shared" si="36"/>
        <v>0</v>
      </c>
      <c r="P123" s="147">
        <f t="shared" si="36"/>
        <v>0</v>
      </c>
      <c r="Q123" s="147">
        <f t="shared" si="36"/>
        <v>0</v>
      </c>
      <c r="R123" s="147">
        <f t="shared" si="36"/>
        <v>0</v>
      </c>
      <c r="S123" s="147">
        <f t="shared" si="36"/>
        <v>0</v>
      </c>
      <c r="T123" s="147">
        <f t="shared" si="36"/>
        <v>0</v>
      </c>
      <c r="U123" s="147">
        <f t="shared" si="36"/>
        <v>0</v>
      </c>
      <c r="V123" s="147">
        <f t="shared" si="36"/>
        <v>0</v>
      </c>
      <c r="W123" s="147">
        <f t="shared" si="36"/>
        <v>0</v>
      </c>
      <c r="X123" s="147">
        <f t="shared" si="36"/>
        <v>0</v>
      </c>
      <c r="Y123" s="147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28" customFormat="1">
      <c r="A124" s="128" t="s">
        <v>65</v>
      </c>
      <c r="F124" s="132">
        <f>SUM(F121:F123)</f>
        <v>-4901.4969404901813</v>
      </c>
      <c r="G124" s="132">
        <f t="shared" ref="G124:Y124" si="37">SUM(G121:G123)</f>
        <v>-10323.84350478429</v>
      </c>
      <c r="H124" s="132">
        <f t="shared" si="37"/>
        <v>-4644.4409028705732</v>
      </c>
      <c r="I124" s="132">
        <f t="shared" si="37"/>
        <v>-1220.1541417223443</v>
      </c>
      <c r="J124" s="132">
        <f t="shared" si="37"/>
        <v>-1311.1217371702651</v>
      </c>
      <c r="K124" s="132">
        <f t="shared" si="37"/>
        <v>1252.8641759314551</v>
      </c>
      <c r="L124" s="132">
        <f t="shared" si="37"/>
        <v>3818.1175678354139</v>
      </c>
      <c r="M124" s="132">
        <f t="shared" si="37"/>
        <v>3833.7213309979297</v>
      </c>
      <c r="N124" s="132">
        <f t="shared" si="37"/>
        <v>3849.0359092847621</v>
      </c>
      <c r="O124" s="132">
        <f t="shared" si="37"/>
        <v>3866.9442656274396</v>
      </c>
      <c r="P124" s="132">
        <f t="shared" si="37"/>
        <v>3886.2822654984043</v>
      </c>
      <c r="Q124" s="132">
        <f t="shared" si="37"/>
        <v>3906.3673960269812</v>
      </c>
      <c r="R124" s="132">
        <f t="shared" si="37"/>
        <v>3927.191474436363</v>
      </c>
      <c r="S124" s="132">
        <f t="shared" si="37"/>
        <v>3949.2279332516873</v>
      </c>
      <c r="T124" s="132">
        <f t="shared" si="37"/>
        <v>3971.6974127799995</v>
      </c>
      <c r="U124" s="132">
        <f t="shared" si="37"/>
        <v>3993.5313156866359</v>
      </c>
      <c r="V124" s="132">
        <f t="shared" si="37"/>
        <v>4015.5879867942854</v>
      </c>
      <c r="W124" s="132">
        <f t="shared" si="37"/>
        <v>2908.3758037436392</v>
      </c>
      <c r="X124" s="132">
        <f t="shared" si="37"/>
        <v>1330.3810304805429</v>
      </c>
      <c r="Y124" s="132">
        <f t="shared" si="37"/>
        <v>1305.9330910995775</v>
      </c>
      <c r="AA124" s="355">
        <f t="shared" si="28"/>
        <v>27414.201732437454</v>
      </c>
      <c r="AB124" s="356">
        <f t="shared" si="20"/>
        <v>27414.201732437454</v>
      </c>
    </row>
    <row r="125" spans="1:28" s="128" customFormat="1">
      <c r="AA125" s="355">
        <f t="shared" si="28"/>
        <v>0</v>
      </c>
      <c r="AB125" s="356">
        <f t="shared" si="20"/>
        <v>0</v>
      </c>
    </row>
    <row r="126" spans="1:28" s="128" customFormat="1">
      <c r="A126" s="128" t="s">
        <v>77</v>
      </c>
      <c r="C126" s="148">
        <f>C51</f>
        <v>0.12</v>
      </c>
      <c r="F126" s="132">
        <f>-F124*$C$126</f>
        <v>588.17963285882172</v>
      </c>
      <c r="G126" s="132">
        <f t="shared" ref="G126:Y126" si="38">-G124*$C$126</f>
        <v>1238.8612205741149</v>
      </c>
      <c r="H126" s="132">
        <f t="shared" si="38"/>
        <v>557.33290834446871</v>
      </c>
      <c r="I126" s="132">
        <f t="shared" si="38"/>
        <v>146.41849700668132</v>
      </c>
      <c r="J126" s="132">
        <f t="shared" si="38"/>
        <v>157.33460846043181</v>
      </c>
      <c r="K126" s="132">
        <f t="shared" si="38"/>
        <v>-150.34370111177461</v>
      </c>
      <c r="L126" s="132">
        <f t="shared" si="38"/>
        <v>-458.17410814024964</v>
      </c>
      <c r="M126" s="132">
        <f t="shared" si="38"/>
        <v>-460.04655971975154</v>
      </c>
      <c r="N126" s="132">
        <f t="shared" si="38"/>
        <v>-461.8843091141714</v>
      </c>
      <c r="O126" s="132">
        <f t="shared" si="38"/>
        <v>-464.03331187529272</v>
      </c>
      <c r="P126" s="132">
        <f t="shared" si="38"/>
        <v>-466.35387185980852</v>
      </c>
      <c r="Q126" s="132">
        <f t="shared" si="38"/>
        <v>-468.76408752323772</v>
      </c>
      <c r="R126" s="132">
        <f t="shared" si="38"/>
        <v>-471.26297693236353</v>
      </c>
      <c r="S126" s="132">
        <f t="shared" si="38"/>
        <v>-473.90735199020247</v>
      </c>
      <c r="T126" s="132">
        <f t="shared" si="38"/>
        <v>-476.60368953359989</v>
      </c>
      <c r="U126" s="132">
        <f t="shared" si="38"/>
        <v>-479.22375788239628</v>
      </c>
      <c r="V126" s="132">
        <f t="shared" si="38"/>
        <v>-481.87055841531424</v>
      </c>
      <c r="W126" s="132">
        <f t="shared" si="38"/>
        <v>-349.0050964492367</v>
      </c>
      <c r="X126" s="132">
        <f t="shared" si="38"/>
        <v>-159.64572365766514</v>
      </c>
      <c r="Y126" s="132">
        <f t="shared" si="38"/>
        <v>-156.71197093194928</v>
      </c>
      <c r="AA126" s="355">
        <f t="shared" si="28"/>
        <v>-3289.7042078924951</v>
      </c>
      <c r="AB126" s="356">
        <f t="shared" si="20"/>
        <v>-3289.7042078924951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1509.6610576709759</v>
      </c>
      <c r="G127" s="132">
        <f t="shared" ref="G127:Y127" si="39">-(G124+G126)*$C$127</f>
        <v>3179.743799473561</v>
      </c>
      <c r="H127" s="132">
        <f t="shared" si="39"/>
        <v>1430.4877980841366</v>
      </c>
      <c r="I127" s="132">
        <f t="shared" si="39"/>
        <v>375.80747565048205</v>
      </c>
      <c r="J127" s="132">
        <f t="shared" si="39"/>
        <v>403.82549504844161</v>
      </c>
      <c r="K127" s="132">
        <f t="shared" si="39"/>
        <v>-385.88216618688813</v>
      </c>
      <c r="L127" s="132">
        <f t="shared" si="39"/>
        <v>-1175.9802108933075</v>
      </c>
      <c r="M127" s="132">
        <f t="shared" si="39"/>
        <v>-1180.7861699473622</v>
      </c>
      <c r="N127" s="132">
        <f t="shared" si="39"/>
        <v>-1185.5030600597065</v>
      </c>
      <c r="O127" s="132">
        <f t="shared" si="39"/>
        <v>-1191.0188338132514</v>
      </c>
      <c r="P127" s="132">
        <f t="shared" si="39"/>
        <v>-1196.9749377735086</v>
      </c>
      <c r="Q127" s="132">
        <f t="shared" si="39"/>
        <v>-1203.1611579763101</v>
      </c>
      <c r="R127" s="132">
        <f t="shared" si="39"/>
        <v>-1209.5749741263999</v>
      </c>
      <c r="S127" s="132">
        <f t="shared" si="39"/>
        <v>-1216.3622034415196</v>
      </c>
      <c r="T127" s="132">
        <f t="shared" si="39"/>
        <v>-1223.2828031362396</v>
      </c>
      <c r="U127" s="132">
        <f t="shared" si="39"/>
        <v>-1230.0076452314838</v>
      </c>
      <c r="V127" s="132">
        <f t="shared" si="39"/>
        <v>-1236.8010999326398</v>
      </c>
      <c r="W127" s="132">
        <f t="shared" si="39"/>
        <v>-895.77974755304081</v>
      </c>
      <c r="X127" s="132">
        <f t="shared" si="39"/>
        <v>-409.75735738800716</v>
      </c>
      <c r="Y127" s="132">
        <f t="shared" si="39"/>
        <v>-402.22739205866986</v>
      </c>
      <c r="AA127" s="355">
        <f t="shared" si="28"/>
        <v>-8443.5741335907387</v>
      </c>
      <c r="AB127" s="356">
        <f t="shared" si="20"/>
        <v>-8443.5741335907387</v>
      </c>
    </row>
    <row r="128" spans="1:28" s="128" customFormat="1">
      <c r="C128" s="421"/>
      <c r="F128" s="146"/>
      <c r="AA128" s="355">
        <f t="shared" si="28"/>
        <v>0</v>
      </c>
      <c r="AB128" s="356">
        <f t="shared" si="20"/>
        <v>0</v>
      </c>
    </row>
    <row r="129" spans="1:28" s="128" customFormat="1">
      <c r="AA129" s="355">
        <f t="shared" si="28"/>
        <v>0</v>
      </c>
      <c r="AB129" s="356">
        <f t="shared" si="20"/>
        <v>0</v>
      </c>
    </row>
    <row r="130" spans="1:28" s="128" customFormat="1">
      <c r="AA130" s="355">
        <f t="shared" si="28"/>
        <v>0</v>
      </c>
      <c r="AB130" s="356">
        <f t="shared" si="20"/>
        <v>0</v>
      </c>
    </row>
    <row r="131" spans="1:28" s="128" customFormat="1">
      <c r="AA131" s="355">
        <f t="shared" si="28"/>
        <v>0</v>
      </c>
      <c r="AB131" s="356">
        <f t="shared" si="20"/>
        <v>0</v>
      </c>
    </row>
    <row r="132" spans="1:28" s="128" customFormat="1">
      <c r="AA132" s="355">
        <f t="shared" si="28"/>
        <v>0</v>
      </c>
      <c r="AB132" s="356">
        <f t="shared" si="20"/>
        <v>0</v>
      </c>
    </row>
    <row r="133" spans="1:28" s="128" customFormat="1">
      <c r="AA133" s="355">
        <f t="shared" si="28"/>
        <v>0</v>
      </c>
      <c r="AB133" s="356">
        <f t="shared" si="20"/>
        <v>0</v>
      </c>
    </row>
    <row r="134" spans="1:28" s="128" customFormat="1">
      <c r="AA134" s="355">
        <f t="shared" si="28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0">G119</f>
        <v>2002</v>
      </c>
      <c r="H135" s="99">
        <f t="shared" si="40"/>
        <v>2003</v>
      </c>
      <c r="I135" s="99">
        <f t="shared" si="40"/>
        <v>2004</v>
      </c>
      <c r="J135" s="99">
        <f t="shared" si="40"/>
        <v>2005</v>
      </c>
      <c r="K135" s="99">
        <f t="shared" si="40"/>
        <v>2006</v>
      </c>
      <c r="L135" s="99">
        <f t="shared" si="40"/>
        <v>2007</v>
      </c>
      <c r="M135" s="99">
        <f t="shared" si="40"/>
        <v>2008</v>
      </c>
      <c r="N135" s="99">
        <f t="shared" si="40"/>
        <v>2009</v>
      </c>
      <c r="O135" s="99">
        <f t="shared" si="40"/>
        <v>2010</v>
      </c>
      <c r="P135" s="99">
        <f t="shared" si="40"/>
        <v>2011</v>
      </c>
      <c r="Q135" s="99">
        <f t="shared" si="40"/>
        <v>2012</v>
      </c>
      <c r="R135" s="99">
        <f t="shared" si="40"/>
        <v>2013</v>
      </c>
      <c r="S135" s="99">
        <f t="shared" si="40"/>
        <v>2014</v>
      </c>
      <c r="T135" s="99">
        <f t="shared" si="40"/>
        <v>2015</v>
      </c>
      <c r="U135" s="99">
        <f t="shared" si="40"/>
        <v>2016</v>
      </c>
      <c r="V135" s="99">
        <f t="shared" si="40"/>
        <v>2017</v>
      </c>
      <c r="W135" s="99">
        <f t="shared" si="40"/>
        <v>2018</v>
      </c>
      <c r="X135" s="99">
        <f t="shared" si="40"/>
        <v>2019</v>
      </c>
      <c r="Y135" s="9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28" customFormat="1">
      <c r="AA136" s="355">
        <f t="shared" si="28"/>
        <v>0</v>
      </c>
      <c r="AB136" s="356">
        <f t="shared" si="41"/>
        <v>0</v>
      </c>
    </row>
    <row r="137" spans="1:28" s="128" customFormat="1">
      <c r="A137" s="128" t="s">
        <v>78</v>
      </c>
      <c r="F137" s="181">
        <f>F46</f>
        <v>0</v>
      </c>
      <c r="G137" s="181">
        <f t="shared" ref="G137:Y137" si="42">G46</f>
        <v>0</v>
      </c>
      <c r="H137" s="181">
        <f t="shared" si="42"/>
        <v>0</v>
      </c>
      <c r="I137" s="181">
        <f t="shared" si="42"/>
        <v>0</v>
      </c>
      <c r="J137" s="181">
        <f t="shared" si="42"/>
        <v>0</v>
      </c>
      <c r="K137" s="181">
        <f t="shared" si="42"/>
        <v>0</v>
      </c>
      <c r="L137" s="181">
        <f t="shared" si="42"/>
        <v>0</v>
      </c>
      <c r="M137" s="181">
        <f t="shared" si="42"/>
        <v>0</v>
      </c>
      <c r="N137" s="181">
        <f t="shared" si="42"/>
        <v>0</v>
      </c>
      <c r="O137" s="181">
        <f t="shared" si="42"/>
        <v>0</v>
      </c>
      <c r="P137" s="181">
        <f t="shared" si="42"/>
        <v>0</v>
      </c>
      <c r="Q137" s="181">
        <f t="shared" si="42"/>
        <v>0</v>
      </c>
      <c r="R137" s="181">
        <f t="shared" si="42"/>
        <v>0</v>
      </c>
      <c r="S137" s="181">
        <f t="shared" si="42"/>
        <v>0</v>
      </c>
      <c r="T137" s="181">
        <f t="shared" si="42"/>
        <v>0</v>
      </c>
      <c r="U137" s="181">
        <f t="shared" si="42"/>
        <v>0</v>
      </c>
      <c r="V137" s="181">
        <f t="shared" si="42"/>
        <v>0</v>
      </c>
      <c r="W137" s="181">
        <f t="shared" si="42"/>
        <v>0</v>
      </c>
      <c r="X137" s="181">
        <f t="shared" si="42"/>
        <v>0</v>
      </c>
      <c r="Y137" s="181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28" customFormat="1">
      <c r="A138" s="128" t="s">
        <v>67</v>
      </c>
      <c r="F138" s="147">
        <f t="shared" ref="F138:Y138" si="43">SUM(F33:F35)</f>
        <v>156</v>
      </c>
      <c r="G138" s="147">
        <f t="shared" si="43"/>
        <v>159</v>
      </c>
      <c r="H138" s="147">
        <f t="shared" si="43"/>
        <v>162</v>
      </c>
      <c r="I138" s="147">
        <f t="shared" si="43"/>
        <v>165</v>
      </c>
      <c r="J138" s="147">
        <f t="shared" si="43"/>
        <v>168.3</v>
      </c>
      <c r="K138" s="147">
        <f t="shared" si="43"/>
        <v>171.66600000000003</v>
      </c>
      <c r="L138" s="147">
        <f t="shared" si="43"/>
        <v>175.09932000000003</v>
      </c>
      <c r="M138" s="147">
        <f t="shared" si="43"/>
        <v>178.60130640000003</v>
      </c>
      <c r="N138" s="147">
        <f t="shared" si="43"/>
        <v>182.17333252800003</v>
      </c>
      <c r="O138" s="147">
        <f t="shared" si="43"/>
        <v>185.81679917856005</v>
      </c>
      <c r="P138" s="147">
        <f t="shared" si="43"/>
        <v>189.53313516213126</v>
      </c>
      <c r="Q138" s="147">
        <f t="shared" si="43"/>
        <v>193.32379786537388</v>
      </c>
      <c r="R138" s="147">
        <f t="shared" si="43"/>
        <v>197.19027382268135</v>
      </c>
      <c r="S138" s="147">
        <f t="shared" si="43"/>
        <v>201.13407929913498</v>
      </c>
      <c r="T138" s="147">
        <f t="shared" si="43"/>
        <v>205.15676088511768</v>
      </c>
      <c r="U138" s="147">
        <f t="shared" si="43"/>
        <v>209.25989610282002</v>
      </c>
      <c r="V138" s="147">
        <f t="shared" si="43"/>
        <v>213.44509402487643</v>
      </c>
      <c r="W138" s="147">
        <f t="shared" si="43"/>
        <v>217.71399590537396</v>
      </c>
      <c r="X138" s="147">
        <f t="shared" si="43"/>
        <v>222.06827582348146</v>
      </c>
      <c r="Y138" s="147">
        <f t="shared" si="43"/>
        <v>226.50964133995109</v>
      </c>
      <c r="AA138" s="355">
        <f t="shared" si="28"/>
        <v>3778.9917083375026</v>
      </c>
      <c r="AB138" s="356">
        <f t="shared" si="41"/>
        <v>3778.9917083375026</v>
      </c>
    </row>
    <row r="139" spans="1:28" s="128" customFormat="1">
      <c r="A139" s="128" t="s">
        <v>68</v>
      </c>
      <c r="F139" s="132">
        <f>F137+F138</f>
        <v>156</v>
      </c>
      <c r="G139" s="132">
        <f t="shared" ref="G139:Y139" si="44">G137+G138</f>
        <v>159</v>
      </c>
      <c r="H139" s="132">
        <f t="shared" si="44"/>
        <v>162</v>
      </c>
      <c r="I139" s="132">
        <f t="shared" si="44"/>
        <v>165</v>
      </c>
      <c r="J139" s="132">
        <f t="shared" si="44"/>
        <v>168.3</v>
      </c>
      <c r="K139" s="132">
        <f t="shared" si="44"/>
        <v>171.66600000000003</v>
      </c>
      <c r="L139" s="132">
        <f t="shared" si="44"/>
        <v>175.09932000000003</v>
      </c>
      <c r="M139" s="132">
        <f t="shared" si="44"/>
        <v>178.60130640000003</v>
      </c>
      <c r="N139" s="132">
        <f t="shared" si="44"/>
        <v>182.17333252800003</v>
      </c>
      <c r="O139" s="132">
        <f t="shared" si="44"/>
        <v>185.81679917856005</v>
      </c>
      <c r="P139" s="132">
        <f t="shared" si="44"/>
        <v>189.53313516213126</v>
      </c>
      <c r="Q139" s="132">
        <f t="shared" si="44"/>
        <v>193.32379786537388</v>
      </c>
      <c r="R139" s="132">
        <f t="shared" si="44"/>
        <v>197.19027382268135</v>
      </c>
      <c r="S139" s="132">
        <f t="shared" si="44"/>
        <v>201.13407929913498</v>
      </c>
      <c r="T139" s="132">
        <f t="shared" si="44"/>
        <v>205.15676088511768</v>
      </c>
      <c r="U139" s="132">
        <f t="shared" si="44"/>
        <v>209.25989610282002</v>
      </c>
      <c r="V139" s="132">
        <f t="shared" si="44"/>
        <v>213.44509402487643</v>
      </c>
      <c r="W139" s="132">
        <f t="shared" si="44"/>
        <v>217.71399590537396</v>
      </c>
      <c r="X139" s="132">
        <f t="shared" si="44"/>
        <v>222.06827582348146</v>
      </c>
      <c r="Y139" s="132">
        <f t="shared" si="44"/>
        <v>226.50964133995109</v>
      </c>
      <c r="AA139" s="355">
        <f t="shared" si="28"/>
        <v>3778.9917083375026</v>
      </c>
      <c r="AB139" s="356">
        <f t="shared" si="41"/>
        <v>3778.9917083375026</v>
      </c>
    </row>
    <row r="140" spans="1:28" s="128" customFormat="1">
      <c r="A140" s="128" t="s">
        <v>69</v>
      </c>
      <c r="C140" s="148">
        <f>C126</f>
        <v>0.12</v>
      </c>
      <c r="F140" s="132">
        <f>F139*$C$140</f>
        <v>18.72</v>
      </c>
      <c r="G140" s="132">
        <f t="shared" ref="G140:Y140" si="45">G139*$C$140</f>
        <v>19.079999999999998</v>
      </c>
      <c r="H140" s="132">
        <f t="shared" si="45"/>
        <v>19.439999999999998</v>
      </c>
      <c r="I140" s="132">
        <f t="shared" si="45"/>
        <v>19.8</v>
      </c>
      <c r="J140" s="132">
        <f t="shared" si="45"/>
        <v>20.196000000000002</v>
      </c>
      <c r="K140" s="132">
        <f t="shared" si="45"/>
        <v>20.599920000000001</v>
      </c>
      <c r="L140" s="132">
        <f t="shared" si="45"/>
        <v>21.011918400000003</v>
      </c>
      <c r="M140" s="132">
        <f t="shared" si="45"/>
        <v>21.432156768000002</v>
      </c>
      <c r="N140" s="132">
        <f t="shared" si="45"/>
        <v>21.860799903360004</v>
      </c>
      <c r="O140" s="132">
        <f t="shared" si="45"/>
        <v>22.298015901427206</v>
      </c>
      <c r="P140" s="132">
        <f t="shared" si="45"/>
        <v>22.74397621945575</v>
      </c>
      <c r="Q140" s="132">
        <f t="shared" si="45"/>
        <v>23.198855743844863</v>
      </c>
      <c r="R140" s="132">
        <f t="shared" si="45"/>
        <v>23.66283285872176</v>
      </c>
      <c r="S140" s="132">
        <f t="shared" si="45"/>
        <v>24.136089515896195</v>
      </c>
      <c r="T140" s="132">
        <f t="shared" si="45"/>
        <v>24.61881130621412</v>
      </c>
      <c r="U140" s="132">
        <f t="shared" si="45"/>
        <v>25.111187532338402</v>
      </c>
      <c r="V140" s="132">
        <f t="shared" si="45"/>
        <v>25.613411282985169</v>
      </c>
      <c r="W140" s="132">
        <f t="shared" si="45"/>
        <v>26.125679508644875</v>
      </c>
      <c r="X140" s="132">
        <f t="shared" si="45"/>
        <v>26.648193098817774</v>
      </c>
      <c r="Y140" s="132">
        <f t="shared" si="45"/>
        <v>27.18115696079413</v>
      </c>
      <c r="AA140" s="355">
        <f t="shared" si="28"/>
        <v>453.47900500050025</v>
      </c>
      <c r="AB140" s="356">
        <f t="shared" si="41"/>
        <v>453.47900500050025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48.047999999999995</v>
      </c>
      <c r="G141" s="147">
        <f t="shared" ref="G141:Y141" si="46">(G139-G140)*$C$141</f>
        <v>48.972000000000001</v>
      </c>
      <c r="H141" s="147">
        <f t="shared" si="46"/>
        <v>49.896000000000001</v>
      </c>
      <c r="I141" s="147">
        <f t="shared" si="46"/>
        <v>50.819999999999993</v>
      </c>
      <c r="J141" s="147">
        <f t="shared" si="46"/>
        <v>51.836400000000005</v>
      </c>
      <c r="K141" s="147">
        <f t="shared" si="46"/>
        <v>52.873128000000008</v>
      </c>
      <c r="L141" s="147">
        <f t="shared" si="46"/>
        <v>53.930590560000006</v>
      </c>
      <c r="M141" s="147">
        <f t="shared" si="46"/>
        <v>55.009202371200004</v>
      </c>
      <c r="N141" s="147">
        <f t="shared" si="46"/>
        <v>56.109386418624005</v>
      </c>
      <c r="O141" s="147">
        <f t="shared" si="46"/>
        <v>57.231574146996493</v>
      </c>
      <c r="P141" s="147">
        <f t="shared" si="46"/>
        <v>58.376205629936422</v>
      </c>
      <c r="Q141" s="147">
        <f t="shared" si="46"/>
        <v>59.543729742535149</v>
      </c>
      <c r="R141" s="147">
        <f t="shared" si="46"/>
        <v>60.734604337385846</v>
      </c>
      <c r="S141" s="147">
        <f t="shared" si="46"/>
        <v>61.949296424133571</v>
      </c>
      <c r="T141" s="147">
        <f t="shared" si="46"/>
        <v>63.188282352616241</v>
      </c>
      <c r="U141" s="147">
        <f t="shared" si="46"/>
        <v>64.452047999668565</v>
      </c>
      <c r="V141" s="147">
        <f t="shared" si="46"/>
        <v>65.741088959661937</v>
      </c>
      <c r="W141" s="147">
        <f t="shared" si="46"/>
        <v>67.055910738855175</v>
      </c>
      <c r="X141" s="147">
        <f t="shared" si="46"/>
        <v>68.397028953632287</v>
      </c>
      <c r="Y141" s="147">
        <f t="shared" si="46"/>
        <v>69.764969532704924</v>
      </c>
      <c r="AA141" s="355">
        <f t="shared" si="28"/>
        <v>1163.9294461679506</v>
      </c>
      <c r="AB141" s="356">
        <f t="shared" si="41"/>
        <v>1163.9294461679506</v>
      </c>
    </row>
    <row r="142" spans="1:28" s="128" customFormat="1">
      <c r="A142" s="128" t="s">
        <v>71</v>
      </c>
      <c r="F142" s="132">
        <f>F139-F140-F141</f>
        <v>89.231999999999999</v>
      </c>
      <c r="G142" s="132">
        <f t="shared" ref="G142:Y142" si="47">G139-G140-G141</f>
        <v>90.948000000000008</v>
      </c>
      <c r="H142" s="132">
        <f t="shared" si="47"/>
        <v>92.664000000000001</v>
      </c>
      <c r="I142" s="132">
        <f t="shared" si="47"/>
        <v>94.38</v>
      </c>
      <c r="J142" s="132">
        <f t="shared" si="47"/>
        <v>96.267600000000016</v>
      </c>
      <c r="K142" s="132">
        <f t="shared" si="47"/>
        <v>98.19295200000002</v>
      </c>
      <c r="L142" s="132">
        <f t="shared" si="47"/>
        <v>100.15681104000001</v>
      </c>
      <c r="M142" s="132">
        <f t="shared" si="47"/>
        <v>102.15994726080002</v>
      </c>
      <c r="N142" s="132">
        <f t="shared" si="47"/>
        <v>104.20314620601602</v>
      </c>
      <c r="O142" s="132">
        <f t="shared" si="47"/>
        <v>106.28720913013636</v>
      </c>
      <c r="P142" s="132">
        <f t="shared" si="47"/>
        <v>108.41295331273908</v>
      </c>
      <c r="Q142" s="132">
        <f t="shared" si="47"/>
        <v>110.58121237899387</v>
      </c>
      <c r="R142" s="132">
        <f t="shared" si="47"/>
        <v>112.79283662657373</v>
      </c>
      <c r="S142" s="132">
        <f t="shared" si="47"/>
        <v>115.04869335910521</v>
      </c>
      <c r="T142" s="132">
        <f t="shared" si="47"/>
        <v>117.34966722628731</v>
      </c>
      <c r="U142" s="132">
        <f t="shared" si="47"/>
        <v>119.69666057081307</v>
      </c>
      <c r="V142" s="132">
        <f t="shared" si="47"/>
        <v>122.09059378222932</v>
      </c>
      <c r="W142" s="132">
        <f t="shared" si="47"/>
        <v>124.53240565787391</v>
      </c>
      <c r="X142" s="132">
        <f t="shared" si="47"/>
        <v>127.02305377103139</v>
      </c>
      <c r="Y142" s="132">
        <f t="shared" si="47"/>
        <v>129.56351484645202</v>
      </c>
      <c r="AA142" s="355">
        <f t="shared" si="28"/>
        <v>2161.5832571690507</v>
      </c>
      <c r="AB142" s="356">
        <f t="shared" si="41"/>
        <v>2161.5832571690507</v>
      </c>
    </row>
    <row r="143" spans="1:28" s="128" customFormat="1">
      <c r="AA143" s="355">
        <f t="shared" si="28"/>
        <v>0</v>
      </c>
      <c r="AB143" s="356">
        <f t="shared" si="41"/>
        <v>0</v>
      </c>
    </row>
    <row r="144" spans="1:28" s="128" customFormat="1">
      <c r="A144" s="146" t="str">
        <f>A76</f>
        <v>Net Income to FPLE</v>
      </c>
      <c r="F144" s="149">
        <f>F76</f>
        <v>3497.8310843069767</v>
      </c>
      <c r="G144" s="149">
        <f t="shared" ref="G144:Y144" si="48">G76</f>
        <v>3434.5901923069764</v>
      </c>
      <c r="H144" s="149">
        <f t="shared" si="48"/>
        <v>3557.9379981018083</v>
      </c>
      <c r="I144" s="149">
        <f t="shared" si="48"/>
        <v>3572.091566101808</v>
      </c>
      <c r="J144" s="149">
        <f t="shared" si="48"/>
        <v>3635.6850513004292</v>
      </c>
      <c r="K144" s="149">
        <f t="shared" si="48"/>
        <v>3643.8811490620228</v>
      </c>
      <c r="L144" s="149">
        <f t="shared" si="48"/>
        <v>3652.8022446984969</v>
      </c>
      <c r="M144" s="149">
        <f t="shared" si="48"/>
        <v>3777.3545470222884</v>
      </c>
      <c r="N144" s="149">
        <f t="shared" si="48"/>
        <v>2362.4774655887259</v>
      </c>
      <c r="O144" s="149">
        <f t="shared" si="48"/>
        <v>1368.1921199388953</v>
      </c>
      <c r="P144" s="149">
        <f t="shared" si="48"/>
        <v>1379.2534558650873</v>
      </c>
      <c r="Q144" s="149">
        <f t="shared" si="48"/>
        <v>1390.7421505274333</v>
      </c>
      <c r="R144" s="149">
        <f t="shared" si="48"/>
        <v>1402.6535233775999</v>
      </c>
      <c r="S144" s="149">
        <f t="shared" si="48"/>
        <v>1415.2583778199651</v>
      </c>
      <c r="T144" s="149">
        <f t="shared" si="48"/>
        <v>1428.1109201101597</v>
      </c>
      <c r="U144" s="149">
        <f t="shared" si="48"/>
        <v>1440.599912572756</v>
      </c>
      <c r="V144" s="149">
        <f t="shared" si="48"/>
        <v>1453.2163284463311</v>
      </c>
      <c r="W144" s="149">
        <f t="shared" si="48"/>
        <v>819.89095974136171</v>
      </c>
      <c r="X144" s="149">
        <f t="shared" si="48"/>
        <v>-82.72205056512945</v>
      </c>
      <c r="Y144" s="149">
        <f t="shared" si="48"/>
        <v>-96.706271891041681</v>
      </c>
      <c r="AA144" s="355">
        <f t="shared" si="28"/>
        <v>43053.140724432946</v>
      </c>
      <c r="AB144" s="356">
        <f t="shared" si="41"/>
        <v>43053.140724432946</v>
      </c>
    </row>
    <row r="145" spans="1:28" s="128" customFormat="1">
      <c r="A145" s="103" t="s">
        <v>79</v>
      </c>
      <c r="F145" s="142">
        <f>F142+F144</f>
        <v>3587.0630843069766</v>
      </c>
      <c r="G145" s="142">
        <f t="shared" ref="G145:Y145" si="49">G142+G144</f>
        <v>3525.5381923069763</v>
      </c>
      <c r="H145" s="142">
        <f t="shared" si="49"/>
        <v>3650.6019981018085</v>
      </c>
      <c r="I145" s="142">
        <f t="shared" si="49"/>
        <v>3666.4715661018081</v>
      </c>
      <c r="J145" s="142">
        <f t="shared" si="49"/>
        <v>3731.9526513004294</v>
      </c>
      <c r="K145" s="142">
        <f t="shared" si="49"/>
        <v>3742.0741010620227</v>
      </c>
      <c r="L145" s="142">
        <f t="shared" si="49"/>
        <v>3752.9590557384968</v>
      </c>
      <c r="M145" s="142">
        <f t="shared" si="49"/>
        <v>3879.5144942830884</v>
      </c>
      <c r="N145" s="142">
        <f t="shared" si="49"/>
        <v>2466.6806117947417</v>
      </c>
      <c r="O145" s="142">
        <f t="shared" si="49"/>
        <v>1474.4793290690316</v>
      </c>
      <c r="P145" s="142">
        <f t="shared" si="49"/>
        <v>1487.6664091778264</v>
      </c>
      <c r="Q145" s="142">
        <f t="shared" si="49"/>
        <v>1501.3233629064271</v>
      </c>
      <c r="R145" s="142">
        <f t="shared" si="49"/>
        <v>1515.4463600041736</v>
      </c>
      <c r="S145" s="142">
        <f t="shared" si="49"/>
        <v>1530.3070711790704</v>
      </c>
      <c r="T145" s="142">
        <f t="shared" si="49"/>
        <v>1545.4605873364469</v>
      </c>
      <c r="U145" s="142">
        <f t="shared" si="49"/>
        <v>1560.296573143569</v>
      </c>
      <c r="V145" s="142">
        <f t="shared" si="49"/>
        <v>1575.3069222285603</v>
      </c>
      <c r="W145" s="142">
        <f t="shared" si="49"/>
        <v>944.42336539923565</v>
      </c>
      <c r="X145" s="142">
        <f t="shared" si="49"/>
        <v>44.301003205901935</v>
      </c>
      <c r="Y145" s="142">
        <f t="shared" si="49"/>
        <v>32.857242955410342</v>
      </c>
      <c r="AA145" s="355">
        <f t="shared" si="28"/>
        <v>45214.723981602008</v>
      </c>
      <c r="AB145" s="356">
        <f t="shared" si="41"/>
        <v>45214.723981602008</v>
      </c>
    </row>
    <row r="146" spans="1:28" s="128" customFormat="1">
      <c r="AA146" s="355">
        <f t="shared" si="28"/>
        <v>0</v>
      </c>
      <c r="AB146" s="356">
        <f t="shared" si="41"/>
        <v>0</v>
      </c>
    </row>
    <row r="147" spans="1:28" s="128" customFormat="1">
      <c r="AA147" s="355">
        <f t="shared" si="28"/>
        <v>0</v>
      </c>
      <c r="AB147" s="356">
        <f t="shared" si="41"/>
        <v>0</v>
      </c>
    </row>
    <row r="148" spans="1:28" s="128" customFormat="1">
      <c r="AA148" s="355">
        <f t="shared" si="28"/>
        <v>0</v>
      </c>
      <c r="AB148" s="356">
        <f t="shared" si="41"/>
        <v>0</v>
      </c>
    </row>
    <row r="149" spans="1:28" s="128" customFormat="1">
      <c r="A149" s="105" t="s">
        <v>110</v>
      </c>
      <c r="AA149" s="355">
        <f t="shared" si="28"/>
        <v>0</v>
      </c>
      <c r="AB149" s="356">
        <f t="shared" si="41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89.231999999999999</v>
      </c>
      <c r="G150" s="129">
        <f t="shared" ref="G150:Y150" si="50">G142</f>
        <v>90.948000000000008</v>
      </c>
      <c r="H150" s="129">
        <f t="shared" si="50"/>
        <v>92.664000000000001</v>
      </c>
      <c r="I150" s="129">
        <f t="shared" si="50"/>
        <v>94.38</v>
      </c>
      <c r="J150" s="129">
        <f t="shared" si="50"/>
        <v>96.267600000000016</v>
      </c>
      <c r="K150" s="129">
        <f t="shared" si="50"/>
        <v>98.19295200000002</v>
      </c>
      <c r="L150" s="129">
        <f t="shared" si="50"/>
        <v>100.15681104000001</v>
      </c>
      <c r="M150" s="129">
        <f t="shared" si="50"/>
        <v>102.15994726080002</v>
      </c>
      <c r="N150" s="129">
        <f t="shared" si="50"/>
        <v>104.20314620601602</v>
      </c>
      <c r="O150" s="129">
        <f t="shared" si="50"/>
        <v>106.28720913013636</v>
      </c>
      <c r="P150" s="129">
        <f t="shared" si="50"/>
        <v>108.41295331273908</v>
      </c>
      <c r="Q150" s="129">
        <f t="shared" si="50"/>
        <v>110.58121237899387</v>
      </c>
      <c r="R150" s="129">
        <f t="shared" si="50"/>
        <v>112.79283662657373</v>
      </c>
      <c r="S150" s="129">
        <f t="shared" si="50"/>
        <v>115.04869335910521</v>
      </c>
      <c r="T150" s="129">
        <f t="shared" si="50"/>
        <v>117.34966722628731</v>
      </c>
      <c r="U150" s="129">
        <f t="shared" si="50"/>
        <v>119.69666057081307</v>
      </c>
      <c r="V150" s="129">
        <f t="shared" si="50"/>
        <v>122.09059378222932</v>
      </c>
      <c r="W150" s="129">
        <f t="shared" si="50"/>
        <v>124.53240565787391</v>
      </c>
      <c r="X150" s="129">
        <f t="shared" si="50"/>
        <v>127.02305377103139</v>
      </c>
      <c r="Y150" s="129">
        <f t="shared" si="50"/>
        <v>129.56351484645202</v>
      </c>
      <c r="AA150" s="355">
        <f t="shared" si="28"/>
        <v>2161.5832571690507</v>
      </c>
      <c r="AB150" s="356">
        <f t="shared" si="41"/>
        <v>2161.5832571690507</v>
      </c>
    </row>
    <row r="151" spans="1:28" s="128" customFormat="1">
      <c r="A151" s="128" t="s">
        <v>111</v>
      </c>
      <c r="F151" s="182">
        <v>0</v>
      </c>
      <c r="G151" s="182">
        <v>0</v>
      </c>
      <c r="H151" s="182">
        <v>0</v>
      </c>
      <c r="I151" s="182">
        <v>0</v>
      </c>
      <c r="J151" s="182">
        <v>0</v>
      </c>
      <c r="K151" s="182">
        <v>0</v>
      </c>
      <c r="L151" s="182">
        <v>0</v>
      </c>
      <c r="M151" s="182">
        <v>0</v>
      </c>
      <c r="N151" s="182">
        <v>0</v>
      </c>
      <c r="O151" s="182">
        <v>0</v>
      </c>
      <c r="P151" s="182">
        <v>0</v>
      </c>
      <c r="Q151" s="182">
        <v>0</v>
      </c>
      <c r="R151" s="182">
        <v>0</v>
      </c>
      <c r="S151" s="182">
        <v>0</v>
      </c>
      <c r="T151" s="182">
        <v>0</v>
      </c>
      <c r="U151" s="182">
        <v>0</v>
      </c>
      <c r="V151" s="182">
        <v>0</v>
      </c>
      <c r="W151" s="182">
        <v>0</v>
      </c>
      <c r="X151" s="182">
        <v>0</v>
      </c>
      <c r="Y151" s="182">
        <v>0</v>
      </c>
      <c r="AA151" s="355">
        <f t="shared" si="28"/>
        <v>0</v>
      </c>
      <c r="AB151" s="356">
        <f t="shared" si="41"/>
        <v>0</v>
      </c>
    </row>
    <row r="152" spans="1:28" s="128" customFormat="1">
      <c r="F152" s="129">
        <f>F150+F151</f>
        <v>89.231999999999999</v>
      </c>
      <c r="G152" s="129">
        <f t="shared" ref="G152:Y152" si="51">G150+G151</f>
        <v>90.948000000000008</v>
      </c>
      <c r="H152" s="129">
        <f t="shared" si="51"/>
        <v>92.664000000000001</v>
      </c>
      <c r="I152" s="129">
        <f t="shared" si="51"/>
        <v>94.38</v>
      </c>
      <c r="J152" s="129">
        <f t="shared" si="51"/>
        <v>96.267600000000016</v>
      </c>
      <c r="K152" s="129">
        <f t="shared" si="51"/>
        <v>98.19295200000002</v>
      </c>
      <c r="L152" s="129">
        <f t="shared" si="51"/>
        <v>100.15681104000001</v>
      </c>
      <c r="M152" s="129">
        <f t="shared" si="51"/>
        <v>102.15994726080002</v>
      </c>
      <c r="N152" s="129">
        <f t="shared" si="51"/>
        <v>104.20314620601602</v>
      </c>
      <c r="O152" s="129">
        <f t="shared" si="51"/>
        <v>106.28720913013636</v>
      </c>
      <c r="P152" s="129">
        <f t="shared" si="51"/>
        <v>108.41295331273908</v>
      </c>
      <c r="Q152" s="129">
        <f t="shared" si="51"/>
        <v>110.58121237899387</v>
      </c>
      <c r="R152" s="129">
        <f t="shared" si="51"/>
        <v>112.79283662657373</v>
      </c>
      <c r="S152" s="129">
        <f t="shared" si="51"/>
        <v>115.04869335910521</v>
      </c>
      <c r="T152" s="129">
        <f t="shared" si="51"/>
        <v>117.34966722628731</v>
      </c>
      <c r="U152" s="129">
        <f t="shared" si="51"/>
        <v>119.69666057081307</v>
      </c>
      <c r="V152" s="129">
        <f t="shared" si="51"/>
        <v>122.09059378222932</v>
      </c>
      <c r="W152" s="129">
        <f t="shared" si="51"/>
        <v>124.53240565787391</v>
      </c>
      <c r="X152" s="129">
        <f t="shared" si="51"/>
        <v>127.02305377103139</v>
      </c>
      <c r="Y152" s="129">
        <f t="shared" si="51"/>
        <v>129.56351484645202</v>
      </c>
      <c r="AA152" s="355">
        <f t="shared" si="28"/>
        <v>2161.5832571690507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934.22667000812021</v>
      </c>
    </row>
    <row r="156" spans="1:28" s="128" customFormat="1" ht="13.5" thickBot="1">
      <c r="A156" s="128" t="s">
        <v>48</v>
      </c>
      <c r="C156" s="152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49183.199669389891</v>
      </c>
    </row>
    <row r="161" spans="1:25" s="128" customFormat="1">
      <c r="A161" s="108" t="s">
        <v>74</v>
      </c>
      <c r="B161" s="109"/>
      <c r="C161" s="109"/>
      <c r="D161" s="183">
        <v>0</v>
      </c>
      <c r="F161" s="150"/>
    </row>
    <row r="162" spans="1:25" s="128" customFormat="1">
      <c r="A162" s="108" t="s">
        <v>75</v>
      </c>
      <c r="B162" s="109"/>
      <c r="C162" s="109"/>
      <c r="D162" s="111">
        <f>C155-D161</f>
        <v>934.22667000812021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50117.426339398015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 t="s">
        <v>156</v>
      </c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 t="s">
        <v>157</v>
      </c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 t="s">
        <v>158</v>
      </c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 t="s">
        <v>159</v>
      </c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6" t="s">
        <v>160</v>
      </c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6" t="s">
        <v>185</v>
      </c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 t="s">
        <v>180</v>
      </c>
      <c r="B175" s="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6" t="s">
        <v>186</v>
      </c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 t="s">
        <v>189</v>
      </c>
      <c r="B177" s="6"/>
      <c r="C177" s="14">
        <f>E57</f>
        <v>0.33275857544270754</v>
      </c>
      <c r="D177" s="31" t="s">
        <v>190</v>
      </c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 t="s">
        <v>179</v>
      </c>
      <c r="B178" s="6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 t="s">
        <v>163</v>
      </c>
      <c r="B179" s="6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6" t="s">
        <v>183</v>
      </c>
      <c r="B180" s="1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6" t="s">
        <v>172</v>
      </c>
      <c r="B181" s="17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6" t="s">
        <v>171</v>
      </c>
      <c r="B182" s="17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 t="s">
        <v>211</v>
      </c>
      <c r="B183" s="6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outlineLevel="1">
      <c r="A184" s="17"/>
      <c r="B184" s="6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6"/>
      <c r="B185" s="17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3.5" outlineLevel="1">
      <c r="A186" s="97"/>
      <c r="B186" s="6"/>
      <c r="C186" s="6"/>
      <c r="D186" s="31"/>
      <c r="E186" s="6"/>
      <c r="F186" s="6"/>
      <c r="G186" s="31"/>
      <c r="H186" s="6"/>
      <c r="I186" s="6"/>
      <c r="J186" s="6"/>
      <c r="K186" s="6"/>
      <c r="L186" s="6"/>
      <c r="M186" s="6"/>
      <c r="N186" s="6"/>
      <c r="O186" s="6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17"/>
      <c r="B187" s="6"/>
      <c r="C187" s="33"/>
      <c r="D187" s="31"/>
      <c r="E187" s="31"/>
      <c r="F187" s="31"/>
      <c r="G187" s="184"/>
      <c r="H187" s="185"/>
      <c r="I187" s="185"/>
      <c r="J187" s="185"/>
      <c r="K187" s="185"/>
      <c r="L187" s="185"/>
      <c r="M187" s="185"/>
      <c r="N187" s="185"/>
      <c r="O187" s="185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17"/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36"/>
      <c r="B189" s="36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36"/>
      <c r="B190" s="36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36"/>
      <c r="B191" s="6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6"/>
      <c r="B192" s="17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17"/>
      <c r="B193" s="17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1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6"/>
      <c r="B196" s="17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17"/>
      <c r="B197" s="6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8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39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40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39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9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39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38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outlineLevel="1">
      <c r="A219" s="40"/>
      <c r="B219" s="6"/>
      <c r="C219" s="6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outlineLevel="1">
      <c r="A220" s="40"/>
      <c r="B220" s="6"/>
      <c r="C220" s="6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" customHeight="1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4.25" customHeight="1" outlineLevel="1">
      <c r="A223" s="40"/>
      <c r="B223" s="6"/>
      <c r="C223" s="6"/>
      <c r="D223" s="6"/>
      <c r="E223" s="27"/>
      <c r="F223" s="27"/>
      <c r="G223" s="27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outlineLevel="1">
      <c r="A224" s="40"/>
      <c r="B224" s="6"/>
      <c r="C224" s="6"/>
      <c r="D224" s="6"/>
      <c r="E224" s="27"/>
      <c r="F224" s="27"/>
      <c r="G224" s="27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outlineLevel="1">
      <c r="A225" s="40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42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42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27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6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6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17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17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6"/>
      <c r="B236" s="6"/>
      <c r="C236" s="6"/>
      <c r="D236" s="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spans="1:25" outlineLevel="1">
      <c r="A237" s="6"/>
      <c r="B237" s="6"/>
      <c r="C237" s="6"/>
      <c r="D237" s="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spans="1:25" outlineLevel="1">
      <c r="A238" s="3"/>
      <c r="B238" s="3"/>
      <c r="C238" s="3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outlineLevel="1">
      <c r="A239" s="40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9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39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38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27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40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6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39"/>
      <c r="B247" s="6"/>
      <c r="C247" s="6"/>
      <c r="D247" s="20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39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27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40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27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40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39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40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9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8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8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39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40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9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39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9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39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38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40"/>
      <c r="B279" s="6"/>
      <c r="C279" s="6"/>
      <c r="D279" s="6"/>
      <c r="E279" s="27"/>
      <c r="F279" s="27"/>
      <c r="G279" s="27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outlineLevel="1">
      <c r="A280" s="40"/>
      <c r="B280" s="6"/>
      <c r="C280" s="6"/>
      <c r="D280" s="6"/>
      <c r="E280" s="27"/>
      <c r="F280" s="27"/>
      <c r="G280" s="27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outlineLevel="1">
      <c r="A281" s="6"/>
      <c r="B281" s="6"/>
      <c r="C281" s="6"/>
      <c r="D281" s="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6"/>
      <c r="B282" s="6"/>
      <c r="C282" s="6"/>
      <c r="D282" s="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spans="1:25" outlineLevel="1">
      <c r="A283" s="6"/>
      <c r="B283" s="6"/>
      <c r="C283" s="6"/>
      <c r="D283" s="6"/>
      <c r="E283" s="6"/>
      <c r="F283" s="6"/>
      <c r="G283" s="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 spans="1:25" outlineLevel="1">
      <c r="A284" s="3"/>
      <c r="B284" s="3"/>
      <c r="C284" s="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17"/>
      <c r="B285" s="17"/>
      <c r="C285" s="1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17"/>
      <c r="B286" s="43"/>
      <c r="C286" s="43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17"/>
      <c r="B289" s="17"/>
      <c r="C289" s="17"/>
      <c r="D289" s="1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17"/>
      <c r="C290" s="17"/>
      <c r="D290" s="17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17"/>
      <c r="C291" s="17"/>
      <c r="D291" s="17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44"/>
      <c r="C292" s="44"/>
      <c r="D292" s="44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44"/>
      <c r="B293" s="44"/>
      <c r="C293" s="44"/>
      <c r="D293" s="44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44"/>
      <c r="B294" s="3"/>
      <c r="C294" s="3"/>
      <c r="D294" s="3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6"/>
      <c r="B295" s="6"/>
      <c r="C295" s="6"/>
      <c r="D295" s="6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17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17"/>
      <c r="C304" s="17"/>
      <c r="D304" s="17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17"/>
      <c r="C305" s="17"/>
      <c r="D305" s="17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44"/>
      <c r="B306" s="44"/>
      <c r="C306" s="44"/>
      <c r="D306" s="44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17"/>
      <c r="B308" s="17"/>
      <c r="C308" s="17"/>
      <c r="D308" s="17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44"/>
      <c r="B309" s="44"/>
      <c r="C309" s="44"/>
      <c r="D309" s="44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44"/>
      <c r="B310" s="44"/>
      <c r="C310" s="44"/>
      <c r="D310" s="44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17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17"/>
      <c r="B312" s="17"/>
      <c r="C312" s="17"/>
      <c r="D312" s="17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6"/>
      <c r="B313" s="17"/>
      <c r="C313" s="17"/>
      <c r="D313" s="17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6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17"/>
      <c r="B315" s="46"/>
      <c r="C315" s="46"/>
      <c r="D315" s="46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44"/>
      <c r="B316" s="46"/>
      <c r="C316" s="46"/>
      <c r="D316" s="46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17"/>
      <c r="B317" s="17"/>
      <c r="C317" s="17"/>
      <c r="D317" s="17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6"/>
      <c r="B318" s="6"/>
      <c r="C318" s="6"/>
      <c r="D318" s="6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17"/>
      <c r="B319" s="17"/>
      <c r="C319" s="17"/>
      <c r="D319" s="17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44"/>
      <c r="C323" s="44"/>
      <c r="D323" s="44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44"/>
      <c r="B324" s="44"/>
      <c r="C324" s="44"/>
      <c r="D324" s="44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44"/>
      <c r="B325" s="6"/>
      <c r="C325" s="6"/>
      <c r="D325" s="6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17"/>
      <c r="B326" s="17"/>
      <c r="C326" s="17"/>
      <c r="D326" s="17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17"/>
      <c r="C327" s="17"/>
      <c r="D327" s="17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6"/>
      <c r="B328" s="6"/>
      <c r="C328" s="6"/>
      <c r="D328" s="6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17"/>
      <c r="B329" s="47"/>
      <c r="C329" s="47"/>
      <c r="D329" s="6"/>
      <c r="E329" s="45"/>
      <c r="F329" s="45"/>
      <c r="G329" s="45"/>
      <c r="H329" s="45"/>
      <c r="I329" s="45"/>
      <c r="J329" s="45"/>
      <c r="K329" s="45"/>
      <c r="L329" s="45"/>
      <c r="M329" s="6"/>
      <c r="N329" s="4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43"/>
      <c r="C330" s="43"/>
      <c r="D330" s="43"/>
      <c r="E330" s="45"/>
      <c r="F330" s="45"/>
      <c r="G330" s="45"/>
      <c r="H330" s="45"/>
      <c r="I330" s="45"/>
      <c r="J330" s="45"/>
      <c r="K330" s="45"/>
      <c r="L330" s="45"/>
      <c r="M330" s="6"/>
      <c r="N330" s="4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48"/>
      <c r="C332" s="48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17"/>
      <c r="B334" s="6"/>
      <c r="C334" s="6"/>
      <c r="D334" s="6"/>
      <c r="E334" s="6"/>
      <c r="F334" s="6"/>
      <c r="G334" s="20"/>
      <c r="H334" s="20"/>
      <c r="I334" s="20"/>
      <c r="J334" s="20"/>
      <c r="K334" s="20"/>
      <c r="L334" s="20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20"/>
      <c r="H335" s="20"/>
      <c r="I335" s="20"/>
      <c r="J335" s="20"/>
      <c r="K335" s="20"/>
      <c r="L335" s="20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1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1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outlineLevel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outlineLevel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s="187" customFormat="1" outlineLevel="1">
      <c r="A341" s="186"/>
    </row>
    <row r="342" spans="1:25" outlineLevel="1">
      <c r="A342" s="1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17"/>
      <c r="B343" s="6"/>
      <c r="C343" s="6"/>
      <c r="D343" s="6"/>
      <c r="E343" s="6"/>
      <c r="F343" s="6"/>
      <c r="G343" s="51"/>
      <c r="H343" s="51"/>
      <c r="I343" s="51"/>
      <c r="J343" s="51"/>
      <c r="K343" s="51"/>
      <c r="L343" s="51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7"/>
      <c r="B344" s="6"/>
      <c r="C344" s="6"/>
      <c r="D344" s="6"/>
      <c r="E344" s="6"/>
      <c r="F344" s="6"/>
      <c r="G344" s="51"/>
      <c r="H344" s="51"/>
      <c r="I344" s="51"/>
      <c r="J344" s="51"/>
      <c r="K344" s="51"/>
      <c r="L344" s="51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6"/>
      <c r="B345" s="52"/>
      <c r="C345" s="52"/>
      <c r="D345" s="52"/>
      <c r="E345" s="6"/>
      <c r="F345" s="6"/>
      <c r="G345" s="53"/>
      <c r="H345" s="53"/>
      <c r="I345" s="53"/>
      <c r="J345" s="53"/>
      <c r="K345" s="53"/>
      <c r="L345" s="53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7"/>
      <c r="B346" s="56"/>
      <c r="C346" s="56"/>
      <c r="D346" s="5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8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88"/>
      <c r="B350" s="6"/>
      <c r="C350" s="6"/>
      <c r="D350" s="6"/>
      <c r="E350" s="6"/>
      <c r="F350" s="6"/>
      <c r="G350" s="20"/>
      <c r="H350" s="20"/>
      <c r="I350" s="20"/>
      <c r="J350" s="20"/>
      <c r="K350" s="20"/>
      <c r="L350" s="20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88"/>
      <c r="B351" s="6"/>
      <c r="C351" s="6"/>
      <c r="D351" s="6"/>
      <c r="E351" s="6"/>
      <c r="F351" s="6"/>
      <c r="G351" s="20"/>
      <c r="H351" s="20"/>
      <c r="I351" s="20"/>
      <c r="J351" s="20"/>
      <c r="K351" s="20"/>
      <c r="L351" s="20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88"/>
      <c r="B352" s="6"/>
      <c r="C352" s="6"/>
      <c r="D352" s="6"/>
      <c r="E352" s="6"/>
      <c r="F352" s="6"/>
      <c r="G352" s="51"/>
      <c r="H352" s="51"/>
      <c r="I352" s="51"/>
      <c r="J352" s="51"/>
      <c r="K352" s="51"/>
      <c r="L352" s="51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7"/>
      <c r="B353" s="6"/>
      <c r="C353" s="6"/>
      <c r="D353" s="6"/>
      <c r="E353" s="6"/>
      <c r="F353" s="6"/>
      <c r="G353" s="56"/>
      <c r="H353" s="56"/>
      <c r="I353" s="56"/>
      <c r="J353" s="56"/>
      <c r="K353" s="56"/>
      <c r="L353" s="5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188"/>
      <c r="B354" s="14"/>
      <c r="C354" s="14"/>
      <c r="D354" s="14"/>
      <c r="E354" s="6"/>
      <c r="F354" s="6"/>
      <c r="G354" s="189"/>
      <c r="H354" s="189"/>
      <c r="I354" s="189"/>
      <c r="J354" s="189"/>
      <c r="K354" s="189"/>
      <c r="L354" s="18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188"/>
      <c r="B355" s="6"/>
      <c r="C355" s="6"/>
      <c r="D355" s="6"/>
      <c r="E355" s="6"/>
      <c r="F355" s="6"/>
      <c r="G355" s="189"/>
      <c r="H355" s="189"/>
      <c r="I355" s="189"/>
      <c r="J355" s="189"/>
      <c r="K355" s="189"/>
      <c r="L355" s="18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188"/>
      <c r="B356" s="6"/>
      <c r="C356" s="6"/>
      <c r="D356" s="6"/>
      <c r="E356" s="6"/>
      <c r="F356" s="6"/>
      <c r="G356" s="189"/>
      <c r="H356" s="189"/>
      <c r="I356" s="189"/>
      <c r="J356" s="189"/>
      <c r="K356" s="189"/>
      <c r="L356" s="18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88"/>
      <c r="B357" s="6"/>
      <c r="C357" s="6"/>
      <c r="D357" s="6"/>
      <c r="E357" s="6"/>
      <c r="F357" s="6"/>
      <c r="G357" s="189"/>
      <c r="H357" s="189"/>
      <c r="I357" s="189"/>
      <c r="J357" s="189"/>
      <c r="K357" s="189"/>
      <c r="L357" s="189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188"/>
      <c r="B358" s="6"/>
      <c r="C358" s="6"/>
      <c r="D358" s="6"/>
      <c r="E358" s="6"/>
      <c r="F358" s="6"/>
      <c r="G358" s="56"/>
      <c r="H358" s="56"/>
      <c r="I358" s="56"/>
      <c r="J358" s="56"/>
      <c r="K358" s="56"/>
      <c r="L358" s="5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1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6"/>
      <c r="F361" s="6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6"/>
      <c r="F362" s="6"/>
      <c r="G362" s="20"/>
      <c r="H362" s="20"/>
      <c r="I362" s="20"/>
      <c r="J362" s="20"/>
      <c r="K362" s="20"/>
      <c r="L362" s="20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6"/>
      <c r="B363" s="6"/>
      <c r="C363" s="6"/>
      <c r="D363" s="6"/>
      <c r="E363" s="20"/>
      <c r="F363" s="20"/>
      <c r="G363" s="20"/>
      <c r="H363" s="20"/>
      <c r="I363" s="20"/>
      <c r="J363" s="20"/>
      <c r="K363" s="20"/>
      <c r="L363" s="20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1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6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188"/>
      <c r="B367" s="6"/>
      <c r="C367" s="6"/>
      <c r="D367" s="6"/>
      <c r="E367" s="6"/>
      <c r="F367" s="6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188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188"/>
      <c r="B369" s="6"/>
      <c r="C369" s="6"/>
      <c r="D369" s="6"/>
      <c r="E369" s="20"/>
      <c r="F369" s="20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51"/>
      <c r="H374" s="51"/>
      <c r="I374" s="51"/>
      <c r="J374" s="51"/>
      <c r="K374" s="51"/>
      <c r="L374" s="51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6"/>
      <c r="B375" s="6"/>
      <c r="C375" s="6"/>
      <c r="D375" s="6"/>
      <c r="E375" s="6"/>
      <c r="F375" s="6"/>
      <c r="G375" s="51"/>
      <c r="H375" s="51"/>
      <c r="I375" s="51"/>
      <c r="J375" s="51"/>
      <c r="K375" s="51"/>
      <c r="L375" s="51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59"/>
      <c r="F377" s="59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14"/>
      <c r="E378" s="20"/>
      <c r="F378" s="20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17"/>
      <c r="B379" s="6"/>
      <c r="C379" s="6"/>
      <c r="D379" s="6"/>
      <c r="E379" s="59"/>
      <c r="F379" s="59"/>
      <c r="G379" s="59"/>
      <c r="H379" s="59"/>
      <c r="I379" s="59"/>
      <c r="J379" s="59"/>
      <c r="K379" s="59"/>
      <c r="L379" s="5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59"/>
      <c r="H380" s="59"/>
      <c r="I380" s="59"/>
      <c r="J380" s="59"/>
      <c r="K380" s="59"/>
      <c r="L380" s="59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1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1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outlineLevel="1">
      <c r="A385" s="6"/>
      <c r="B385" s="6"/>
      <c r="C385" s="6"/>
      <c r="D385" s="6"/>
      <c r="E385" s="6"/>
      <c r="F385" s="6"/>
      <c r="G385" s="45"/>
      <c r="H385" s="45"/>
      <c r="I385" s="45"/>
      <c r="J385" s="45"/>
      <c r="K385" s="45"/>
      <c r="L385" s="4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outlineLevel="1">
      <c r="A386" s="6"/>
      <c r="B386" s="6"/>
      <c r="C386" s="6"/>
      <c r="D386" s="6"/>
      <c r="E386" s="6"/>
      <c r="F386" s="6"/>
      <c r="G386" s="59"/>
      <c r="H386" s="59"/>
      <c r="I386" s="59"/>
      <c r="J386" s="59"/>
      <c r="K386" s="59"/>
      <c r="L386" s="59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outlineLevel="1">
      <c r="A387" s="6"/>
      <c r="B387" s="6"/>
      <c r="C387" s="6"/>
      <c r="D387" s="6"/>
      <c r="E387" s="6"/>
      <c r="F387" s="6"/>
      <c r="G387" s="45"/>
      <c r="H387" s="45"/>
      <c r="I387" s="45"/>
      <c r="J387" s="45"/>
      <c r="K387" s="45"/>
      <c r="L387" s="4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outlineLevel="1">
      <c r="A388" s="6"/>
      <c r="B388" s="6"/>
      <c r="C388" s="6"/>
      <c r="D388" s="6"/>
      <c r="E388" s="6"/>
      <c r="F388" s="6"/>
      <c r="G388" s="45"/>
      <c r="H388" s="45"/>
      <c r="I388" s="45"/>
      <c r="J388" s="45"/>
      <c r="K388" s="45"/>
      <c r="L388" s="4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outlineLevel="1">
      <c r="A389" s="6"/>
      <c r="B389" s="6"/>
      <c r="C389" s="6"/>
      <c r="D389" s="6"/>
      <c r="E389" s="6"/>
      <c r="F389" s="6"/>
      <c r="G389" s="45"/>
      <c r="H389" s="45"/>
      <c r="I389" s="45"/>
      <c r="J389" s="45"/>
      <c r="K389" s="45"/>
      <c r="L389" s="4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outlineLevel="1">
      <c r="A390" s="6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outlineLevel="1">
      <c r="A391" s="6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idden="1" outlineLevel="2">
      <c r="A392" s="17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idden="1" outlineLevel="2">
      <c r="A393" s="17"/>
      <c r="B393" s="6"/>
      <c r="C393" s="6"/>
      <c r="D393" s="6"/>
      <c r="E393" s="6"/>
      <c r="F393" s="6"/>
      <c r="G393" s="61"/>
      <c r="H393" s="61"/>
      <c r="I393" s="61"/>
      <c r="J393" s="61"/>
      <c r="K393" s="61"/>
      <c r="L393" s="61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idden="1" outlineLevel="2">
      <c r="A394" s="6"/>
      <c r="B394" s="6"/>
      <c r="C394" s="6"/>
      <c r="D394" s="6"/>
      <c r="E394" s="6"/>
      <c r="F394" s="6"/>
      <c r="G394" s="61"/>
      <c r="H394" s="61"/>
      <c r="I394" s="61"/>
      <c r="J394" s="61"/>
      <c r="K394" s="61"/>
      <c r="L394" s="61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idden="1" outlineLevel="2">
      <c r="A395" s="17"/>
      <c r="B395" s="9"/>
      <c r="C395" s="9"/>
      <c r="D395" s="9"/>
      <c r="E395" s="10"/>
      <c r="F395" s="10"/>
      <c r="G395" s="10"/>
      <c r="H395" s="9"/>
      <c r="I395" s="9"/>
      <c r="J395" s="10"/>
      <c r="K395" s="10"/>
      <c r="L395" s="9"/>
      <c r="M395" s="10"/>
      <c r="N395" s="10"/>
      <c r="O395" s="10"/>
      <c r="P395" s="9"/>
      <c r="Q395" s="10"/>
      <c r="R395" s="10"/>
      <c r="S395" s="6"/>
      <c r="T395" s="6"/>
      <c r="U395" s="6"/>
      <c r="V395" s="6"/>
      <c r="W395" s="6"/>
      <c r="X395" s="10"/>
      <c r="Y395" s="6"/>
    </row>
    <row r="396" spans="1:25" hidden="1" outlineLevel="2">
      <c r="A396" s="1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idden="1" outlineLevel="2">
      <c r="A398" s="6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25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idden="1" outlineLevel="2">
      <c r="A400" s="6"/>
      <c r="B400" s="59"/>
      <c r="C400" s="59"/>
      <c r="D400" s="59"/>
      <c r="E400" s="59"/>
      <c r="F400" s="59"/>
      <c r="G400" s="59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6"/>
    </row>
    <row r="401" spans="1:30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30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45"/>
      <c r="Z402" s="45"/>
      <c r="AA402" s="45"/>
      <c r="AB402" s="45"/>
      <c r="AC402" s="45"/>
      <c r="AD402" s="45"/>
    </row>
    <row r="403" spans="1:30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30" hidden="1" outlineLevel="2">
      <c r="A404" s="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6"/>
      <c r="T404" s="6"/>
      <c r="U404" s="6"/>
      <c r="V404" s="6"/>
      <c r="W404" s="6"/>
      <c r="X404" s="45"/>
      <c r="Y404" s="6"/>
    </row>
    <row r="405" spans="1:30" hidden="1" outlineLevel="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30" hidden="1" outlineLevel="2">
      <c r="A406" s="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6"/>
      <c r="T406" s="6"/>
      <c r="U406" s="6"/>
      <c r="V406" s="6"/>
      <c r="W406" s="6"/>
      <c r="X406" s="45"/>
      <c r="Y406" s="45"/>
    </row>
    <row r="407" spans="1:30" hidden="1" outlineLevel="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30" hidden="1" outlineLevel="2">
      <c r="A408" s="6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6"/>
      <c r="T408" s="6"/>
      <c r="U408" s="6"/>
      <c r="V408" s="6"/>
      <c r="W408" s="6"/>
      <c r="X408" s="45"/>
      <c r="Y408" s="45"/>
    </row>
    <row r="409" spans="1:30" hidden="1" outlineLevel="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30" outlineLevel="1" collapsed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30" outlineLevel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30" outlineLevel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30" outlineLevel="1">
      <c r="A413" s="3"/>
      <c r="B413" s="3"/>
      <c r="C413" s="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30" outlineLevel="1">
      <c r="A414" s="17"/>
      <c r="B414" s="17"/>
      <c r="C414" s="1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30" outlineLevel="1">
      <c r="A415" s="17"/>
      <c r="B415" s="43"/>
      <c r="C415" s="43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30" outlineLevel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>
      <c r="A417" s="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outlineLevel="1">
      <c r="A418" s="17"/>
      <c r="B418" s="17"/>
      <c r="C418" s="1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outlineLevel="1">
      <c r="A419" s="44"/>
      <c r="B419" s="17"/>
      <c r="C419" s="17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17"/>
      <c r="C420" s="17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44"/>
      <c r="C421" s="44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44"/>
      <c r="B422" s="44"/>
      <c r="C422" s="44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44"/>
      <c r="B423" s="3"/>
      <c r="C423" s="3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6"/>
      <c r="B424" s="6"/>
      <c r="C424" s="6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17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17"/>
      <c r="C433" s="17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17"/>
      <c r="C434" s="17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44"/>
      <c r="B435" s="44"/>
      <c r="C435" s="44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4"/>
      <c r="C438" s="44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17"/>
      <c r="B439" s="17"/>
      <c r="C439" s="17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44"/>
      <c r="B440" s="46"/>
      <c r="C440" s="4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17"/>
      <c r="B441" s="17"/>
      <c r="C441" s="17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6"/>
      <c r="B442" s="6"/>
      <c r="C442" s="6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17"/>
      <c r="B443" s="17"/>
      <c r="C443" s="17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44"/>
      <c r="C445" s="44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44"/>
      <c r="B446" s="44"/>
      <c r="C446" s="44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44"/>
      <c r="B447" s="6"/>
      <c r="C447" s="6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17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17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44"/>
      <c r="B453" s="17"/>
      <c r="C453" s="17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44"/>
      <c r="B454" s="17"/>
      <c r="C454" s="17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3"/>
      <c r="B455" s="46"/>
      <c r="C455" s="4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17"/>
      <c r="C456" s="17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6"/>
      <c r="B457" s="6"/>
      <c r="C457" s="6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17"/>
      <c r="B459" s="43"/>
      <c r="C459" s="43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</row>
    <row r="460" spans="1:25" outlineLevel="1">
      <c r="A460" s="17"/>
      <c r="B460" s="43"/>
      <c r="C460" s="43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</row>
    <row r="461" spans="1:25" outlineLevel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3"/>
      <c r="B463" s="3"/>
      <c r="C463" s="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17"/>
      <c r="B464" s="17"/>
      <c r="C464" s="1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17"/>
      <c r="B465" s="43"/>
      <c r="C465" s="43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outlineLevel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outlineLevel="1">
      <c r="A467" s="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6"/>
      <c r="T467" s="6"/>
      <c r="U467" s="6"/>
      <c r="V467" s="6"/>
      <c r="W467" s="6"/>
      <c r="X467" s="6"/>
      <c r="Y467" s="6"/>
    </row>
    <row r="468" spans="1:25" outlineLevel="1">
      <c r="A468" s="17"/>
      <c r="B468" s="17"/>
      <c r="C468" s="17"/>
      <c r="D468" s="1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17"/>
      <c r="C469" s="17"/>
      <c r="D469" s="17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17"/>
      <c r="C470" s="17"/>
      <c r="D470" s="17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44"/>
      <c r="C471" s="44"/>
      <c r="D471" s="44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44"/>
      <c r="C472" s="44"/>
      <c r="D472" s="44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44"/>
      <c r="B473" s="3"/>
      <c r="C473" s="3"/>
      <c r="D473" s="3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3"/>
      <c r="C474" s="3"/>
      <c r="D474" s="3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17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17"/>
      <c r="C484" s="17"/>
      <c r="D484" s="17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17"/>
      <c r="C485" s="17"/>
      <c r="D485" s="17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44"/>
      <c r="B486" s="44"/>
      <c r="C486" s="44"/>
      <c r="D486" s="44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44"/>
      <c r="B487" s="44"/>
      <c r="C487" s="44"/>
      <c r="D487" s="44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17"/>
      <c r="B488" s="17"/>
      <c r="C488" s="17"/>
      <c r="D488" s="17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6"/>
      <c r="B489" s="17"/>
      <c r="C489" s="17"/>
      <c r="D489" s="17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44"/>
      <c r="B490" s="44"/>
      <c r="C490" s="44"/>
      <c r="D490" s="44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44"/>
      <c r="B492" s="46"/>
      <c r="C492" s="46"/>
      <c r="D492" s="46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17"/>
      <c r="C494" s="17"/>
      <c r="D494" s="17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17"/>
      <c r="C495" s="17"/>
      <c r="D495" s="17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6"/>
      <c r="T498" s="6"/>
      <c r="U498" s="6"/>
      <c r="V498" s="6"/>
      <c r="W498" s="6"/>
      <c r="X498" s="6"/>
      <c r="Y498" s="6"/>
    </row>
    <row r="499" spans="1:25" outlineLevel="1">
      <c r="A499" s="17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6"/>
      <c r="T499" s="6"/>
      <c r="U499" s="6"/>
      <c r="V499" s="6"/>
      <c r="W499" s="6"/>
      <c r="X499" s="6"/>
      <c r="Y499" s="6"/>
    </row>
    <row r="500" spans="1:25" outlineLevel="1">
      <c r="A500" s="17"/>
      <c r="B500" s="43"/>
      <c r="C500" s="43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6"/>
      <c r="T500" s="6"/>
      <c r="U500" s="6"/>
      <c r="V500" s="6"/>
      <c r="W500" s="6"/>
      <c r="X500" s="6"/>
      <c r="Y500" s="6"/>
    </row>
    <row r="501" spans="1:25" outlineLevel="1">
      <c r="A501" s="6"/>
      <c r="B501" s="43"/>
      <c r="C501" s="43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5"/>
      <c r="C502" s="45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6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6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6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17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6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6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17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17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outlineLevel="1">
      <c r="A514" s="6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outlineLevel="1">
      <c r="A515" s="6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outlineLevel="1">
      <c r="A516" s="6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spans="1:25" outlineLevel="1">
      <c r="A517" s="6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</row>
    <row r="518" spans="1:25" outlineLevel="1">
      <c r="A518" s="6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</row>
    <row r="519" spans="1:25" outlineLevel="1">
      <c r="A519" s="6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6"/>
      <c r="T522" s="6"/>
      <c r="U522" s="6"/>
      <c r="V522" s="6"/>
      <c r="W522" s="6"/>
      <c r="X522" s="6"/>
      <c r="Y522" s="6"/>
    </row>
    <row r="523" spans="1:25" outlineLevel="1">
      <c r="A523" s="17"/>
      <c r="B523" s="43"/>
      <c r="C523" s="43"/>
      <c r="D523" s="43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43"/>
      <c r="C524" s="43"/>
      <c r="D524" s="43"/>
      <c r="E524" s="6"/>
      <c r="F524" s="6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6"/>
      <c r="T524" s="6"/>
      <c r="U524" s="6"/>
      <c r="V524" s="6"/>
      <c r="W524" s="6"/>
      <c r="X524" s="6"/>
      <c r="Y524" s="6"/>
    </row>
    <row r="525" spans="1:25" outlineLevel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1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1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outlineLevel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outlineLevel="1">
      <c r="A530" s="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outlineLevel="1">
      <c r="A531" s="6"/>
      <c r="B531" s="6"/>
      <c r="C531" s="6"/>
      <c r="D531" s="6"/>
      <c r="E531" s="6"/>
      <c r="F531" s="6"/>
      <c r="G531" s="3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outlineLevel="1">
      <c r="A532" s="17"/>
      <c r="B532" s="6"/>
      <c r="C532" s="6"/>
      <c r="D532" s="6"/>
      <c r="E532" s="6"/>
      <c r="F532" s="6"/>
      <c r="G532" s="31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6"/>
      <c r="T534" s="6"/>
      <c r="U534" s="6"/>
      <c r="V534" s="6"/>
      <c r="W534" s="6"/>
      <c r="X534" s="6"/>
      <c r="Y534" s="6"/>
    </row>
    <row r="535" spans="1:25" outlineLevel="1">
      <c r="A535" s="6"/>
      <c r="B535" s="6"/>
      <c r="C535" s="6"/>
      <c r="D535" s="6"/>
      <c r="E535" s="6"/>
      <c r="F535" s="6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6"/>
      <c r="T535" s="6"/>
      <c r="U535" s="6"/>
      <c r="V535" s="6"/>
      <c r="W535" s="6"/>
      <c r="X535" s="6"/>
      <c r="Y535" s="6"/>
    </row>
    <row r="536" spans="1:25" outlineLevel="1">
      <c r="A536" s="6"/>
      <c r="B536" s="6"/>
      <c r="C536" s="6"/>
      <c r="D536" s="6"/>
      <c r="E536" s="6"/>
      <c r="F536" s="6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6"/>
      <c r="T536" s="6"/>
      <c r="U536" s="6"/>
      <c r="V536" s="6"/>
      <c r="W536" s="6"/>
      <c r="X536" s="6"/>
      <c r="Y536" s="6"/>
    </row>
    <row r="537" spans="1:25" outlineLevel="1">
      <c r="A537" s="188"/>
      <c r="B537" s="6"/>
      <c r="C537" s="6"/>
      <c r="D537" s="6"/>
      <c r="E537" s="6"/>
      <c r="F537" s="6"/>
      <c r="G537" s="31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6"/>
      <c r="T537" s="6"/>
      <c r="U537" s="6"/>
      <c r="V537" s="6"/>
      <c r="W537" s="6"/>
      <c r="X537" s="6"/>
      <c r="Y537" s="6"/>
    </row>
    <row r="538" spans="1:25" outlineLevel="1">
      <c r="A538" s="188"/>
      <c r="B538" s="6"/>
      <c r="C538" s="6"/>
      <c r="D538" s="6"/>
      <c r="E538" s="6"/>
      <c r="F538" s="6"/>
      <c r="G538" s="31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6"/>
      <c r="T538" s="6"/>
      <c r="U538" s="6"/>
      <c r="V538" s="6"/>
      <c r="W538" s="6"/>
      <c r="X538" s="6"/>
      <c r="Y538" s="6"/>
    </row>
    <row r="539" spans="1:25" outlineLevel="1">
      <c r="A539" s="17"/>
      <c r="B539" s="6"/>
      <c r="C539" s="6"/>
      <c r="D539" s="6"/>
      <c r="E539" s="6"/>
      <c r="F539" s="6"/>
      <c r="G539" s="3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6"/>
      <c r="B540" s="6"/>
      <c r="C540" s="6"/>
      <c r="D540" s="6"/>
      <c r="E540" s="6"/>
      <c r="F540" s="6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6"/>
      <c r="T540" s="6"/>
      <c r="U540" s="6"/>
      <c r="V540" s="6"/>
      <c r="W540" s="6"/>
      <c r="X540" s="6"/>
      <c r="Y540" s="6"/>
    </row>
    <row r="541" spans="1:25" outlineLevel="1">
      <c r="A541" s="6"/>
      <c r="B541" s="6"/>
      <c r="C541" s="6"/>
      <c r="D541" s="6"/>
      <c r="E541" s="6"/>
      <c r="F541" s="6"/>
      <c r="G541" s="3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outlineLevel="1">
      <c r="A542" s="17"/>
      <c r="B542" s="6"/>
      <c r="C542" s="6"/>
      <c r="D542" s="6"/>
      <c r="E542" s="6"/>
      <c r="F542" s="6"/>
      <c r="G542" s="31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14"/>
      <c r="C543" s="14"/>
      <c r="D543" s="6"/>
      <c r="E543" s="6"/>
      <c r="F543" s="6"/>
      <c r="G543" s="31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6"/>
      <c r="T543" s="6"/>
      <c r="U543" s="6"/>
      <c r="V543" s="6"/>
      <c r="W543" s="6"/>
      <c r="X543" s="6"/>
      <c r="Y543" s="6"/>
    </row>
    <row r="544" spans="1:25" outlineLevel="1">
      <c r="A544" s="17"/>
      <c r="B544" s="6"/>
      <c r="C544" s="6"/>
      <c r="D544" s="6"/>
      <c r="E544" s="6"/>
      <c r="F544" s="6"/>
      <c r="G544" s="31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6"/>
      <c r="T544" s="6"/>
      <c r="U544" s="6"/>
      <c r="V544" s="6"/>
      <c r="W544" s="6"/>
      <c r="X544" s="6"/>
      <c r="Y544" s="6"/>
    </row>
    <row r="545" spans="1:25" outlineLevel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outlineLevel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s="67" customFormat="1" outlineLevel="1">
      <c r="A547" s="66"/>
      <c r="B547" s="66"/>
      <c r="C547" s="66"/>
      <c r="D547" s="66"/>
      <c r="E547" s="66"/>
      <c r="F547" s="66"/>
      <c r="G547" s="66"/>
    </row>
    <row r="548" spans="1:25" s="67" customFormat="1" outlineLevel="1">
      <c r="A548" s="66"/>
      <c r="B548" s="66"/>
      <c r="C548" s="66"/>
      <c r="D548" s="66"/>
      <c r="E548" s="66"/>
      <c r="F548" s="68"/>
      <c r="G548" s="69"/>
      <c r="H548" s="66"/>
      <c r="I548" s="70"/>
    </row>
    <row r="549" spans="1:25" s="67" customFormat="1" outlineLevel="1">
      <c r="A549" s="66"/>
      <c r="B549" s="69"/>
      <c r="C549" s="69"/>
      <c r="D549" s="69"/>
      <c r="E549" s="69"/>
      <c r="F549" s="71"/>
      <c r="G549" s="47"/>
      <c r="H549" s="47"/>
      <c r="I549" s="70"/>
    </row>
    <row r="550" spans="1:25" s="67" customFormat="1" outlineLevel="1">
      <c r="A550" s="66"/>
      <c r="B550" s="47"/>
      <c r="C550" s="47"/>
      <c r="D550" s="47"/>
      <c r="E550" s="47"/>
      <c r="F550" s="47"/>
      <c r="G550" s="70"/>
      <c r="H550" s="47"/>
      <c r="I550" s="71"/>
    </row>
    <row r="551" spans="1:25" s="67" customFormat="1" outlineLevel="1">
      <c r="A551" s="72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</row>
    <row r="552" spans="1:25" s="67" customFormat="1" outlineLevel="1">
      <c r="A552" s="40"/>
      <c r="B552" s="66"/>
      <c r="C552" s="66"/>
      <c r="D552" s="66"/>
      <c r="E552" s="66"/>
      <c r="F552" s="66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66"/>
      <c r="C553" s="66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9"/>
      <c r="B554" s="74"/>
      <c r="C554" s="74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39"/>
      <c r="B555" s="155"/>
      <c r="C555" s="155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38"/>
      <c r="B556" s="72"/>
      <c r="C556" s="72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2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40"/>
      <c r="B558" s="66"/>
      <c r="C558" s="66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76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42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76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76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40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40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39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39"/>
      <c r="B575" s="77"/>
      <c r="C575" s="77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</row>
    <row r="576" spans="1:25" s="67" customFormat="1" outlineLevel="1">
      <c r="A576" s="40"/>
      <c r="B576" s="77"/>
      <c r="C576" s="77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outlineLevel="1">
      <c r="A577" s="39"/>
      <c r="B577" s="77"/>
      <c r="C577" s="77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</row>
    <row r="578" spans="1:25" s="67" customFormat="1" outlineLevel="1">
      <c r="A578" s="39"/>
      <c r="B578" s="80"/>
      <c r="C578" s="80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ht="13.9" customHeight="1" outlineLevel="1">
      <c r="A579" s="38"/>
      <c r="B579" s="80"/>
      <c r="C579" s="80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8"/>
      <c r="B581" s="74"/>
      <c r="C581" s="74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74"/>
      <c r="C582" s="74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74"/>
      <c r="C583" s="74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39"/>
      <c r="B584" s="74"/>
      <c r="C584" s="74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39"/>
      <c r="B585" s="74"/>
      <c r="C585" s="74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40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40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66"/>
      <c r="C592" s="66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39"/>
      <c r="B593" s="66"/>
      <c r="C593" s="66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9"/>
      <c r="B594" s="82"/>
      <c r="C594" s="82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39"/>
      <c r="B595" s="82"/>
      <c r="C595" s="82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38"/>
      <c r="B596" s="80"/>
      <c r="C596" s="80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66"/>
      <c r="C598" s="66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66"/>
      <c r="C599" s="66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s="67" customFormat="1" outlineLevel="1">
      <c r="A601" s="40"/>
      <c r="B601" s="80"/>
      <c r="C601" s="80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</row>
    <row r="602" spans="1:25" s="67" customFormat="1" outlineLevel="1">
      <c r="A602" s="40"/>
      <c r="B602" s="80"/>
      <c r="C602" s="80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3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1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83"/>
      <c r="B608" s="6"/>
      <c r="C608" s="6"/>
      <c r="D608" s="6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6"/>
      <c r="R608" s="6"/>
      <c r="S608" s="6"/>
      <c r="T608" s="6"/>
      <c r="U608" s="6"/>
      <c r="V608" s="6"/>
      <c r="W608" s="6"/>
      <c r="X608" s="6"/>
      <c r="Y608" s="6"/>
    </row>
    <row r="609" spans="1:25" outlineLevel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outlineLevel="1">
      <c r="A610" s="3"/>
      <c r="B610" s="3"/>
      <c r="C610" s="3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1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44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44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6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17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44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44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6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44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6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6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idden="1" outlineLevel="2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idden="1" outlineLevel="2">
      <c r="A635" s="44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 collapsed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17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17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6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6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 outlineLevel="1">
      <c r="A643" s="17"/>
      <c r="B643" s="6"/>
      <c r="C643" s="6"/>
      <c r="D643" s="6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 outlineLevel="1">
      <c r="A644" s="17"/>
      <c r="B644" s="6"/>
      <c r="C644" s="6"/>
      <c r="D644" s="6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45"/>
      <c r="I648" s="45"/>
      <c r="J648" s="45"/>
      <c r="K648" s="45"/>
      <c r="L648" s="45"/>
      <c r="M648" s="45"/>
      <c r="N648" s="45"/>
      <c r="O648" s="45"/>
      <c r="P648" s="45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45"/>
      <c r="I649" s="45"/>
      <c r="J649" s="45"/>
      <c r="K649" s="45"/>
      <c r="L649" s="45"/>
      <c r="M649" s="45"/>
      <c r="N649" s="45"/>
      <c r="O649" s="45"/>
      <c r="P649" s="45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D855"/>
  <sheetViews>
    <sheetView zoomScale="75" zoomScaleNormal="75" workbookViewId="0">
      <selection activeCell="C1" sqref="C1:D1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8.2851562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89</v>
      </c>
      <c r="C1" s="418">
        <v>75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AA10" s="355">
        <f t="shared" ref="AA10:AA38" si="1">SUM(F10:Y10)</f>
        <v>0</v>
      </c>
      <c r="AB10" s="356">
        <f>AA10*$C$60</f>
        <v>0</v>
      </c>
    </row>
    <row r="11" spans="1:28">
      <c r="A11" s="4" t="s">
        <v>8</v>
      </c>
      <c r="B11" s="9"/>
      <c r="C11" s="9"/>
      <c r="D11" s="86">
        <v>1</v>
      </c>
      <c r="E11" s="163">
        <f>[13]Financials!F$11</f>
        <v>7887.7039230034952</v>
      </c>
      <c r="F11" s="163">
        <f>[13]Financials!G$11</f>
        <v>7887.7039230034952</v>
      </c>
      <c r="G11" s="163">
        <f>[13]Financials!H$11</f>
        <v>7887.7039230034952</v>
      </c>
      <c r="H11" s="163">
        <f>[13]Financials!I$11</f>
        <v>7887.7039230034952</v>
      </c>
      <c r="I11" s="163">
        <f>[13]Financials!J$11</f>
        <v>7887.7039230034952</v>
      </c>
      <c r="J11" s="163">
        <f>[13]Financials!K$11</f>
        <v>7887.7039230034952</v>
      </c>
      <c r="K11" s="163">
        <f>[13]Financials!L$11</f>
        <v>7887.7039230034952</v>
      </c>
      <c r="L11" s="163">
        <f>[13]Financials!M$11</f>
        <v>7887.7039230034952</v>
      </c>
      <c r="M11" s="163">
        <f>[13]Financials!N$11</f>
        <v>7887.7039230034952</v>
      </c>
      <c r="N11" s="163">
        <f>[13]Financials!O$11</f>
        <v>7887.7039230034952</v>
      </c>
      <c r="O11" s="163">
        <f>[13]Financials!P$11</f>
        <v>7887.7039230034952</v>
      </c>
      <c r="P11" s="163">
        <f>[13]Financials!Q$11</f>
        <v>7887.7039230034952</v>
      </c>
      <c r="Q11" s="163">
        <f>[13]Financials!R$11</f>
        <v>7887.7039230034952</v>
      </c>
      <c r="R11" s="163">
        <f>[13]Financials!S$11</f>
        <v>7887.7039230034952</v>
      </c>
      <c r="S11" s="163">
        <f>[13]Financials!T$11</f>
        <v>7887.7039230034952</v>
      </c>
      <c r="T11" s="163">
        <f>[13]Financials!U$11</f>
        <v>7887.7039230034952</v>
      </c>
      <c r="U11" s="163">
        <f>[13]Financials!V$11</f>
        <v>7887.7039230034952</v>
      </c>
      <c r="V11" s="163">
        <f>[13]Financials!W$11</f>
        <v>7887.7039230034952</v>
      </c>
      <c r="W11" s="163">
        <f>[13]Financials!X$11</f>
        <v>7887.7039230034952</v>
      </c>
      <c r="X11" s="163">
        <f>[13]Financials!Y$11</f>
        <v>3911.4367399003631</v>
      </c>
      <c r="Y11" s="163">
        <f>[13]Financials!Z$11</f>
        <v>0</v>
      </c>
      <c r="AA11" s="355">
        <f t="shared" si="1"/>
        <v>145890.10735396328</v>
      </c>
      <c r="AB11" s="356">
        <f t="shared" ref="AB11:AB74" si="2">AA11*$C$60</f>
        <v>145890.10735396328</v>
      </c>
    </row>
    <row r="12" spans="1:28">
      <c r="A12" s="4" t="s">
        <v>9</v>
      </c>
      <c r="B12" s="9"/>
      <c r="C12" s="9"/>
      <c r="D12" s="86">
        <v>1</v>
      </c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AA12" s="355">
        <f t="shared" si="1"/>
        <v>0</v>
      </c>
      <c r="AB12" s="356">
        <f t="shared" si="2"/>
        <v>0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7887.7039230034952</v>
      </c>
      <c r="F20" s="86">
        <f t="shared" si="3"/>
        <v>7887.7039230034952</v>
      </c>
      <c r="G20" s="86">
        <f t="shared" si="3"/>
        <v>7887.7039230034952</v>
      </c>
      <c r="H20" s="86">
        <f t="shared" si="3"/>
        <v>7887.7039230034952</v>
      </c>
      <c r="I20" s="86">
        <f t="shared" si="3"/>
        <v>7887.7039230034952</v>
      </c>
      <c r="J20" s="86">
        <f t="shared" si="3"/>
        <v>7887.7039230034952</v>
      </c>
      <c r="K20" s="86">
        <f t="shared" si="3"/>
        <v>7887.7039230034952</v>
      </c>
      <c r="L20" s="86">
        <f t="shared" si="3"/>
        <v>7887.7039230034952</v>
      </c>
      <c r="M20" s="86">
        <f t="shared" si="3"/>
        <v>7887.7039230034952</v>
      </c>
      <c r="N20" s="86">
        <f t="shared" si="3"/>
        <v>7887.7039230034952</v>
      </c>
      <c r="O20" s="86">
        <f t="shared" si="3"/>
        <v>7887.7039230034952</v>
      </c>
      <c r="P20" s="86">
        <f t="shared" si="3"/>
        <v>7887.7039230034952</v>
      </c>
      <c r="Q20" s="86">
        <f t="shared" si="3"/>
        <v>7887.7039230034952</v>
      </c>
      <c r="R20" s="86">
        <f t="shared" si="3"/>
        <v>7887.7039230034952</v>
      </c>
      <c r="S20" s="86">
        <f t="shared" si="3"/>
        <v>7887.7039230034952</v>
      </c>
      <c r="T20" s="86">
        <f t="shared" si="3"/>
        <v>7887.7039230034952</v>
      </c>
      <c r="U20" s="86">
        <f t="shared" si="3"/>
        <v>7887.7039230034952</v>
      </c>
      <c r="V20" s="86">
        <f t="shared" si="3"/>
        <v>7887.7039230034952</v>
      </c>
      <c r="W20" s="86">
        <f t="shared" si="3"/>
        <v>7887.7039230034952</v>
      </c>
      <c r="X20" s="86">
        <f t="shared" si="3"/>
        <v>3911.4367399003631</v>
      </c>
      <c r="Y20" s="86">
        <f t="shared" si="3"/>
        <v>0</v>
      </c>
      <c r="AA20" s="355">
        <f t="shared" si="1"/>
        <v>145890.10735396328</v>
      </c>
      <c r="AB20" s="356">
        <f t="shared" si="2"/>
        <v>145890.10735396328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12.739153304975989</v>
      </c>
      <c r="F23" s="417">
        <f>F25/$C$1</f>
        <v>14.446939971642657</v>
      </c>
      <c r="G23" s="417">
        <f>G25/$C$1</f>
        <v>15.669861038309321</v>
      </c>
      <c r="H23" s="417">
        <f>H25/$C$1</f>
        <v>15.91315252630932</v>
      </c>
      <c r="I23" s="417">
        <f t="shared" ref="I23:Y23" si="4">I25/$C$1</f>
        <v>16.161309844069322</v>
      </c>
      <c r="J23" s="417">
        <f t="shared" si="4"/>
        <v>16.414430308184521</v>
      </c>
      <c r="K23" s="417">
        <f t="shared" si="4"/>
        <v>16.672613181582026</v>
      </c>
      <c r="L23" s="417">
        <f t="shared" si="4"/>
        <v>16.935959712447477</v>
      </c>
      <c r="M23" s="417">
        <f t="shared" si="4"/>
        <v>17.204573173930246</v>
      </c>
      <c r="N23" s="417">
        <f t="shared" si="4"/>
        <v>17.478558904642661</v>
      </c>
      <c r="O23" s="417">
        <f t="shared" si="4"/>
        <v>17.758024349969332</v>
      </c>
      <c r="P23" s="417">
        <f t="shared" si="4"/>
        <v>18.043079104202533</v>
      </c>
      <c r="Q23" s="417">
        <f t="shared" si="4"/>
        <v>18.333834953520398</v>
      </c>
      <c r="R23" s="417">
        <f t="shared" si="4"/>
        <v>18.630405919824618</v>
      </c>
      <c r="S23" s="417">
        <f t="shared" si="4"/>
        <v>18.932908305454927</v>
      </c>
      <c r="T23" s="417">
        <f t="shared" si="4"/>
        <v>19.241460738797837</v>
      </c>
      <c r="U23" s="417">
        <f t="shared" si="4"/>
        <v>19.556184220807609</v>
      </c>
      <c r="V23" s="417">
        <f t="shared" si="4"/>
        <v>19.877202172457576</v>
      </c>
      <c r="W23" s="417">
        <f t="shared" si="4"/>
        <v>20.204640483140537</v>
      </c>
      <c r="X23" s="417">
        <f t="shared" si="4"/>
        <v>10.021568202645927</v>
      </c>
      <c r="Y23" s="417">
        <f t="shared" si="4"/>
        <v>0</v>
      </c>
      <c r="AA23" s="355">
        <f t="shared" si="1"/>
        <v>327.49670711193886</v>
      </c>
      <c r="AB23" s="356">
        <f t="shared" si="2"/>
        <v>327.49670711193886</v>
      </c>
    </row>
    <row r="24" spans="1:28">
      <c r="A24" s="4" t="s">
        <v>36</v>
      </c>
      <c r="D24" s="86">
        <v>0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[13]Financials!F$14+[13]Financials!F$16+[13]Financials!F$17+[13]Financials!F$23</f>
        <v>955.43649787319919</v>
      </c>
      <c r="F25" s="163">
        <f>[13]Financials!G$14+[13]Financials!G$16+[13]Financials!G$17+[13]Financials!G$23</f>
        <v>1083.5204978731992</v>
      </c>
      <c r="G25" s="163">
        <f>[13]Financials!H$14+[13]Financials!H$16+[13]Financials!H$17+[13]Financials!H$23</f>
        <v>1175.2395778731991</v>
      </c>
      <c r="H25" s="163">
        <f>[13]Financials!I$14+[13]Financials!I$16+[13]Financials!I$17+[13]Financials!I$23</f>
        <v>1193.486439473199</v>
      </c>
      <c r="I25" s="163">
        <f>[13]Financials!J$14+[13]Financials!J$16+[13]Financials!J$17+[13]Financials!J$23</f>
        <v>1212.0982383051992</v>
      </c>
      <c r="J25" s="163">
        <f>[13]Financials!K$14+[13]Financials!K$16+[13]Financials!K$17+[13]Financials!K$23</f>
        <v>1231.0822731138392</v>
      </c>
      <c r="K25" s="163">
        <f>[13]Financials!L$14+[13]Financials!L$16+[13]Financials!L$17+[13]Financials!L$23</f>
        <v>1250.4459886186519</v>
      </c>
      <c r="L25" s="163">
        <f>[13]Financials!M$14+[13]Financials!M$16+[13]Financials!M$17+[13]Financials!M$23</f>
        <v>1270.1969784335608</v>
      </c>
      <c r="M25" s="163">
        <f>[13]Financials!N$14+[13]Financials!N$16+[13]Financials!N$17+[13]Financials!N$23</f>
        <v>1290.3429880447684</v>
      </c>
      <c r="N25" s="163">
        <f>[13]Financials!O$14+[13]Financials!O$16+[13]Financials!O$17+[13]Financials!O$23</f>
        <v>1310.8919178481997</v>
      </c>
      <c r="O25" s="163">
        <f>[13]Financials!P$14+[13]Financials!P$16+[13]Financials!P$17+[13]Financials!P$23</f>
        <v>1331.8518262476998</v>
      </c>
      <c r="P25" s="163">
        <f>[13]Financials!Q$14+[13]Financials!Q$16+[13]Financials!Q$17+[13]Financials!Q$23</f>
        <v>1353.23093281519</v>
      </c>
      <c r="Q25" s="163">
        <f>[13]Financials!R$14+[13]Financials!R$16+[13]Financials!R$17+[13]Financials!R$23</f>
        <v>1375.0376215140298</v>
      </c>
      <c r="R25" s="163">
        <f>[13]Financials!S$14+[13]Financials!S$16+[13]Financials!S$17+[13]Financials!S$23</f>
        <v>1397.2804439868464</v>
      </c>
      <c r="S25" s="163">
        <f>[13]Financials!T$14+[13]Financials!T$16+[13]Financials!T$17+[13]Financials!T$23</f>
        <v>1419.9681229091195</v>
      </c>
      <c r="T25" s="163">
        <f>[13]Financials!U$14+[13]Financials!U$16+[13]Financials!U$17+[13]Financials!U$23</f>
        <v>1443.1095554098379</v>
      </c>
      <c r="U25" s="163">
        <f>[13]Financials!V$14+[13]Financials!V$16+[13]Financials!V$17+[13]Financials!V$23</f>
        <v>1466.7138165605706</v>
      </c>
      <c r="V25" s="163">
        <f>[13]Financials!W$14+[13]Financials!W$16+[13]Financials!W$17+[13]Financials!W$23</f>
        <v>1490.7901629343182</v>
      </c>
      <c r="W25" s="163">
        <f>[13]Financials!X$14+[13]Financials!X$16+[13]Financials!X$17+[13]Financials!X$23</f>
        <v>1515.3480362355403</v>
      </c>
      <c r="X25" s="163">
        <f>[13]Financials!Y$14+[13]Financials!Y$16+[13]Financials!Y$17+[13]Financials!Y$23</f>
        <v>751.61761519844447</v>
      </c>
      <c r="Y25" s="163">
        <f>[13]Financials!Z$14+[13]Financials!Z$16+[13]Financials!Z$17+[13]Financials!Z$23</f>
        <v>0</v>
      </c>
      <c r="AA25" s="355">
        <f t="shared" si="1"/>
        <v>24562.253033395413</v>
      </c>
      <c r="AB25" s="356">
        <f t="shared" si="2"/>
        <v>24562.253033395413</v>
      </c>
    </row>
    <row r="26" spans="1:28">
      <c r="A26" s="4" t="s">
        <v>16</v>
      </c>
      <c r="D26" s="86">
        <v>0</v>
      </c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>
        <f>[13]Financials!F$18</f>
        <v>218.28</v>
      </c>
      <c r="F28" s="163">
        <f>[13]Financials!G$18</f>
        <v>222.6456</v>
      </c>
      <c r="G28" s="163">
        <f>[13]Financials!H$18</f>
        <v>227.098512</v>
      </c>
      <c r="H28" s="163">
        <f>[13]Financials!I$18</f>
        <v>231.64048224000001</v>
      </c>
      <c r="I28" s="163">
        <f>[13]Financials!J$18</f>
        <v>236.27329188480002</v>
      </c>
      <c r="J28" s="163">
        <f>[13]Financials!K$18</f>
        <v>240.99875772249601</v>
      </c>
      <c r="K28" s="163">
        <f>[13]Financials!L$18</f>
        <v>245.81873287694594</v>
      </c>
      <c r="L28" s="163">
        <f>[13]Financials!M$18</f>
        <v>250.73510753448485</v>
      </c>
      <c r="M28" s="163">
        <f>[13]Financials!N$18</f>
        <v>255.74980968517457</v>
      </c>
      <c r="N28" s="163">
        <f>[13]Financials!O$18</f>
        <v>260.86480587887809</v>
      </c>
      <c r="O28" s="163">
        <f>[13]Financials!P$18</f>
        <v>266.08210199645566</v>
      </c>
      <c r="P28" s="163">
        <f>[13]Financials!Q$18</f>
        <v>271.40374403638481</v>
      </c>
      <c r="Q28" s="163">
        <f>[13]Financials!R$18</f>
        <v>276.83181891711251</v>
      </c>
      <c r="R28" s="163">
        <f>[13]Financials!S$18</f>
        <v>282.36845529545479</v>
      </c>
      <c r="S28" s="163">
        <f>[13]Financials!T$18</f>
        <v>288.01582440136389</v>
      </c>
      <c r="T28" s="163">
        <f>[13]Financials!U$18</f>
        <v>293.77614088939117</v>
      </c>
      <c r="U28" s="163">
        <f>[13]Financials!V$18</f>
        <v>299.65166370717901</v>
      </c>
      <c r="V28" s="163">
        <f>[13]Financials!W$18</f>
        <v>305.64469698132262</v>
      </c>
      <c r="W28" s="163">
        <f>[13]Financials!X$18</f>
        <v>311.7575909209491</v>
      </c>
      <c r="X28" s="163">
        <f>[13]Financials!Y$18</f>
        <v>157.6895518789743</v>
      </c>
      <c r="Y28" s="163">
        <f>[13]Financials!Z$18</f>
        <v>0</v>
      </c>
      <c r="AA28" s="355">
        <f t="shared" si="1"/>
        <v>4925.0466888473666</v>
      </c>
      <c r="AB28" s="356">
        <f t="shared" si="2"/>
        <v>4925.0466888473666</v>
      </c>
    </row>
    <row r="29" spans="1:28">
      <c r="A29" s="4" t="s">
        <v>3</v>
      </c>
      <c r="D29" s="86">
        <v>0</v>
      </c>
      <c r="E29" s="163">
        <f>[13]Financials!F$19+[13]Financials!F$21+[13]Financials!F$26</f>
        <v>98.289999999999992</v>
      </c>
      <c r="F29" s="163">
        <f>[13]Financials!G$19+[13]Financials!G$21+[13]Financials!G$26</f>
        <v>100.9785</v>
      </c>
      <c r="G29" s="163">
        <f>[13]Financials!H$19+[13]Financials!H$21+[13]Financials!H$26</f>
        <v>101.81081999999999</v>
      </c>
      <c r="H29" s="163">
        <f>[13]Financials!I$19+[13]Financials!I$21+[13]Financials!I$26</f>
        <v>104.5322864</v>
      </c>
      <c r="I29" s="163">
        <f>[13]Financials!J$19+[13]Financials!J$21+[13]Financials!J$26</f>
        <v>105.398232128</v>
      </c>
      <c r="J29" s="163">
        <f>[13]Financials!K$19+[13]Financials!K$21+[13]Financials!K$26</f>
        <v>106.28149677056</v>
      </c>
      <c r="K29" s="163">
        <f>[13]Financials!L$19+[13]Financials!L$21+[13]Financials!L$26</f>
        <v>107.1824267059712</v>
      </c>
      <c r="L29" s="163">
        <f>[13]Financials!M$19+[13]Financials!M$21+[13]Financials!M$26</f>
        <v>108.10137524009063</v>
      </c>
      <c r="M29" s="163">
        <f>[13]Financials!N$19+[13]Financials!N$21+[13]Financials!N$26</f>
        <v>109.03870274489243</v>
      </c>
      <c r="N29" s="163">
        <f>[13]Financials!O$19+[13]Financials!O$21+[13]Financials!O$26</f>
        <v>109.99477679979029</v>
      </c>
      <c r="O29" s="163">
        <f>[13]Financials!P$19+[13]Financials!P$21+[13]Financials!P$26</f>
        <v>110.9699723357861</v>
      </c>
      <c r="P29" s="163">
        <f>[13]Financials!Q$19+[13]Financials!Q$21+[13]Financials!Q$26</f>
        <v>111.96467178250181</v>
      </c>
      <c r="Q29" s="163">
        <f>[13]Financials!R$19+[13]Financials!R$21+[13]Financials!R$26</f>
        <v>112.97926521815185</v>
      </c>
      <c r="R29" s="163">
        <f>[13]Financials!S$19+[13]Financials!S$21+[13]Financials!S$26</f>
        <v>114.0141505225149</v>
      </c>
      <c r="S29" s="163">
        <f>[13]Financials!T$19+[13]Financials!T$21+[13]Financials!T$26</f>
        <v>65.069733532965188</v>
      </c>
      <c r="T29" s="163">
        <f>[13]Financials!U$19+[13]Financials!U$21+[13]Financials!U$26</f>
        <v>66.146428203624495</v>
      </c>
      <c r="U29" s="163">
        <f>[13]Financials!V$19+[13]Financials!V$21+[13]Financials!V$26</f>
        <v>67.244656767696995</v>
      </c>
      <c r="V29" s="163">
        <f>[13]Financials!W$19+[13]Financials!W$21+[13]Financials!W$26</f>
        <v>68.364849903050924</v>
      </c>
      <c r="W29" s="163">
        <f>[13]Financials!X$19+[13]Financials!X$21+[13]Financials!X$26</f>
        <v>69.507446901111948</v>
      </c>
      <c r="X29" s="163">
        <f>[13]Financials!Y$19+[13]Financials!Y$21+[13]Financials!Y$26</f>
        <v>40.709682594200785</v>
      </c>
      <c r="Y29" s="163">
        <f>[13]Financials!Z$19+[13]Financials!Z$21+[13]Financials!Z$26</f>
        <v>0</v>
      </c>
      <c r="AA29" s="355">
        <f t="shared" si="1"/>
        <v>1780.2894745509097</v>
      </c>
      <c r="AB29" s="356">
        <f t="shared" si="2"/>
        <v>1780.2894745509097</v>
      </c>
    </row>
    <row r="30" spans="1:28">
      <c r="A30" s="4" t="s">
        <v>38</v>
      </c>
      <c r="D30" s="86">
        <v>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86">
        <v>0</v>
      </c>
      <c r="E31" s="163">
        <f>[13]Financials!F$15</f>
        <v>690.83100139663145</v>
      </c>
      <c r="F31" s="163">
        <f>[13]Financials!G$15</f>
        <v>886.86923439410748</v>
      </c>
      <c r="G31" s="163">
        <f>[13]Financials!H$15</f>
        <v>877.80467317729426</v>
      </c>
      <c r="H31" s="163">
        <f>[13]Financials!I$15</f>
        <v>807.67946593346528</v>
      </c>
      <c r="I31" s="163">
        <f>[13]Financials!J$15</f>
        <v>1051.07719579011</v>
      </c>
      <c r="J31" s="163">
        <f>[13]Financials!K$15</f>
        <v>975.83416170030864</v>
      </c>
      <c r="K31" s="163">
        <f>[13]Financials!L$15</f>
        <v>877.21946219874621</v>
      </c>
      <c r="L31" s="163">
        <f>[13]Financials!M$15</f>
        <v>775.91354638111875</v>
      </c>
      <c r="M31" s="163">
        <f>[13]Financials!N$15</f>
        <v>669.68288014120481</v>
      </c>
      <c r="N31" s="163">
        <f>[13]Financials!O$15</f>
        <v>677.28907528784657</v>
      </c>
      <c r="O31" s="163">
        <f>[13]Financials!P$15</f>
        <v>587.14949253974191</v>
      </c>
      <c r="P31" s="163">
        <f>[13]Financials!Q$15</f>
        <v>544.80002444308423</v>
      </c>
      <c r="Q31" s="163">
        <f>[13]Financials!R$15</f>
        <v>539.76509437772245</v>
      </c>
      <c r="R31" s="163">
        <f>[13]Financials!S$15</f>
        <v>535.69296973017526</v>
      </c>
      <c r="S31" s="163">
        <f>[13]Financials!T$15</f>
        <v>532.05622947890674</v>
      </c>
      <c r="T31" s="163">
        <f>[13]Financials!U$15</f>
        <v>528.64998684919738</v>
      </c>
      <c r="U31" s="163">
        <f>[13]Financials!V$15</f>
        <v>525.37179845368769</v>
      </c>
      <c r="V31" s="163">
        <f>[13]Financials!W$15</f>
        <v>522.22166429237757</v>
      </c>
      <c r="W31" s="163">
        <f>[13]Financials!X$15</f>
        <v>519.19958436526713</v>
      </c>
      <c r="X31" s="163">
        <f>[13]Financials!Y$15</f>
        <v>390.77354269660418</v>
      </c>
      <c r="Y31" s="163">
        <f>[13]Financials!Z$15</f>
        <v>0</v>
      </c>
      <c r="AA31" s="355">
        <f t="shared" si="1"/>
        <v>12825.050082230968</v>
      </c>
      <c r="AB31" s="356">
        <f t="shared" si="2"/>
        <v>12825.050082230968</v>
      </c>
    </row>
    <row r="32" spans="1:28">
      <c r="A32" s="4" t="s">
        <v>34</v>
      </c>
      <c r="D32" s="86">
        <v>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>
        <f>[13]Financials!F$22</f>
        <v>102</v>
      </c>
      <c r="F34" s="163">
        <f>[13]Financials!G$22</f>
        <v>104.04</v>
      </c>
      <c r="G34" s="163">
        <f>[13]Financials!H$22</f>
        <v>106.1208</v>
      </c>
      <c r="H34" s="163">
        <f>[13]Financials!I$22</f>
        <v>108.243216</v>
      </c>
      <c r="I34" s="163">
        <f>[13]Financials!J$22</f>
        <v>110.40808032000001</v>
      </c>
      <c r="J34" s="163">
        <f>[13]Financials!K$22</f>
        <v>112.61624192640001</v>
      </c>
      <c r="K34" s="163">
        <f>[13]Financials!L$22</f>
        <v>114.868566764928</v>
      </c>
      <c r="L34" s="163">
        <f>[13]Financials!M$22</f>
        <v>117.16593810022657</v>
      </c>
      <c r="M34" s="163">
        <f>[13]Financials!N$22</f>
        <v>119.5092568622311</v>
      </c>
      <c r="N34" s="163">
        <f>[13]Financials!O$22</f>
        <v>121.89944199947573</v>
      </c>
      <c r="O34" s="163">
        <f>[13]Financials!P$22</f>
        <v>124.33743083946524</v>
      </c>
      <c r="P34" s="163">
        <f>[13]Financials!Q$22</f>
        <v>126.82417945625456</v>
      </c>
      <c r="Q34" s="163">
        <f>[13]Financials!R$22</f>
        <v>129.36066304537965</v>
      </c>
      <c r="R34" s="163">
        <f>[13]Financials!S$22</f>
        <v>131.94787630628724</v>
      </c>
      <c r="S34" s="163">
        <f>[13]Financials!T$22</f>
        <v>134.58683383241299</v>
      </c>
      <c r="T34" s="163">
        <f>[13]Financials!U$22</f>
        <v>137.27857050906127</v>
      </c>
      <c r="U34" s="163">
        <f>[13]Financials!V$22</f>
        <v>140.02414191924251</v>
      </c>
      <c r="V34" s="163">
        <f>[13]Financials!W$22</f>
        <v>142.82462475762736</v>
      </c>
      <c r="W34" s="163">
        <f>[13]Financials!X$22</f>
        <v>145.6811172527799</v>
      </c>
      <c r="X34" s="163">
        <f>[13]Financials!Y$22</f>
        <v>73.686706485501986</v>
      </c>
      <c r="Y34" s="163">
        <f>[13]Financials!Z$22</f>
        <v>0</v>
      </c>
      <c r="AA34" s="355">
        <f t="shared" si="1"/>
        <v>2301.423686377274</v>
      </c>
      <c r="AB34" s="356">
        <f t="shared" si="2"/>
        <v>2301.423686377274</v>
      </c>
    </row>
    <row r="35" spans="1:28">
      <c r="A35" s="4" t="s">
        <v>19</v>
      </c>
      <c r="B35" s="6"/>
      <c r="C35" s="6"/>
      <c r="D35" s="87">
        <v>0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2064.8374992698305</v>
      </c>
      <c r="F36" s="86">
        <f t="shared" si="5"/>
        <v>2398.0538322673065</v>
      </c>
      <c r="G36" s="86">
        <f t="shared" si="5"/>
        <v>2488.0743830504935</v>
      </c>
      <c r="H36" s="86">
        <f t="shared" si="5"/>
        <v>2445.5818900466638</v>
      </c>
      <c r="I36" s="86">
        <f t="shared" si="5"/>
        <v>2715.2550384281089</v>
      </c>
      <c r="J36" s="86">
        <f t="shared" si="5"/>
        <v>2666.8129312336041</v>
      </c>
      <c r="K36" s="86">
        <f t="shared" si="5"/>
        <v>2595.5351771652431</v>
      </c>
      <c r="L36" s="86">
        <f t="shared" si="5"/>
        <v>2522.1129456894814</v>
      </c>
      <c r="M36" s="86">
        <f t="shared" si="5"/>
        <v>2444.3236374782714</v>
      </c>
      <c r="N36" s="86">
        <f t="shared" si="5"/>
        <v>2480.94001781419</v>
      </c>
      <c r="O36" s="86">
        <f t="shared" si="5"/>
        <v>2420.3908239591483</v>
      </c>
      <c r="P36" s="86">
        <f t="shared" si="5"/>
        <v>2408.2235525334154</v>
      </c>
      <c r="Q36" s="86">
        <f t="shared" si="5"/>
        <v>2433.9744630723962</v>
      </c>
      <c r="R36" s="86">
        <f t="shared" si="5"/>
        <v>2461.3038958412785</v>
      </c>
      <c r="S36" s="86">
        <f t="shared" si="5"/>
        <v>2439.6967441547681</v>
      </c>
      <c r="T36" s="86">
        <f t="shared" si="5"/>
        <v>2468.9606818611123</v>
      </c>
      <c r="U36" s="86">
        <f t="shared" si="5"/>
        <v>2499.0060774083768</v>
      </c>
      <c r="V36" s="86">
        <f t="shared" si="5"/>
        <v>2529.8459988686964</v>
      </c>
      <c r="W36" s="86">
        <f t="shared" si="5"/>
        <v>2561.4937756756485</v>
      </c>
      <c r="X36" s="86">
        <f t="shared" si="5"/>
        <v>1414.4770988537257</v>
      </c>
      <c r="Y36" s="86">
        <f t="shared" si="5"/>
        <v>0</v>
      </c>
      <c r="AA36" s="355">
        <f t="shared" si="1"/>
        <v>46394.062965401929</v>
      </c>
      <c r="AB36" s="356">
        <f t="shared" si="2"/>
        <v>46394.062965401929</v>
      </c>
    </row>
    <row r="37" spans="1:28" outlineLevel="1">
      <c r="A37" s="4"/>
      <c r="B37" s="92"/>
      <c r="C37" s="92"/>
      <c r="D37" s="86"/>
      <c r="E37" s="416">
        <f>E36/E20</f>
        <v>0.2617792857624881</v>
      </c>
      <c r="F37" s="416">
        <f t="shared" ref="F37:Y37" si="6">F36/F20</f>
        <v>0.30402432135842278</v>
      </c>
      <c r="G37" s="416">
        <f t="shared" si="6"/>
        <v>0.31543709136879972</v>
      </c>
      <c r="H37" s="416">
        <f t="shared" si="6"/>
        <v>0.31004990982412922</v>
      </c>
      <c r="I37" s="416">
        <f t="shared" si="6"/>
        <v>0.34423896547503635</v>
      </c>
      <c r="J37" s="416">
        <f t="shared" si="6"/>
        <v>0.33809749418410345</v>
      </c>
      <c r="K37" s="416">
        <f t="shared" si="6"/>
        <v>0.3290609285670183</v>
      </c>
      <c r="L37" s="416">
        <f t="shared" si="6"/>
        <v>0.31975248694795155</v>
      </c>
      <c r="M37" s="416">
        <f t="shared" si="6"/>
        <v>0.30989038905855854</v>
      </c>
      <c r="N37" s="416">
        <f t="shared" si="6"/>
        <v>0.31453259935110406</v>
      </c>
      <c r="O37" s="416">
        <f t="shared" si="6"/>
        <v>0.3068561963767914</v>
      </c>
      <c r="P37" s="416">
        <f t="shared" si="6"/>
        <v>0.30531363449255933</v>
      </c>
      <c r="Q37" s="416">
        <f t="shared" si="6"/>
        <v>0.30857832479918729</v>
      </c>
      <c r="R37" s="416">
        <f t="shared" si="6"/>
        <v>0.31204313953306434</v>
      </c>
      <c r="S37" s="416">
        <f t="shared" si="6"/>
        <v>0.30930379334342151</v>
      </c>
      <c r="T37" s="416">
        <f t="shared" si="6"/>
        <v>0.31301386385215341</v>
      </c>
      <c r="U37" s="416">
        <f t="shared" si="6"/>
        <v>0.31682300727849838</v>
      </c>
      <c r="V37" s="416">
        <f t="shared" si="6"/>
        <v>0.32073288038750025</v>
      </c>
      <c r="W37" s="416">
        <f t="shared" si="6"/>
        <v>0.32474517307950346</v>
      </c>
      <c r="X37" s="416">
        <f t="shared" si="6"/>
        <v>0.36162596838770733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5822.8664237336652</v>
      </c>
      <c r="F39" s="89">
        <f t="shared" si="7"/>
        <v>5489.6500907361888</v>
      </c>
      <c r="G39" s="89">
        <f t="shared" si="7"/>
        <v>5399.6295399530018</v>
      </c>
      <c r="H39" s="89">
        <f t="shared" si="7"/>
        <v>5442.1220329568314</v>
      </c>
      <c r="I39" s="89">
        <f t="shared" si="7"/>
        <v>5172.4488845753858</v>
      </c>
      <c r="J39" s="89">
        <f t="shared" si="7"/>
        <v>5220.8909917698911</v>
      </c>
      <c r="K39" s="89">
        <f t="shared" si="7"/>
        <v>5292.1687458382521</v>
      </c>
      <c r="L39" s="89">
        <f t="shared" si="7"/>
        <v>5365.5909773140138</v>
      </c>
      <c r="M39" s="89">
        <f t="shared" si="7"/>
        <v>5443.3802855252234</v>
      </c>
      <c r="N39" s="89">
        <f t="shared" si="7"/>
        <v>5406.7639051893057</v>
      </c>
      <c r="O39" s="89">
        <f t="shared" si="7"/>
        <v>5467.3130990443469</v>
      </c>
      <c r="P39" s="89">
        <f t="shared" si="7"/>
        <v>5479.4803704700798</v>
      </c>
      <c r="Q39" s="89">
        <f t="shared" si="7"/>
        <v>5453.729459931099</v>
      </c>
      <c r="R39" s="89">
        <f t="shared" si="7"/>
        <v>5426.4000271622172</v>
      </c>
      <c r="S39" s="89">
        <f t="shared" si="7"/>
        <v>5448.0071788487276</v>
      </c>
      <c r="T39" s="89">
        <f t="shared" si="7"/>
        <v>5418.7432411423833</v>
      </c>
      <c r="U39" s="89">
        <f t="shared" si="7"/>
        <v>5388.6978455951185</v>
      </c>
      <c r="V39" s="89">
        <f t="shared" si="7"/>
        <v>5357.8579241347988</v>
      </c>
      <c r="W39" s="89">
        <f t="shared" si="7"/>
        <v>5326.2101473278472</v>
      </c>
      <c r="X39" s="89">
        <f t="shared" si="7"/>
        <v>2496.9596410466374</v>
      </c>
      <c r="Y39" s="89">
        <f t="shared" si="7"/>
        <v>0</v>
      </c>
      <c r="AA39" s="355">
        <f>SUM(F39:Y39)</f>
        <v>99496.044388561349</v>
      </c>
      <c r="AB39" s="356">
        <f t="shared" si="2"/>
        <v>99496.044388561349</v>
      </c>
    </row>
    <row r="40" spans="1:28" s="17" customFormat="1">
      <c r="A40" s="1"/>
      <c r="B40" s="1"/>
      <c r="C40" s="413"/>
      <c r="D40" s="89"/>
      <c r="E40" s="89"/>
      <c r="F40" s="414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2992</v>
      </c>
      <c r="G41" s="86">
        <f t="shared" ref="G41:Y41" si="9">+G109</f>
        <v>2992</v>
      </c>
      <c r="H41" s="86">
        <f t="shared" si="9"/>
        <v>2992</v>
      </c>
      <c r="I41" s="86">
        <f t="shared" si="9"/>
        <v>2992</v>
      </c>
      <c r="J41" s="86">
        <f t="shared" si="9"/>
        <v>2992</v>
      </c>
      <c r="K41" s="86">
        <f t="shared" si="9"/>
        <v>2992</v>
      </c>
      <c r="L41" s="86">
        <f t="shared" si="9"/>
        <v>2992</v>
      </c>
      <c r="M41" s="86">
        <f t="shared" si="9"/>
        <v>2992</v>
      </c>
      <c r="N41" s="86">
        <f t="shared" si="9"/>
        <v>2992</v>
      </c>
      <c r="O41" s="86">
        <f t="shared" si="9"/>
        <v>2992</v>
      </c>
      <c r="P41" s="86">
        <f t="shared" si="9"/>
        <v>2992</v>
      </c>
      <c r="Q41" s="86">
        <f t="shared" si="9"/>
        <v>2992</v>
      </c>
      <c r="R41" s="86">
        <f t="shared" si="9"/>
        <v>2992</v>
      </c>
      <c r="S41" s="86">
        <f t="shared" si="9"/>
        <v>2992</v>
      </c>
      <c r="T41" s="86">
        <f t="shared" si="9"/>
        <v>2992</v>
      </c>
      <c r="U41" s="86">
        <f t="shared" si="9"/>
        <v>2992</v>
      </c>
      <c r="V41" s="86">
        <f t="shared" si="9"/>
        <v>2992</v>
      </c>
      <c r="W41" s="86">
        <f t="shared" si="9"/>
        <v>2992</v>
      </c>
      <c r="X41" s="86">
        <f t="shared" si="9"/>
        <v>2992</v>
      </c>
      <c r="Y41" s="86">
        <f t="shared" si="9"/>
        <v>0</v>
      </c>
      <c r="AA41" s="355">
        <f t="shared" si="8"/>
        <v>56848</v>
      </c>
      <c r="AB41" s="356">
        <f t="shared" si="2"/>
        <v>56848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5822.8664237336652</v>
      </c>
      <c r="F44" s="89">
        <f t="shared" si="10"/>
        <v>2497.6500907361888</v>
      </c>
      <c r="G44" s="89">
        <f t="shared" si="10"/>
        <v>2407.6295399530018</v>
      </c>
      <c r="H44" s="89">
        <f t="shared" si="10"/>
        <v>2450.1220329568314</v>
      </c>
      <c r="I44" s="89">
        <f t="shared" si="10"/>
        <v>2180.4488845753858</v>
      </c>
      <c r="J44" s="89">
        <f t="shared" si="10"/>
        <v>2228.8909917698911</v>
      </c>
      <c r="K44" s="89">
        <f t="shared" si="10"/>
        <v>2300.1687458382521</v>
      </c>
      <c r="L44" s="89">
        <f t="shared" si="10"/>
        <v>2373.5909773140138</v>
      </c>
      <c r="M44" s="89">
        <f t="shared" si="10"/>
        <v>2451.3802855252234</v>
      </c>
      <c r="N44" s="89">
        <f t="shared" si="10"/>
        <v>2414.7639051893057</v>
      </c>
      <c r="O44" s="89">
        <f t="shared" si="10"/>
        <v>2475.3130990443469</v>
      </c>
      <c r="P44" s="89">
        <f t="shared" si="10"/>
        <v>2487.4803704700798</v>
      </c>
      <c r="Q44" s="89">
        <f t="shared" si="10"/>
        <v>2461.729459931099</v>
      </c>
      <c r="R44" s="89">
        <f t="shared" si="10"/>
        <v>2434.4000271622172</v>
      </c>
      <c r="S44" s="89">
        <f t="shared" si="10"/>
        <v>2456.0071788487276</v>
      </c>
      <c r="T44" s="89">
        <f t="shared" si="10"/>
        <v>2426.7432411423833</v>
      </c>
      <c r="U44" s="89">
        <f t="shared" si="10"/>
        <v>2396.6978455951185</v>
      </c>
      <c r="V44" s="89">
        <f t="shared" si="10"/>
        <v>2365.8579241347988</v>
      </c>
      <c r="W44" s="89">
        <f t="shared" si="10"/>
        <v>2334.2101473278472</v>
      </c>
      <c r="X44" s="89">
        <f t="shared" si="10"/>
        <v>-495.04035895336256</v>
      </c>
      <c r="Y44" s="89">
        <f t="shared" si="10"/>
        <v>0</v>
      </c>
      <c r="AA44" s="355">
        <f t="shared" si="8"/>
        <v>42648.044388561349</v>
      </c>
      <c r="AB44" s="356">
        <f t="shared" si="2"/>
        <v>42648.044388561349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163">
        <f>-[13]Financials!F$34</f>
        <v>3333.2306249999997</v>
      </c>
      <c r="F46" s="163">
        <f>-[13]Financials!G$34</f>
        <v>3164.484375</v>
      </c>
      <c r="G46" s="163">
        <f>-[13]Financials!H$34</f>
        <v>3010.0791666666664</v>
      </c>
      <c r="H46" s="163">
        <f>-[13]Financials!I$34</f>
        <v>2848.0216666666665</v>
      </c>
      <c r="I46" s="163">
        <f>-[13]Financials!J$34</f>
        <v>2679.4631250000002</v>
      </c>
      <c r="J46" s="163">
        <f>-[13]Financials!K$34</f>
        <v>2491.4495833333331</v>
      </c>
      <c r="K46" s="163">
        <f>-[13]Financials!L$34</f>
        <v>2291.5235416666665</v>
      </c>
      <c r="L46" s="163">
        <f>-[13]Financials!M$34</f>
        <v>2072.6241666666665</v>
      </c>
      <c r="M46" s="163">
        <f>-[13]Financials!N$34</f>
        <v>1837.2437500000001</v>
      </c>
      <c r="N46" s="163">
        <f>-[13]Financials!O$34</f>
        <v>1584.3795833333331</v>
      </c>
      <c r="O46" s="163">
        <f>-[13]Financials!P$34</f>
        <v>1384.3679166666666</v>
      </c>
      <c r="P46" s="163">
        <f>-[13]Financials!Q$34</f>
        <v>1198.1310416666665</v>
      </c>
      <c r="Q46" s="163">
        <f>-[13]Financials!R$34</f>
        <v>998.64625000000001</v>
      </c>
      <c r="R46" s="163">
        <f>-[13]Financials!S$34</f>
        <v>777.1810416666666</v>
      </c>
      <c r="S46" s="163">
        <f>-[13]Financials!T$34</f>
        <v>543</v>
      </c>
      <c r="T46" s="163">
        <f>-[13]Financials!U$34</f>
        <v>292.46916666666664</v>
      </c>
      <c r="U46" s="163">
        <f>-[13]Financials!V$34</f>
        <v>47.008124999999993</v>
      </c>
      <c r="V46" s="163">
        <f>-[13]Financials!W$34</f>
        <v>0</v>
      </c>
      <c r="W46" s="163">
        <f>-[13]Financials!X$34</f>
        <v>0</v>
      </c>
      <c r="X46" s="163">
        <f>-[13]Financials!Y$34</f>
        <v>0</v>
      </c>
      <c r="Y46" s="163">
        <f>-[13]Financials!Z$34</f>
        <v>0</v>
      </c>
      <c r="AA46" s="355">
        <f t="shared" si="8"/>
        <v>27220.072499999998</v>
      </c>
      <c r="AB46" s="356">
        <f t="shared" si="2"/>
        <v>27220.072499999998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2489.6357987336655</v>
      </c>
      <c r="F49" s="89">
        <f t="shared" si="11"/>
        <v>-666.83428426381124</v>
      </c>
      <c r="G49" s="89">
        <f t="shared" si="11"/>
        <v>-602.44962671366466</v>
      </c>
      <c r="H49" s="89">
        <f t="shared" si="11"/>
        <v>-397.89963370983514</v>
      </c>
      <c r="I49" s="89">
        <f t="shared" si="11"/>
        <v>-499.0142404246144</v>
      </c>
      <c r="J49" s="89">
        <f t="shared" si="11"/>
        <v>-262.55859156344195</v>
      </c>
      <c r="K49" s="89">
        <f t="shared" si="11"/>
        <v>8.6452041715856467</v>
      </c>
      <c r="L49" s="89">
        <f t="shared" si="11"/>
        <v>300.9668106473473</v>
      </c>
      <c r="M49" s="89">
        <f t="shared" si="11"/>
        <v>614.13653552522328</v>
      </c>
      <c r="N49" s="89">
        <f t="shared" si="11"/>
        <v>830.38432185597253</v>
      </c>
      <c r="O49" s="89">
        <f t="shared" si="11"/>
        <v>1090.9451823776803</v>
      </c>
      <c r="P49" s="89">
        <f t="shared" si="11"/>
        <v>1289.3493288034133</v>
      </c>
      <c r="Q49" s="89">
        <f t="shared" si="11"/>
        <v>1463.083209931099</v>
      </c>
      <c r="R49" s="89">
        <f t="shared" si="11"/>
        <v>1657.2189854955504</v>
      </c>
      <c r="S49" s="89">
        <f t="shared" si="11"/>
        <v>1913.0071788487276</v>
      </c>
      <c r="T49" s="89">
        <f t="shared" si="11"/>
        <v>2134.2740744757166</v>
      </c>
      <c r="U49" s="89">
        <f t="shared" si="11"/>
        <v>2349.6897205951186</v>
      </c>
      <c r="V49" s="89">
        <f t="shared" si="11"/>
        <v>2365.8579241347988</v>
      </c>
      <c r="W49" s="89">
        <f t="shared" si="11"/>
        <v>2334.2101473278472</v>
      </c>
      <c r="X49" s="89">
        <f t="shared" si="11"/>
        <v>-495.04035895336256</v>
      </c>
      <c r="Y49" s="89">
        <f t="shared" si="11"/>
        <v>0</v>
      </c>
      <c r="AA49" s="355">
        <f t="shared" si="8"/>
        <v>15427.971888561351</v>
      </c>
      <c r="AB49" s="356">
        <f t="shared" si="2"/>
        <v>15427.971888561351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7">
        <v>0</v>
      </c>
      <c r="D51" s="86"/>
      <c r="E51" s="86">
        <f t="shared" ref="E51:Y51" si="12">E49*-$C$51</f>
        <v>0</v>
      </c>
      <c r="F51" s="86">
        <f t="shared" si="12"/>
        <v>0</v>
      </c>
      <c r="G51" s="51">
        <f t="shared" si="12"/>
        <v>0</v>
      </c>
      <c r="H51" s="86">
        <f t="shared" si="12"/>
        <v>0</v>
      </c>
      <c r="I51" s="86">
        <f t="shared" si="12"/>
        <v>0</v>
      </c>
      <c r="J51" s="86">
        <f t="shared" si="12"/>
        <v>0</v>
      </c>
      <c r="K51" s="86">
        <f t="shared" si="12"/>
        <v>0</v>
      </c>
      <c r="L51" s="86">
        <f t="shared" si="12"/>
        <v>0</v>
      </c>
      <c r="M51" s="86">
        <f t="shared" si="12"/>
        <v>0</v>
      </c>
      <c r="N51" s="86">
        <f t="shared" si="12"/>
        <v>0</v>
      </c>
      <c r="O51" s="86">
        <f t="shared" si="12"/>
        <v>0</v>
      </c>
      <c r="P51" s="86">
        <f t="shared" si="12"/>
        <v>0</v>
      </c>
      <c r="Q51" s="86">
        <f t="shared" si="12"/>
        <v>0</v>
      </c>
      <c r="R51" s="86">
        <f t="shared" si="12"/>
        <v>0</v>
      </c>
      <c r="S51" s="86">
        <f t="shared" si="12"/>
        <v>0</v>
      </c>
      <c r="T51" s="86">
        <f t="shared" si="12"/>
        <v>0</v>
      </c>
      <c r="U51" s="86">
        <f t="shared" si="12"/>
        <v>0</v>
      </c>
      <c r="V51" s="86">
        <f t="shared" si="12"/>
        <v>0</v>
      </c>
      <c r="W51" s="86">
        <f t="shared" si="12"/>
        <v>0</v>
      </c>
      <c r="X51" s="86">
        <f t="shared" si="12"/>
        <v>0</v>
      </c>
      <c r="Y51" s="86">
        <f t="shared" si="12"/>
        <v>0</v>
      </c>
      <c r="AA51" s="355">
        <f t="shared" si="8"/>
        <v>0</v>
      </c>
      <c r="AB51" s="356">
        <f t="shared" si="2"/>
        <v>0</v>
      </c>
    </row>
    <row r="52" spans="1:28">
      <c r="A52" s="4" t="s">
        <v>27</v>
      </c>
      <c r="C52" s="168">
        <v>0.35</v>
      </c>
      <c r="D52" s="85"/>
      <c r="E52" s="85">
        <f>((E49+E51)*-$C$52)+E56</f>
        <v>4224.482360832244</v>
      </c>
      <c r="F52" s="85">
        <f t="shared" ref="F52:Y52" si="13">((F49+F51)*-$C$52)+F56</f>
        <v>5329.2468898813604</v>
      </c>
      <c r="G52" s="85">
        <f t="shared" si="13"/>
        <v>5306.7122597388097</v>
      </c>
      <c r="H52" s="85">
        <f t="shared" si="13"/>
        <v>5518.2228116535262</v>
      </c>
      <c r="I52" s="85">
        <f t="shared" si="13"/>
        <v>5553.6129240036989</v>
      </c>
      <c r="J52" s="85">
        <f t="shared" si="13"/>
        <v>5753.9564963683461</v>
      </c>
      <c r="K52" s="85">
        <f t="shared" si="13"/>
        <v>5659.0351678610859</v>
      </c>
      <c r="L52" s="85">
        <f t="shared" si="13"/>
        <v>5556.7226055945694</v>
      </c>
      <c r="M52" s="85">
        <f t="shared" si="13"/>
        <v>5730.2162513533704</v>
      </c>
      <c r="N52" s="85">
        <f t="shared" si="13"/>
        <v>355.40757226996362</v>
      </c>
      <c r="O52" s="85">
        <f t="shared" si="13"/>
        <v>-381.83081383218808</v>
      </c>
      <c r="P52" s="85">
        <f t="shared" si="13"/>
        <v>-451.27226508119463</v>
      </c>
      <c r="Q52" s="85">
        <f t="shared" si="13"/>
        <v>-512.07912347588456</v>
      </c>
      <c r="R52" s="85">
        <f t="shared" si="13"/>
        <v>-580.02664492344263</v>
      </c>
      <c r="S52" s="85">
        <f t="shared" si="13"/>
        <v>-669.5525125970546</v>
      </c>
      <c r="T52" s="85">
        <f t="shared" si="13"/>
        <v>-746.99592606650072</v>
      </c>
      <c r="U52" s="85">
        <f t="shared" si="13"/>
        <v>-822.39140220829142</v>
      </c>
      <c r="V52" s="85">
        <f t="shared" si="13"/>
        <v>-828.05027344717951</v>
      </c>
      <c r="W52" s="85">
        <f t="shared" si="13"/>
        <v>-816.97355156474646</v>
      </c>
      <c r="X52" s="85">
        <f t="shared" si="13"/>
        <v>173.26412563367688</v>
      </c>
      <c r="Y52" s="85">
        <f t="shared" si="13"/>
        <v>0</v>
      </c>
      <c r="AA52" s="355">
        <f t="shared" si="8"/>
        <v>39127.224591161932</v>
      </c>
      <c r="AB52" s="356">
        <f t="shared" si="2"/>
        <v>39127.224591161932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6714.1181595659091</v>
      </c>
      <c r="F54" s="89">
        <f t="shared" si="14"/>
        <v>4662.4126056175492</v>
      </c>
      <c r="G54" s="89">
        <f t="shared" si="14"/>
        <v>4704.2626330251451</v>
      </c>
      <c r="H54" s="89">
        <f t="shared" si="14"/>
        <v>5120.323177943691</v>
      </c>
      <c r="I54" s="89">
        <f t="shared" si="14"/>
        <v>5054.5986835790845</v>
      </c>
      <c r="J54" s="89">
        <f t="shared" si="14"/>
        <v>5491.3979048049041</v>
      </c>
      <c r="K54" s="89">
        <f t="shared" si="14"/>
        <v>5667.6803720326716</v>
      </c>
      <c r="L54" s="89">
        <f t="shared" si="14"/>
        <v>5857.6894162419167</v>
      </c>
      <c r="M54" s="89">
        <f t="shared" si="14"/>
        <v>6344.3527868785932</v>
      </c>
      <c r="N54" s="89">
        <f t="shared" si="14"/>
        <v>1185.7918941259361</v>
      </c>
      <c r="O54" s="89">
        <f t="shared" si="14"/>
        <v>709.1143685454922</v>
      </c>
      <c r="P54" s="89">
        <f t="shared" si="14"/>
        <v>838.07706372221867</v>
      </c>
      <c r="Q54" s="89">
        <f t="shared" si="14"/>
        <v>951.00408645521441</v>
      </c>
      <c r="R54" s="89">
        <f t="shared" si="14"/>
        <v>1077.1923405721077</v>
      </c>
      <c r="S54" s="89">
        <f t="shared" si="14"/>
        <v>1243.454666251673</v>
      </c>
      <c r="T54" s="89">
        <f t="shared" si="14"/>
        <v>1387.2781484092159</v>
      </c>
      <c r="U54" s="89">
        <f t="shared" si="14"/>
        <v>1527.2983183868273</v>
      </c>
      <c r="V54" s="89">
        <f t="shared" si="14"/>
        <v>1537.8076506876193</v>
      </c>
      <c r="W54" s="89">
        <f t="shared" si="14"/>
        <v>1517.2365957631007</v>
      </c>
      <c r="X54" s="89">
        <f t="shared" si="14"/>
        <v>-321.77623331968567</v>
      </c>
      <c r="Y54" s="89">
        <f t="shared" si="14"/>
        <v>0</v>
      </c>
      <c r="AA54" s="355">
        <f t="shared" si="8"/>
        <v>54555.196479723272</v>
      </c>
      <c r="AB54" s="356">
        <f t="shared" si="2"/>
        <v>54555.196479723272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f>[13]Tax!F$46</f>
        <v>5095.8548903890269</v>
      </c>
      <c r="F56" s="169">
        <f>[13]Tax!G$46</f>
        <v>5095.8548903890269</v>
      </c>
      <c r="G56" s="169">
        <f>[13]Tax!H$46</f>
        <v>5095.8548903890269</v>
      </c>
      <c r="H56" s="169">
        <f>[13]Tax!I$46</f>
        <v>5378.9579398550841</v>
      </c>
      <c r="I56" s="169">
        <f>[13]Tax!J$46</f>
        <v>5378.9579398550841</v>
      </c>
      <c r="J56" s="169">
        <f>[13]Tax!K$46</f>
        <v>5662.0609893211413</v>
      </c>
      <c r="K56" s="169">
        <f>[13]Tax!L$46</f>
        <v>5662.0609893211413</v>
      </c>
      <c r="L56" s="169">
        <f>[13]Tax!M$46</f>
        <v>5662.0609893211413</v>
      </c>
      <c r="M56" s="169">
        <f>[13]Tax!N$46</f>
        <v>5945.1640387871985</v>
      </c>
      <c r="N56" s="169">
        <f>[13]Tax!O$46</f>
        <v>646.04208491955399</v>
      </c>
      <c r="O56" s="169">
        <f>[13]Tax!P$46</f>
        <v>0</v>
      </c>
      <c r="P56" s="169">
        <f>[13]Tax!Q$46</f>
        <v>0</v>
      </c>
      <c r="Q56" s="169">
        <f>[13]Tax!R$46</f>
        <v>0</v>
      </c>
      <c r="R56" s="169">
        <f>[13]Tax!S$46</f>
        <v>0</v>
      </c>
      <c r="S56" s="169">
        <f>[13]Tax!T$46</f>
        <v>0</v>
      </c>
      <c r="T56" s="169">
        <f>[13]Tax!U$46</f>
        <v>0</v>
      </c>
      <c r="U56" s="169">
        <f>[13]Tax!V$46</f>
        <v>0</v>
      </c>
      <c r="V56" s="169">
        <f>[13]Tax!W$46</f>
        <v>0</v>
      </c>
      <c r="W56" s="169">
        <f>[13]Tax!X$46</f>
        <v>0</v>
      </c>
      <c r="X56" s="169">
        <f>[13]Tax!Y$46</f>
        <v>0</v>
      </c>
      <c r="Y56" s="169">
        <f>[13]Tax!Z$46</f>
        <v>0</v>
      </c>
      <c r="AA56" s="355">
        <f t="shared" si="8"/>
        <v>44527.014752158393</v>
      </c>
      <c r="AB56" s="356">
        <f t="shared" si="2"/>
        <v>44527.014752158393</v>
      </c>
    </row>
    <row r="57" spans="1:28" outlineLevel="1">
      <c r="A57" s="12"/>
      <c r="C57" s="413"/>
      <c r="D57" s="419" t="s">
        <v>181</v>
      </c>
      <c r="E57" s="420">
        <f>E56/(0.017*C1*8760)</f>
        <v>0.45624987826922964</v>
      </c>
      <c r="F57" s="16"/>
      <c r="G57" s="16"/>
      <c r="H57" s="16"/>
      <c r="I57" s="16"/>
      <c r="J57" s="16"/>
      <c r="K57" s="16"/>
      <c r="L57" s="16"/>
      <c r="M57" s="16"/>
      <c r="N57" s="423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1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40210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5822.8664237336652</v>
      </c>
      <c r="F64" s="16">
        <f t="shared" si="16"/>
        <v>5489.6500907361888</v>
      </c>
      <c r="G64" s="20">
        <f t="shared" si="16"/>
        <v>5399.6295399530018</v>
      </c>
      <c r="H64" s="16">
        <f t="shared" si="16"/>
        <v>5442.1220329568314</v>
      </c>
      <c r="I64" s="16">
        <f t="shared" si="16"/>
        <v>5172.4488845753858</v>
      </c>
      <c r="J64" s="16">
        <f t="shared" si="16"/>
        <v>5220.8909917698911</v>
      </c>
      <c r="K64" s="16">
        <f t="shared" si="16"/>
        <v>5292.1687458382521</v>
      </c>
      <c r="L64" s="16">
        <f t="shared" si="16"/>
        <v>5365.5909773140138</v>
      </c>
      <c r="M64" s="16">
        <f t="shared" si="16"/>
        <v>5443.3802855252234</v>
      </c>
      <c r="N64" s="16">
        <f t="shared" si="16"/>
        <v>5406.7639051893057</v>
      </c>
      <c r="O64" s="16">
        <f t="shared" si="16"/>
        <v>5467.3130990443469</v>
      </c>
      <c r="P64" s="16">
        <f t="shared" si="16"/>
        <v>5479.4803704700798</v>
      </c>
      <c r="Q64" s="16">
        <f t="shared" si="16"/>
        <v>5453.729459931099</v>
      </c>
      <c r="R64" s="16">
        <f t="shared" si="16"/>
        <v>5426.4000271622172</v>
      </c>
      <c r="S64" s="16">
        <f t="shared" si="16"/>
        <v>5448.0071788487276</v>
      </c>
      <c r="T64" s="16">
        <f t="shared" si="16"/>
        <v>5418.7432411423833</v>
      </c>
      <c r="U64" s="16">
        <f t="shared" si="16"/>
        <v>5388.6978455951185</v>
      </c>
      <c r="V64" s="16">
        <f t="shared" si="16"/>
        <v>5357.8579241347988</v>
      </c>
      <c r="W64" s="16">
        <f t="shared" si="16"/>
        <v>5326.2101473278472</v>
      </c>
      <c r="X64" s="16">
        <f t="shared" si="16"/>
        <v>2496.9596410466374</v>
      </c>
      <c r="Y64" s="16">
        <f t="shared" si="16"/>
        <v>0</v>
      </c>
      <c r="AA64" s="355">
        <f t="shared" si="8"/>
        <v>99496.044388561349</v>
      </c>
      <c r="AB64" s="356">
        <f t="shared" si="2"/>
        <v>99496.044388561349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171">
        <f>[13]Financials!F$34+[13]Financials!F$100</f>
        <v>-5454.2306250000001</v>
      </c>
      <c r="F66" s="171">
        <f>[13]Financials!G$34+[13]Financials!G$100</f>
        <v>-5182.484375</v>
      </c>
      <c r="G66" s="171">
        <f>[13]Financials!H$34+[13]Financials!H$100</f>
        <v>-5080.0791666666664</v>
      </c>
      <c r="H66" s="171">
        <f>[13]Financials!I$34+[13]Financials!I$100</f>
        <v>-5167.0216666666665</v>
      </c>
      <c r="I66" s="171">
        <f>[13]Financials!J$34+[13]Financials!J$100</f>
        <v>-4988.4631250000002</v>
      </c>
      <c r="J66" s="171">
        <f>[13]Financials!K$34+[13]Financials!K$100</f>
        <v>-5060.4495833333331</v>
      </c>
      <c r="K66" s="171">
        <f>[13]Financials!L$34+[13]Financials!L$100</f>
        <v>-5105.5235416666665</v>
      </c>
      <c r="L66" s="171">
        <f>[13]Financials!M$34+[13]Financials!M$100</f>
        <v>-5149.6241666666665</v>
      </c>
      <c r="M66" s="171">
        <f>[13]Financials!N$34+[13]Financials!N$100</f>
        <v>-5272.2437499999996</v>
      </c>
      <c r="N66" s="171">
        <f>[13]Financials!O$34+[13]Financials!O$100</f>
        <v>-4291.3795833333334</v>
      </c>
      <c r="O66" s="171">
        <f>[13]Financials!P$34+[13]Financials!P$100</f>
        <v>-3781.3679166666666</v>
      </c>
      <c r="P66" s="171">
        <f>[13]Financials!Q$34+[13]Financials!Q$100</f>
        <v>-3807.1310416666665</v>
      </c>
      <c r="Q66" s="171">
        <f>[13]Financials!R$34+[13]Financials!R$100</f>
        <v>-3822.6462499999998</v>
      </c>
      <c r="R66" s="171">
        <f>[13]Financials!S$34+[13]Financials!S$100</f>
        <v>-3805.1810416666667</v>
      </c>
      <c r="S66" s="171">
        <f>[13]Financials!T$34+[13]Financials!T$100</f>
        <v>-3782</v>
      </c>
      <c r="T66" s="171">
        <f>[13]Financials!U$34+[13]Financials!U$100</f>
        <v>-3758.4691666666668</v>
      </c>
      <c r="U66" s="171">
        <f>[13]Financials!V$34+[13]Financials!V$100</f>
        <v>-1280.0081250000001</v>
      </c>
      <c r="V66" s="171">
        <f>[13]Financials!W$34+[13]Financials!W$100</f>
        <v>0</v>
      </c>
      <c r="W66" s="171">
        <f>[13]Financials!X$34+[13]Financials!X$100</f>
        <v>0</v>
      </c>
      <c r="X66" s="171">
        <f>[13]Financials!Y$34+[13]Financials!Y$100</f>
        <v>0</v>
      </c>
      <c r="Y66" s="171">
        <f>[13]Financials!Z$34+[13]Financials!Z$100</f>
        <v>0</v>
      </c>
      <c r="AA66" s="355">
        <f t="shared" si="8"/>
        <v>-69334.072499999995</v>
      </c>
      <c r="AB66" s="356">
        <f t="shared" si="2"/>
        <v>-69334.072499999995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416">
        <f>-E64/E66</f>
        <v>1.0675871308125451</v>
      </c>
      <c r="F68" s="416">
        <f t="shared" ref="F68:Y68" si="17">-F64/F66</f>
        <v>1.0592699743038181</v>
      </c>
      <c r="G68" s="416">
        <f t="shared" si="17"/>
        <v>1.0629026365146217</v>
      </c>
      <c r="H68" s="416">
        <f t="shared" si="17"/>
        <v>1.0532415739738201</v>
      </c>
      <c r="I68" s="416">
        <f t="shared" si="17"/>
        <v>1.0368822531038326</v>
      </c>
      <c r="J68" s="416">
        <f t="shared" si="17"/>
        <v>1.031704971227255</v>
      </c>
      <c r="K68" s="416">
        <f t="shared" si="17"/>
        <v>1.0365575053465832</v>
      </c>
      <c r="L68" s="416">
        <f t="shared" si="17"/>
        <v>1.0419383635888018</v>
      </c>
      <c r="M68" s="416">
        <f t="shared" si="17"/>
        <v>1.0324599058086463</v>
      </c>
      <c r="N68" s="416">
        <f t="shared" si="17"/>
        <v>1.2599127623638449</v>
      </c>
      <c r="O68" s="416">
        <f t="shared" si="17"/>
        <v>1.4458558964724773</v>
      </c>
      <c r="P68" s="416">
        <f t="shared" si="17"/>
        <v>1.4392676034789968</v>
      </c>
      <c r="Q68" s="416">
        <f t="shared" si="17"/>
        <v>1.4266895504471802</v>
      </c>
      <c r="R68" s="416">
        <f t="shared" si="17"/>
        <v>1.4260556771788859</v>
      </c>
      <c r="S68" s="416">
        <f t="shared" si="17"/>
        <v>1.4405095660625933</v>
      </c>
      <c r="T68" s="416">
        <f t="shared" si="17"/>
        <v>1.4417421031946871</v>
      </c>
      <c r="U68" s="416">
        <f t="shared" si="17"/>
        <v>4.2098934689145961</v>
      </c>
      <c r="V68" s="416" t="e">
        <f t="shared" si="17"/>
        <v>#DIV/0!</v>
      </c>
      <c r="W68" s="416" t="e">
        <f t="shared" si="17"/>
        <v>#DIV/0!</v>
      </c>
      <c r="X68" s="416" t="e">
        <f t="shared" si="17"/>
        <v>#DIV/0!</v>
      </c>
      <c r="Y68" s="416" t="e">
        <f t="shared" si="17"/>
        <v>#DIV/0!</v>
      </c>
      <c r="AA68" s="355" t="e">
        <f t="shared" si="8"/>
        <v>#DIV/0!</v>
      </c>
      <c r="AB68" s="356" t="e">
        <f t="shared" si="2"/>
        <v>#DIV/0!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8">SUM(E64:E66)</f>
        <v>368.63579873366507</v>
      </c>
      <c r="F69" s="91">
        <f t="shared" si="18"/>
        <v>307.16571573618876</v>
      </c>
      <c r="G69" s="91">
        <f t="shared" si="18"/>
        <v>319.55037328633534</v>
      </c>
      <c r="H69" s="91">
        <f t="shared" si="18"/>
        <v>275.10036629016486</v>
      </c>
      <c r="I69" s="91">
        <f t="shared" si="18"/>
        <v>183.9857595753856</v>
      </c>
      <c r="J69" s="91">
        <f t="shared" si="18"/>
        <v>160.44140843655805</v>
      </c>
      <c r="K69" s="91">
        <f t="shared" si="18"/>
        <v>186.64520417158565</v>
      </c>
      <c r="L69" s="91">
        <f t="shared" si="18"/>
        <v>215.9668106473473</v>
      </c>
      <c r="M69" s="91">
        <f t="shared" si="18"/>
        <v>171.13653552522374</v>
      </c>
      <c r="N69" s="91">
        <f t="shared" si="18"/>
        <v>1115.3843218559723</v>
      </c>
      <c r="O69" s="91">
        <f t="shared" si="18"/>
        <v>1685.9451823776803</v>
      </c>
      <c r="P69" s="91">
        <f t="shared" si="18"/>
        <v>1672.3493288034133</v>
      </c>
      <c r="Q69" s="91">
        <f t="shared" si="18"/>
        <v>1631.0832099310992</v>
      </c>
      <c r="R69" s="91">
        <f t="shared" si="18"/>
        <v>1621.2189854955504</v>
      </c>
      <c r="S69" s="91">
        <f t="shared" si="18"/>
        <v>1666.0071788487276</v>
      </c>
      <c r="T69" s="91">
        <f t="shared" si="18"/>
        <v>1660.2740744757166</v>
      </c>
      <c r="U69" s="91">
        <f t="shared" si="18"/>
        <v>4108.6897205951182</v>
      </c>
      <c r="V69" s="91">
        <f t="shared" si="18"/>
        <v>5357.8579241347988</v>
      </c>
      <c r="W69" s="91">
        <f t="shared" si="18"/>
        <v>5326.2101473278472</v>
      </c>
      <c r="X69" s="91">
        <f t="shared" si="18"/>
        <v>2496.9596410466374</v>
      </c>
      <c r="Y69" s="91">
        <f t="shared" si="18"/>
        <v>0</v>
      </c>
      <c r="AA69" s="355">
        <f t="shared" si="8"/>
        <v>30161.971888561351</v>
      </c>
      <c r="AB69" s="356">
        <f t="shared" si="2"/>
        <v>30161.971888561351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9">F89</f>
        <v>5469.6415593040183</v>
      </c>
      <c r="G71" s="94">
        <f t="shared" si="19"/>
        <v>9217.1766650484769</v>
      </c>
      <c r="H71" s="94">
        <f t="shared" si="19"/>
        <v>5124.176449217659</v>
      </c>
      <c r="I71" s="94">
        <f t="shared" si="19"/>
        <v>2746.7219306001448</v>
      </c>
      <c r="J71" s="94">
        <f t="shared" si="19"/>
        <v>2663.9624534987342</v>
      </c>
      <c r="K71" s="94">
        <f t="shared" si="19"/>
        <v>759.40765176570983</v>
      </c>
      <c r="L71" s="94">
        <f t="shared" si="19"/>
        <v>-1152.5383837265715</v>
      </c>
      <c r="M71" s="94">
        <f t="shared" si="19"/>
        <v>-1262.1477874338282</v>
      </c>
      <c r="N71" s="94">
        <f t="shared" si="19"/>
        <v>-1337.8345126495901</v>
      </c>
      <c r="O71" s="94">
        <f t="shared" si="19"/>
        <v>-1429.030813832188</v>
      </c>
      <c r="P71" s="94">
        <f t="shared" si="19"/>
        <v>-1498.4722650811946</v>
      </c>
      <c r="Q71" s="94">
        <f t="shared" si="19"/>
        <v>-1559.2791234758847</v>
      </c>
      <c r="R71" s="94">
        <f t="shared" si="19"/>
        <v>-1627.2266449234426</v>
      </c>
      <c r="S71" s="94">
        <f t="shared" si="19"/>
        <v>-1716.7525125970546</v>
      </c>
      <c r="T71" s="94">
        <f t="shared" si="19"/>
        <v>-1794.1959260665008</v>
      </c>
      <c r="U71" s="94">
        <f t="shared" si="19"/>
        <v>-1869.5914022082911</v>
      </c>
      <c r="V71" s="94">
        <f t="shared" si="19"/>
        <v>-1875.2502734471796</v>
      </c>
      <c r="W71" s="94">
        <f t="shared" si="19"/>
        <v>-1864.1735515647463</v>
      </c>
      <c r="X71" s="94">
        <f t="shared" si="19"/>
        <v>-873.93587436632311</v>
      </c>
      <c r="Y71" s="94">
        <f t="shared" si="19"/>
        <v>0</v>
      </c>
      <c r="AA71" s="355">
        <f t="shared" si="8"/>
        <v>6120.6576380619454</v>
      </c>
      <c r="AB71" s="356">
        <f t="shared" si="2"/>
        <v>6120.6576380619454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20">E69+E71</f>
        <v>368.63579873366507</v>
      </c>
      <c r="F73" s="24">
        <f t="shared" si="20"/>
        <v>5776.8072750402071</v>
      </c>
      <c r="G73" s="24">
        <f t="shared" si="20"/>
        <v>9536.7270383348114</v>
      </c>
      <c r="H73" s="24">
        <f t="shared" si="20"/>
        <v>5399.2768155078238</v>
      </c>
      <c r="I73" s="24">
        <f t="shared" si="20"/>
        <v>2930.7076901755304</v>
      </c>
      <c r="J73" s="24">
        <f t="shared" si="20"/>
        <v>2824.4038619352923</v>
      </c>
      <c r="K73" s="24">
        <f t="shared" si="20"/>
        <v>946.05285593729548</v>
      </c>
      <c r="L73" s="24">
        <f t="shared" si="20"/>
        <v>-936.57157307922421</v>
      </c>
      <c r="M73" s="24">
        <f t="shared" si="20"/>
        <v>-1091.0112519086044</v>
      </c>
      <c r="N73" s="24">
        <f t="shared" si="20"/>
        <v>-222.45019079361782</v>
      </c>
      <c r="O73" s="24">
        <f t="shared" si="20"/>
        <v>256.91436854549238</v>
      </c>
      <c r="P73" s="24">
        <f t="shared" si="20"/>
        <v>173.87706372221874</v>
      </c>
      <c r="Q73" s="24">
        <f t="shared" si="20"/>
        <v>71.804086455214474</v>
      </c>
      <c r="R73" s="24">
        <f t="shared" si="20"/>
        <v>-6.007659427892122</v>
      </c>
      <c r="S73" s="24">
        <f t="shared" si="20"/>
        <v>-50.745333748327084</v>
      </c>
      <c r="T73" s="24">
        <f t="shared" si="20"/>
        <v>-133.92185159078417</v>
      </c>
      <c r="U73" s="24">
        <f t="shared" si="20"/>
        <v>2239.098318386827</v>
      </c>
      <c r="V73" s="24">
        <f t="shared" si="20"/>
        <v>3482.6076506876193</v>
      </c>
      <c r="W73" s="24">
        <f t="shared" si="20"/>
        <v>3462.0365957631011</v>
      </c>
      <c r="X73" s="24">
        <f t="shared" si="20"/>
        <v>1623.0237666803143</v>
      </c>
      <c r="Y73" s="24">
        <f t="shared" si="20"/>
        <v>0</v>
      </c>
      <c r="AA73" s="355">
        <f t="shared" si="8"/>
        <v>36282.629526623299</v>
      </c>
      <c r="AB73" s="356">
        <f t="shared" si="2"/>
        <v>36282.629526623299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1">AA75*$C$60</f>
        <v>0</v>
      </c>
    </row>
    <row r="76" spans="1:28" ht="12.75" customHeight="1" outlineLevel="1">
      <c r="A76" s="13" t="s">
        <v>135</v>
      </c>
      <c r="B76" s="22"/>
      <c r="C76" s="159">
        <f>+C$60</f>
        <v>1</v>
      </c>
      <c r="D76" s="24"/>
      <c r="E76" s="24">
        <f t="shared" ref="E76:Y76" si="22">$C$76*E54</f>
        <v>6714.1181595659091</v>
      </c>
      <c r="F76" s="24">
        <f t="shared" si="22"/>
        <v>4662.4126056175492</v>
      </c>
      <c r="G76" s="91">
        <f t="shared" si="22"/>
        <v>4704.2626330251451</v>
      </c>
      <c r="H76" s="24">
        <f t="shared" si="22"/>
        <v>5120.323177943691</v>
      </c>
      <c r="I76" s="24">
        <f t="shared" si="22"/>
        <v>5054.5986835790845</v>
      </c>
      <c r="J76" s="24">
        <f t="shared" si="22"/>
        <v>5491.3979048049041</v>
      </c>
      <c r="K76" s="24">
        <f t="shared" si="22"/>
        <v>5667.6803720326716</v>
      </c>
      <c r="L76" s="24">
        <f t="shared" si="22"/>
        <v>5857.6894162419167</v>
      </c>
      <c r="M76" s="24">
        <f t="shared" si="22"/>
        <v>6344.3527868785932</v>
      </c>
      <c r="N76" s="24">
        <f t="shared" si="22"/>
        <v>1185.7918941259361</v>
      </c>
      <c r="O76" s="24">
        <f t="shared" si="22"/>
        <v>709.1143685454922</v>
      </c>
      <c r="P76" s="24">
        <f t="shared" si="22"/>
        <v>838.07706372221867</v>
      </c>
      <c r="Q76" s="24">
        <f t="shared" si="22"/>
        <v>951.00408645521441</v>
      </c>
      <c r="R76" s="24">
        <f t="shared" si="22"/>
        <v>1077.1923405721077</v>
      </c>
      <c r="S76" s="24">
        <f t="shared" si="22"/>
        <v>1243.454666251673</v>
      </c>
      <c r="T76" s="24">
        <f t="shared" si="22"/>
        <v>1387.2781484092159</v>
      </c>
      <c r="U76" s="24">
        <f t="shared" si="22"/>
        <v>1527.2983183868273</v>
      </c>
      <c r="V76" s="24">
        <f t="shared" si="22"/>
        <v>1537.8076506876193</v>
      </c>
      <c r="W76" s="24">
        <f t="shared" si="22"/>
        <v>1517.2365957631007</v>
      </c>
      <c r="X76" s="24">
        <f t="shared" si="22"/>
        <v>-321.77623331968567</v>
      </c>
      <c r="Y76" s="24">
        <f t="shared" si="22"/>
        <v>0</v>
      </c>
      <c r="AA76" s="355">
        <f t="shared" si="8"/>
        <v>54555.196479723272</v>
      </c>
      <c r="AB76" s="356">
        <f>AA76</f>
        <v>54555.196479723272</v>
      </c>
    </row>
    <row r="77" spans="1:28" outlineLevel="1">
      <c r="A77" s="13" t="s">
        <v>136</v>
      </c>
      <c r="B77" s="22"/>
      <c r="C77" s="159">
        <f>+C60</f>
        <v>1</v>
      </c>
      <c r="D77" s="24"/>
      <c r="E77" s="24">
        <f t="shared" ref="E77:Y77" si="23">$C$77*E73</f>
        <v>368.63579873366507</v>
      </c>
      <c r="F77" s="24">
        <f t="shared" si="23"/>
        <v>5776.8072750402071</v>
      </c>
      <c r="G77" s="91">
        <f t="shared" si="23"/>
        <v>9536.7270383348114</v>
      </c>
      <c r="H77" s="24">
        <f t="shared" si="23"/>
        <v>5399.2768155078238</v>
      </c>
      <c r="I77" s="24">
        <f t="shared" si="23"/>
        <v>2930.7076901755304</v>
      </c>
      <c r="J77" s="24">
        <f t="shared" si="23"/>
        <v>2824.4038619352923</v>
      </c>
      <c r="K77" s="24">
        <f t="shared" si="23"/>
        <v>946.05285593729548</v>
      </c>
      <c r="L77" s="24">
        <f t="shared" si="23"/>
        <v>-936.57157307922421</v>
      </c>
      <c r="M77" s="24">
        <f t="shared" si="23"/>
        <v>-1091.0112519086044</v>
      </c>
      <c r="N77" s="24">
        <f t="shared" si="23"/>
        <v>-222.45019079361782</v>
      </c>
      <c r="O77" s="24">
        <f t="shared" si="23"/>
        <v>256.91436854549238</v>
      </c>
      <c r="P77" s="24">
        <f t="shared" si="23"/>
        <v>173.87706372221874</v>
      </c>
      <c r="Q77" s="24">
        <f t="shared" si="23"/>
        <v>71.804086455214474</v>
      </c>
      <c r="R77" s="24">
        <f t="shared" si="23"/>
        <v>-6.007659427892122</v>
      </c>
      <c r="S77" s="24">
        <f t="shared" si="23"/>
        <v>-50.745333748327084</v>
      </c>
      <c r="T77" s="24">
        <f t="shared" si="23"/>
        <v>-133.92185159078417</v>
      </c>
      <c r="U77" s="24">
        <f t="shared" si="23"/>
        <v>2239.098318386827</v>
      </c>
      <c r="V77" s="24">
        <f t="shared" si="23"/>
        <v>3482.6076506876193</v>
      </c>
      <c r="W77" s="24">
        <f t="shared" si="23"/>
        <v>3462.0365957631011</v>
      </c>
      <c r="X77" s="24">
        <f t="shared" si="23"/>
        <v>1623.0237666803143</v>
      </c>
      <c r="Y77" s="24">
        <f t="shared" si="23"/>
        <v>0</v>
      </c>
      <c r="AA77" s="355">
        <f t="shared" si="8"/>
        <v>36282.629526623299</v>
      </c>
      <c r="AB77" s="356">
        <f>AA77</f>
        <v>36282.629526623299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1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1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1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1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1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1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1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1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4">G62</f>
        <v>2002</v>
      </c>
      <c r="H86" s="99">
        <f t="shared" si="24"/>
        <v>2003</v>
      </c>
      <c r="I86" s="99">
        <f t="shared" si="24"/>
        <v>2004</v>
      </c>
      <c r="J86" s="99">
        <f t="shared" si="24"/>
        <v>2005</v>
      </c>
      <c r="K86" s="99">
        <f t="shared" si="24"/>
        <v>2006</v>
      </c>
      <c r="L86" s="99">
        <f t="shared" si="24"/>
        <v>2007</v>
      </c>
      <c r="M86" s="99">
        <f t="shared" si="24"/>
        <v>2008</v>
      </c>
      <c r="N86" s="99">
        <f t="shared" si="24"/>
        <v>2009</v>
      </c>
      <c r="O86" s="99">
        <f t="shared" si="24"/>
        <v>2010</v>
      </c>
      <c r="P86" s="99">
        <f t="shared" si="24"/>
        <v>2011</v>
      </c>
      <c r="Q86" s="99">
        <f t="shared" si="24"/>
        <v>2012</v>
      </c>
      <c r="R86" s="99">
        <f t="shared" si="24"/>
        <v>2013</v>
      </c>
      <c r="S86" s="99">
        <f t="shared" si="24"/>
        <v>2014</v>
      </c>
      <c r="T86" s="99">
        <f t="shared" si="24"/>
        <v>2015</v>
      </c>
      <c r="U86" s="99">
        <f t="shared" si="24"/>
        <v>2016</v>
      </c>
      <c r="V86" s="99">
        <f t="shared" si="24"/>
        <v>2017</v>
      </c>
      <c r="W86" s="99">
        <f t="shared" si="24"/>
        <v>2018</v>
      </c>
      <c r="X86" s="99">
        <f t="shared" si="24"/>
        <v>2019</v>
      </c>
      <c r="Y86" s="99">
        <f t="shared" si="24"/>
        <v>2020</v>
      </c>
      <c r="AA86" s="355">
        <f t="shared" si="8"/>
        <v>40210</v>
      </c>
      <c r="AB86" s="356">
        <f t="shared" si="21"/>
        <v>40210</v>
      </c>
    </row>
    <row r="87" spans="1:30" s="128" customFormat="1">
      <c r="AA87" s="355">
        <f t="shared" si="8"/>
        <v>0</v>
      </c>
      <c r="AB87" s="356">
        <f t="shared" si="21"/>
        <v>0</v>
      </c>
    </row>
    <row r="88" spans="1:30" s="128" customFormat="1">
      <c r="A88" s="11" t="s">
        <v>31</v>
      </c>
      <c r="F88" s="129">
        <f>F69</f>
        <v>307.16571573618876</v>
      </c>
      <c r="G88" s="129">
        <f t="shared" ref="G88:Y88" si="25">G69</f>
        <v>319.55037328633534</v>
      </c>
      <c r="H88" s="129">
        <f t="shared" si="25"/>
        <v>275.10036629016486</v>
      </c>
      <c r="I88" s="129">
        <f t="shared" si="25"/>
        <v>183.9857595753856</v>
      </c>
      <c r="J88" s="129">
        <f t="shared" si="25"/>
        <v>160.44140843655805</v>
      </c>
      <c r="K88" s="129">
        <f t="shared" si="25"/>
        <v>186.64520417158565</v>
      </c>
      <c r="L88" s="129">
        <f t="shared" si="25"/>
        <v>215.9668106473473</v>
      </c>
      <c r="M88" s="129">
        <f t="shared" si="25"/>
        <v>171.13653552522374</v>
      </c>
      <c r="N88" s="129">
        <f t="shared" si="25"/>
        <v>1115.3843218559723</v>
      </c>
      <c r="O88" s="129">
        <f t="shared" si="25"/>
        <v>1685.9451823776803</v>
      </c>
      <c r="P88" s="129">
        <f t="shared" si="25"/>
        <v>1672.3493288034133</v>
      </c>
      <c r="Q88" s="129">
        <f t="shared" si="25"/>
        <v>1631.0832099310992</v>
      </c>
      <c r="R88" s="129">
        <f t="shared" si="25"/>
        <v>1621.2189854955504</v>
      </c>
      <c r="S88" s="129">
        <f t="shared" si="25"/>
        <v>1666.0071788487276</v>
      </c>
      <c r="T88" s="129">
        <f t="shared" si="25"/>
        <v>1660.2740744757166</v>
      </c>
      <c r="U88" s="129">
        <f t="shared" si="25"/>
        <v>4108.6897205951182</v>
      </c>
      <c r="V88" s="129">
        <f t="shared" si="25"/>
        <v>5357.8579241347988</v>
      </c>
      <c r="W88" s="129">
        <f t="shared" si="25"/>
        <v>5326.2101473278472</v>
      </c>
      <c r="X88" s="129">
        <f t="shared" si="25"/>
        <v>2496.9596410466374</v>
      </c>
      <c r="Y88" s="129">
        <f t="shared" si="25"/>
        <v>0</v>
      </c>
      <c r="AA88" s="355">
        <f t="shared" si="8"/>
        <v>30161.971888561351</v>
      </c>
      <c r="AB88" s="356">
        <f t="shared" si="21"/>
        <v>30161.971888561351</v>
      </c>
    </row>
    <row r="89" spans="1:30" s="128" customFormat="1">
      <c r="A89" s="128" t="s">
        <v>42</v>
      </c>
      <c r="F89" s="100">
        <f>F126+F127</f>
        <v>5469.6415593040183</v>
      </c>
      <c r="G89" s="100">
        <f t="shared" ref="G89:Y89" si="26">G126+G127</f>
        <v>9217.1766650484769</v>
      </c>
      <c r="H89" s="100">
        <f t="shared" si="26"/>
        <v>5124.176449217659</v>
      </c>
      <c r="I89" s="100">
        <f t="shared" si="26"/>
        <v>2746.7219306001448</v>
      </c>
      <c r="J89" s="100">
        <f t="shared" si="26"/>
        <v>2663.9624534987342</v>
      </c>
      <c r="K89" s="100">
        <f t="shared" si="26"/>
        <v>759.40765176570983</v>
      </c>
      <c r="L89" s="100">
        <f t="shared" si="26"/>
        <v>-1152.5383837265715</v>
      </c>
      <c r="M89" s="100">
        <f t="shared" si="26"/>
        <v>-1262.1477874338282</v>
      </c>
      <c r="N89" s="100">
        <f t="shared" si="26"/>
        <v>-1337.8345126495901</v>
      </c>
      <c r="O89" s="100">
        <f t="shared" si="26"/>
        <v>-1429.030813832188</v>
      </c>
      <c r="P89" s="100">
        <f t="shared" si="26"/>
        <v>-1498.4722650811946</v>
      </c>
      <c r="Q89" s="100">
        <f t="shared" si="26"/>
        <v>-1559.2791234758847</v>
      </c>
      <c r="R89" s="100">
        <f t="shared" si="26"/>
        <v>-1627.2266449234426</v>
      </c>
      <c r="S89" s="100">
        <f t="shared" si="26"/>
        <v>-1716.7525125970546</v>
      </c>
      <c r="T89" s="100">
        <f t="shared" si="26"/>
        <v>-1794.1959260665008</v>
      </c>
      <c r="U89" s="100">
        <f t="shared" si="26"/>
        <v>-1869.5914022082911</v>
      </c>
      <c r="V89" s="100">
        <f t="shared" si="26"/>
        <v>-1875.2502734471796</v>
      </c>
      <c r="W89" s="100">
        <f t="shared" si="26"/>
        <v>-1864.1735515647463</v>
      </c>
      <c r="X89" s="100">
        <f t="shared" si="26"/>
        <v>-873.93587436632311</v>
      </c>
      <c r="Y89" s="100">
        <f t="shared" si="26"/>
        <v>0</v>
      </c>
      <c r="AA89" s="355">
        <f t="shared" si="8"/>
        <v>6120.6576380619454</v>
      </c>
      <c r="AB89" s="356">
        <f t="shared" si="21"/>
        <v>6120.6576380619454</v>
      </c>
    </row>
    <row r="90" spans="1:30" s="128" customFormat="1">
      <c r="A90" s="128" t="s">
        <v>109</v>
      </c>
      <c r="F90" s="100">
        <f>F56</f>
        <v>5095.8548903890269</v>
      </c>
      <c r="G90" s="100">
        <f t="shared" ref="G90:Y90" si="27">G56</f>
        <v>5095.8548903890269</v>
      </c>
      <c r="H90" s="100">
        <f t="shared" si="27"/>
        <v>5378.9579398550841</v>
      </c>
      <c r="I90" s="100">
        <f t="shared" si="27"/>
        <v>5378.9579398550841</v>
      </c>
      <c r="J90" s="100">
        <f t="shared" si="27"/>
        <v>5662.0609893211413</v>
      </c>
      <c r="K90" s="100">
        <f t="shared" si="27"/>
        <v>5662.0609893211413</v>
      </c>
      <c r="L90" s="100">
        <f t="shared" si="27"/>
        <v>5662.0609893211413</v>
      </c>
      <c r="M90" s="100">
        <f t="shared" si="27"/>
        <v>5945.1640387871985</v>
      </c>
      <c r="N90" s="100">
        <f t="shared" si="27"/>
        <v>646.04208491955399</v>
      </c>
      <c r="O90" s="100">
        <f t="shared" si="27"/>
        <v>0</v>
      </c>
      <c r="P90" s="100">
        <f t="shared" si="27"/>
        <v>0</v>
      </c>
      <c r="Q90" s="100">
        <f t="shared" si="27"/>
        <v>0</v>
      </c>
      <c r="R90" s="100">
        <f t="shared" si="27"/>
        <v>0</v>
      </c>
      <c r="S90" s="100">
        <f t="shared" si="27"/>
        <v>0</v>
      </c>
      <c r="T90" s="100">
        <f t="shared" si="27"/>
        <v>0</v>
      </c>
      <c r="U90" s="100">
        <f t="shared" si="27"/>
        <v>0</v>
      </c>
      <c r="V90" s="100">
        <f t="shared" si="27"/>
        <v>0</v>
      </c>
      <c r="W90" s="100">
        <f t="shared" si="27"/>
        <v>0</v>
      </c>
      <c r="X90" s="100">
        <f t="shared" si="27"/>
        <v>0</v>
      </c>
      <c r="Y90" s="100">
        <f t="shared" si="27"/>
        <v>0</v>
      </c>
      <c r="AA90" s="355">
        <f t="shared" si="8"/>
        <v>44527.014752158393</v>
      </c>
      <c r="AB90" s="356">
        <f t="shared" si="21"/>
        <v>44527.014752158393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f>Y99</f>
        <v>19975.6771283731</v>
      </c>
      <c r="Y91" s="101"/>
      <c r="AA91" s="355">
        <f t="shared" si="8"/>
        <v>19975.6771283731</v>
      </c>
      <c r="AB91" s="356">
        <f t="shared" si="21"/>
        <v>19975.6771283731</v>
      </c>
    </row>
    <row r="92" spans="1:30" s="128" customFormat="1">
      <c r="A92" s="128" t="s">
        <v>44</v>
      </c>
      <c r="E92" s="173">
        <v>-57623.294600185458</v>
      </c>
      <c r="F92" s="129">
        <f>SUM(F88:F91)</f>
        <v>10872.662165429234</v>
      </c>
      <c r="G92" s="129">
        <f t="shared" ref="G92:Y92" si="28">SUM(G88:G91)</f>
        <v>14632.581928723837</v>
      </c>
      <c r="H92" s="129">
        <f t="shared" si="28"/>
        <v>10778.234755362908</v>
      </c>
      <c r="I92" s="129">
        <f t="shared" si="28"/>
        <v>8309.6656300306149</v>
      </c>
      <c r="J92" s="129">
        <f t="shared" si="28"/>
        <v>8486.4648512564345</v>
      </c>
      <c r="K92" s="129">
        <f t="shared" si="28"/>
        <v>6608.1138452584364</v>
      </c>
      <c r="L92" s="129">
        <f t="shared" si="28"/>
        <v>4725.4894162419168</v>
      </c>
      <c r="M92" s="129">
        <f t="shared" si="28"/>
        <v>4854.1527868785943</v>
      </c>
      <c r="N92" s="129">
        <f t="shared" si="28"/>
        <v>423.59189412593616</v>
      </c>
      <c r="O92" s="129">
        <f t="shared" si="28"/>
        <v>256.91436854549238</v>
      </c>
      <c r="P92" s="129">
        <f t="shared" si="28"/>
        <v>173.87706372221874</v>
      </c>
      <c r="Q92" s="129">
        <f t="shared" si="28"/>
        <v>71.804086455214474</v>
      </c>
      <c r="R92" s="129">
        <f t="shared" si="28"/>
        <v>-6.007659427892122</v>
      </c>
      <c r="S92" s="129">
        <f t="shared" si="28"/>
        <v>-50.745333748327084</v>
      </c>
      <c r="T92" s="129">
        <f t="shared" si="28"/>
        <v>-133.92185159078417</v>
      </c>
      <c r="U92" s="129">
        <f t="shared" si="28"/>
        <v>2239.098318386827</v>
      </c>
      <c r="V92" s="129">
        <f t="shared" si="28"/>
        <v>3482.6076506876193</v>
      </c>
      <c r="W92" s="129">
        <f t="shared" si="28"/>
        <v>3462.0365957631011</v>
      </c>
      <c r="X92" s="129">
        <f t="shared" si="28"/>
        <v>21598.700895053415</v>
      </c>
      <c r="Y92" s="129">
        <f t="shared" si="28"/>
        <v>0</v>
      </c>
      <c r="AA92" s="355">
        <f t="shared" si="8"/>
        <v>100785.32140715476</v>
      </c>
      <c r="AB92" s="356">
        <f t="shared" si="21"/>
        <v>100785.32140715476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1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1"/>
        <v>0</v>
      </c>
    </row>
    <row r="95" spans="1:30" s="128" customFormat="1" ht="13.5" thickBot="1">
      <c r="A95" s="128" t="s">
        <v>46</v>
      </c>
      <c r="E95" s="174">
        <f>NPV(C96,E92:Y92)</f>
        <v>-1.5853577370353794E-11</v>
      </c>
      <c r="R95" s="133"/>
      <c r="U95" s="134" t="s">
        <v>112</v>
      </c>
      <c r="V95" s="135"/>
      <c r="W95" s="135"/>
      <c r="X95" s="135"/>
      <c r="Y95" s="136">
        <f>X88</f>
        <v>2496.9596410466374</v>
      </c>
      <c r="AA95" s="355">
        <f t="shared" si="8"/>
        <v>2496.9596410466374</v>
      </c>
      <c r="AB95" s="356">
        <f t="shared" si="21"/>
        <v>2496.9596410466374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1"/>
        <v>1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2496.9596410466374</v>
      </c>
      <c r="AA97" s="355">
        <f t="shared" si="8"/>
        <v>2496.9596410466374</v>
      </c>
      <c r="AB97" s="356">
        <f t="shared" si="21"/>
        <v>2496.9596410466374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1"/>
        <v>8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19975.6771283731</v>
      </c>
      <c r="AA99" s="355">
        <f t="shared" si="8"/>
        <v>19975.6771283731</v>
      </c>
      <c r="AB99" s="356">
        <f t="shared" si="21"/>
        <v>19975.6771283731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1"/>
        <v>0</v>
      </c>
    </row>
    <row r="101" spans="1:28" s="128" customFormat="1">
      <c r="A101" s="128" t="s">
        <v>53</v>
      </c>
      <c r="D101" s="177">
        <f>[13]Financials!$F$70+[13]Financials!$F$64</f>
        <v>42114</v>
      </c>
      <c r="F101" s="409" t="s">
        <v>154</v>
      </c>
      <c r="G101" s="409"/>
      <c r="H101" s="410">
        <f>-AA66-AA46</f>
        <v>42114</v>
      </c>
      <c r="AA101" s="355">
        <f>SUM(F101:Y101)</f>
        <v>42114</v>
      </c>
      <c r="AB101" s="356">
        <f t="shared" si="21"/>
        <v>42114</v>
      </c>
    </row>
    <row r="102" spans="1:28" s="128" customFormat="1" ht="15">
      <c r="A102" s="128" t="s">
        <v>54</v>
      </c>
      <c r="D102" s="101">
        <f>-E92</f>
        <v>57623.294600185458</v>
      </c>
      <c r="AA102" s="355">
        <f t="shared" si="8"/>
        <v>0</v>
      </c>
      <c r="AB102" s="356">
        <f t="shared" si="21"/>
        <v>0</v>
      </c>
    </row>
    <row r="103" spans="1:28" s="128" customFormat="1">
      <c r="D103" s="142">
        <f>D101+D102</f>
        <v>99737.294600185458</v>
      </c>
      <c r="AA103" s="355">
        <f t="shared" si="8"/>
        <v>0</v>
      </c>
      <c r="AB103" s="356">
        <f t="shared" si="21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29">SUM(F104:Y104)</f>
        <v>0</v>
      </c>
      <c r="AB104" s="356">
        <f t="shared" si="21"/>
        <v>0</v>
      </c>
    </row>
    <row r="105" spans="1:28" s="128" customFormat="1">
      <c r="A105" s="128" t="s">
        <v>56</v>
      </c>
      <c r="D105" s="142">
        <f>D103*D104</f>
        <v>89763.565140166917</v>
      </c>
      <c r="AA105" s="355">
        <f t="shared" si="29"/>
        <v>0</v>
      </c>
      <c r="AB105" s="356">
        <f t="shared" si="21"/>
        <v>0</v>
      </c>
    </row>
    <row r="106" spans="1:28" s="128" customFormat="1">
      <c r="AA106" s="355">
        <f t="shared" si="29"/>
        <v>0</v>
      </c>
      <c r="AB106" s="356">
        <f t="shared" si="21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30">G107+1</f>
        <v>2003</v>
      </c>
      <c r="I107" s="99">
        <f t="shared" si="30"/>
        <v>2004</v>
      </c>
      <c r="J107" s="99">
        <f t="shared" si="30"/>
        <v>2005</v>
      </c>
      <c r="K107" s="99">
        <f t="shared" si="30"/>
        <v>2006</v>
      </c>
      <c r="L107" s="99">
        <f t="shared" si="30"/>
        <v>2007</v>
      </c>
      <c r="M107" s="99">
        <f t="shared" si="30"/>
        <v>2008</v>
      </c>
      <c r="N107" s="99">
        <f t="shared" si="30"/>
        <v>2009</v>
      </c>
      <c r="O107" s="99">
        <f t="shared" si="30"/>
        <v>2010</v>
      </c>
      <c r="P107" s="99">
        <f t="shared" si="30"/>
        <v>2011</v>
      </c>
      <c r="Q107" s="99">
        <f t="shared" si="30"/>
        <v>2012</v>
      </c>
      <c r="R107" s="99">
        <f t="shared" si="30"/>
        <v>2013</v>
      </c>
      <c r="S107" s="99">
        <f t="shared" si="30"/>
        <v>2014</v>
      </c>
      <c r="T107" s="99">
        <f t="shared" si="30"/>
        <v>2015</v>
      </c>
      <c r="U107" s="99">
        <f t="shared" si="30"/>
        <v>2016</v>
      </c>
      <c r="V107" s="99">
        <f t="shared" si="30"/>
        <v>2017</v>
      </c>
      <c r="W107" s="99">
        <f t="shared" si="30"/>
        <v>2018</v>
      </c>
      <c r="X107" s="99">
        <f t="shared" si="30"/>
        <v>2019</v>
      </c>
      <c r="Y107" s="99">
        <f t="shared" si="30"/>
        <v>2020</v>
      </c>
      <c r="AA107" s="355">
        <f t="shared" si="29"/>
        <v>40210</v>
      </c>
      <c r="AB107" s="356">
        <f t="shared" si="21"/>
        <v>40210</v>
      </c>
    </row>
    <row r="108" spans="1:28" s="128" customFormat="1">
      <c r="A108" s="103" t="s">
        <v>57</v>
      </c>
      <c r="AA108" s="355">
        <f t="shared" si="29"/>
        <v>0</v>
      </c>
      <c r="AB108" s="356">
        <f t="shared" si="21"/>
        <v>0</v>
      </c>
    </row>
    <row r="109" spans="1:28" s="128" customFormat="1">
      <c r="A109" s="128" t="s">
        <v>58</v>
      </c>
      <c r="B109" s="179">
        <v>30</v>
      </c>
      <c r="C109" s="128" t="s">
        <v>0</v>
      </c>
      <c r="D109" s="143">
        <f>D105</f>
        <v>89763.565140166917</v>
      </c>
      <c r="F109" s="132">
        <f>ROUND(D109/$B$109,0)</f>
        <v>2992</v>
      </c>
      <c r="G109" s="132">
        <f>F109</f>
        <v>2992</v>
      </c>
      <c r="H109" s="132">
        <f t="shared" ref="H109:X110" si="31">G109</f>
        <v>2992</v>
      </c>
      <c r="I109" s="132">
        <f t="shared" si="31"/>
        <v>2992</v>
      </c>
      <c r="J109" s="132">
        <f t="shared" si="31"/>
        <v>2992</v>
      </c>
      <c r="K109" s="132">
        <f t="shared" si="31"/>
        <v>2992</v>
      </c>
      <c r="L109" s="132">
        <f t="shared" si="31"/>
        <v>2992</v>
      </c>
      <c r="M109" s="132">
        <f t="shared" si="31"/>
        <v>2992</v>
      </c>
      <c r="N109" s="132">
        <f t="shared" si="31"/>
        <v>2992</v>
      </c>
      <c r="O109" s="132">
        <f t="shared" si="31"/>
        <v>2992</v>
      </c>
      <c r="P109" s="132">
        <f t="shared" si="31"/>
        <v>2992</v>
      </c>
      <c r="Q109" s="132">
        <f t="shared" si="31"/>
        <v>2992</v>
      </c>
      <c r="R109" s="132">
        <f t="shared" si="31"/>
        <v>2992</v>
      </c>
      <c r="S109" s="132">
        <f t="shared" si="31"/>
        <v>2992</v>
      </c>
      <c r="T109" s="132">
        <f t="shared" si="31"/>
        <v>2992</v>
      </c>
      <c r="U109" s="132">
        <f t="shared" si="31"/>
        <v>2992</v>
      </c>
      <c r="V109" s="132">
        <f t="shared" si="31"/>
        <v>2992</v>
      </c>
      <c r="W109" s="132">
        <f t="shared" si="31"/>
        <v>2992</v>
      </c>
      <c r="X109" s="132">
        <f t="shared" si="31"/>
        <v>2992</v>
      </c>
      <c r="Y109" s="360"/>
      <c r="AA109" s="355">
        <f t="shared" si="29"/>
        <v>56848</v>
      </c>
      <c r="AB109" s="356">
        <f t="shared" si="21"/>
        <v>56848</v>
      </c>
    </row>
    <row r="110" spans="1:28" s="128" customFormat="1">
      <c r="A110" s="128" t="s">
        <v>138</v>
      </c>
      <c r="D110" s="143">
        <f>D104*'FPLE_Wind Summary'!J10</f>
        <v>12484.065780237752</v>
      </c>
      <c r="F110" s="132">
        <f>ROUND(D110/$B$109,0)</f>
        <v>416</v>
      </c>
      <c r="G110" s="132">
        <f>F110</f>
        <v>416</v>
      </c>
      <c r="H110" s="132">
        <f t="shared" si="31"/>
        <v>416</v>
      </c>
      <c r="I110" s="132">
        <f t="shared" si="31"/>
        <v>416</v>
      </c>
      <c r="J110" s="132">
        <f t="shared" si="31"/>
        <v>416</v>
      </c>
      <c r="K110" s="132">
        <f t="shared" si="31"/>
        <v>416</v>
      </c>
      <c r="L110" s="132">
        <f t="shared" si="31"/>
        <v>416</v>
      </c>
      <c r="M110" s="132">
        <f t="shared" si="31"/>
        <v>416</v>
      </c>
      <c r="N110" s="132">
        <f t="shared" si="31"/>
        <v>416</v>
      </c>
      <c r="O110" s="132">
        <f t="shared" si="31"/>
        <v>416</v>
      </c>
      <c r="P110" s="132">
        <f t="shared" si="31"/>
        <v>416</v>
      </c>
      <c r="Q110" s="132">
        <f t="shared" si="31"/>
        <v>416</v>
      </c>
      <c r="R110" s="132">
        <f t="shared" si="31"/>
        <v>416</v>
      </c>
      <c r="S110" s="132">
        <f t="shared" si="31"/>
        <v>416</v>
      </c>
      <c r="T110" s="132">
        <f t="shared" si="31"/>
        <v>416</v>
      </c>
      <c r="U110" s="132">
        <f t="shared" si="31"/>
        <v>416</v>
      </c>
      <c r="V110" s="132">
        <f t="shared" si="31"/>
        <v>416</v>
      </c>
      <c r="W110" s="132">
        <f t="shared" si="31"/>
        <v>416</v>
      </c>
      <c r="X110" s="132">
        <f t="shared" si="31"/>
        <v>416</v>
      </c>
      <c r="Y110" s="360"/>
      <c r="AA110" s="355">
        <f t="shared" si="29"/>
        <v>7904</v>
      </c>
      <c r="AB110" s="356">
        <f t="shared" si="21"/>
        <v>7904</v>
      </c>
    </row>
    <row r="111" spans="1:28" s="128" customFormat="1">
      <c r="AA111" s="355">
        <f t="shared" si="29"/>
        <v>0</v>
      </c>
      <c r="AB111" s="356">
        <f t="shared" si="21"/>
        <v>0</v>
      </c>
    </row>
    <row r="112" spans="1:28" s="128" customFormat="1">
      <c r="A112" s="103" t="s">
        <v>59</v>
      </c>
      <c r="AA112" s="355">
        <f t="shared" si="29"/>
        <v>0</v>
      </c>
      <c r="AB112" s="356">
        <f t="shared" si="21"/>
        <v>0</v>
      </c>
    </row>
    <row r="113" spans="1:28" s="128" customFormat="1">
      <c r="A113" s="104" t="s">
        <v>60</v>
      </c>
      <c r="D113" s="143">
        <f>D109</f>
        <v>89763.565140166917</v>
      </c>
      <c r="AA113" s="355">
        <f t="shared" si="29"/>
        <v>0</v>
      </c>
      <c r="AB113" s="356">
        <f t="shared" si="21"/>
        <v>0</v>
      </c>
    </row>
    <row r="114" spans="1:28" s="128" customFormat="1">
      <c r="A114" s="128" t="s">
        <v>61</v>
      </c>
      <c r="E114" s="144"/>
      <c r="F114" s="180">
        <v>0.2</v>
      </c>
      <c r="G114" s="180">
        <v>0.32</v>
      </c>
      <c r="H114" s="180">
        <v>0.192</v>
      </c>
      <c r="I114" s="180">
        <v>0.1152</v>
      </c>
      <c r="J114" s="180">
        <v>0.1152</v>
      </c>
      <c r="K114" s="180">
        <v>5.7599999999999998E-2</v>
      </c>
      <c r="L114" s="180">
        <v>0</v>
      </c>
      <c r="M114" s="180">
        <v>0</v>
      </c>
      <c r="N114" s="180">
        <v>0</v>
      </c>
      <c r="O114" s="180">
        <v>0</v>
      </c>
      <c r="P114" s="180">
        <v>0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45"/>
      <c r="AA114" s="355">
        <f t="shared" si="29"/>
        <v>0.99999999999999989</v>
      </c>
      <c r="AB114" s="356">
        <f t="shared" si="21"/>
        <v>0.99999999999999989</v>
      </c>
    </row>
    <row r="115" spans="1:28" s="128" customFormat="1">
      <c r="A115" s="128" t="s">
        <v>59</v>
      </c>
      <c r="F115" s="132">
        <f t="shared" ref="F115:X115" si="32">$D$113*F114</f>
        <v>17952.713028033384</v>
      </c>
      <c r="G115" s="132">
        <f t="shared" si="32"/>
        <v>28724.340844853414</v>
      </c>
      <c r="H115" s="132">
        <f t="shared" si="32"/>
        <v>17234.604506912048</v>
      </c>
      <c r="I115" s="132">
        <f t="shared" si="32"/>
        <v>10340.762704147228</v>
      </c>
      <c r="J115" s="132">
        <f t="shared" si="32"/>
        <v>10340.762704147228</v>
      </c>
      <c r="K115" s="132">
        <f t="shared" si="32"/>
        <v>5170.3813520736139</v>
      </c>
      <c r="L115" s="132">
        <f t="shared" si="32"/>
        <v>0</v>
      </c>
      <c r="M115" s="132">
        <f t="shared" si="32"/>
        <v>0</v>
      </c>
      <c r="N115" s="132">
        <f t="shared" si="32"/>
        <v>0</v>
      </c>
      <c r="O115" s="132">
        <f t="shared" si="32"/>
        <v>0</v>
      </c>
      <c r="P115" s="132">
        <f t="shared" si="32"/>
        <v>0</v>
      </c>
      <c r="Q115" s="132">
        <f t="shared" si="32"/>
        <v>0</v>
      </c>
      <c r="R115" s="132">
        <f t="shared" si="32"/>
        <v>0</v>
      </c>
      <c r="S115" s="132">
        <f t="shared" si="32"/>
        <v>0</v>
      </c>
      <c r="T115" s="132">
        <f t="shared" si="32"/>
        <v>0</v>
      </c>
      <c r="U115" s="132">
        <f t="shared" si="32"/>
        <v>0</v>
      </c>
      <c r="V115" s="132">
        <f t="shared" si="32"/>
        <v>0</v>
      </c>
      <c r="W115" s="132">
        <f t="shared" si="32"/>
        <v>0</v>
      </c>
      <c r="X115" s="132">
        <f t="shared" si="32"/>
        <v>0</v>
      </c>
      <c r="Y115" s="360"/>
      <c r="AA115" s="355">
        <f t="shared" si="29"/>
        <v>89763.565140166917</v>
      </c>
      <c r="AB115" s="356">
        <f t="shared" si="21"/>
        <v>89763.565140166917</v>
      </c>
    </row>
    <row r="116" spans="1:28" s="128" customFormat="1">
      <c r="A116" s="128" t="s">
        <v>138</v>
      </c>
      <c r="D116" s="143">
        <f>D110</f>
        <v>12484.065780237752</v>
      </c>
      <c r="F116" s="132">
        <f>$D$116*F114</f>
        <v>2496.8131560475504</v>
      </c>
      <c r="G116" s="132">
        <f t="shared" ref="G116:X116" si="33">$D$116*G114</f>
        <v>3994.9010496760807</v>
      </c>
      <c r="H116" s="132">
        <f t="shared" si="33"/>
        <v>2396.9406298056483</v>
      </c>
      <c r="I116" s="132">
        <f t="shared" si="33"/>
        <v>1438.1643778833891</v>
      </c>
      <c r="J116" s="132">
        <f t="shared" si="33"/>
        <v>1438.1643778833891</v>
      </c>
      <c r="K116" s="132">
        <f t="shared" si="33"/>
        <v>719.08218894169454</v>
      </c>
      <c r="L116" s="132">
        <f t="shared" si="33"/>
        <v>0</v>
      </c>
      <c r="M116" s="132">
        <f t="shared" si="33"/>
        <v>0</v>
      </c>
      <c r="N116" s="132">
        <f t="shared" si="33"/>
        <v>0</v>
      </c>
      <c r="O116" s="132">
        <f t="shared" si="33"/>
        <v>0</v>
      </c>
      <c r="P116" s="132">
        <f t="shared" si="33"/>
        <v>0</v>
      </c>
      <c r="Q116" s="132">
        <f t="shared" si="33"/>
        <v>0</v>
      </c>
      <c r="R116" s="132">
        <f t="shared" si="33"/>
        <v>0</v>
      </c>
      <c r="S116" s="132">
        <f t="shared" si="33"/>
        <v>0</v>
      </c>
      <c r="T116" s="132">
        <f t="shared" si="33"/>
        <v>0</v>
      </c>
      <c r="U116" s="132">
        <f t="shared" si="33"/>
        <v>0</v>
      </c>
      <c r="V116" s="132">
        <f t="shared" si="33"/>
        <v>0</v>
      </c>
      <c r="W116" s="132">
        <f t="shared" si="33"/>
        <v>0</v>
      </c>
      <c r="X116" s="132">
        <f t="shared" si="33"/>
        <v>0</v>
      </c>
      <c r="Y116" s="360"/>
      <c r="AA116" s="355">
        <f t="shared" si="29"/>
        <v>12484.065780237754</v>
      </c>
      <c r="AB116" s="356">
        <f t="shared" si="21"/>
        <v>12484.065780237754</v>
      </c>
    </row>
    <row r="117" spans="1:28" s="128" customFormat="1">
      <c r="AA117" s="355">
        <f t="shared" si="29"/>
        <v>0</v>
      </c>
      <c r="AB117" s="356">
        <f t="shared" si="21"/>
        <v>0</v>
      </c>
    </row>
    <row r="118" spans="1:28" s="128" customFormat="1">
      <c r="AA118" s="355">
        <f t="shared" si="29"/>
        <v>0</v>
      </c>
      <c r="AB118" s="356">
        <f t="shared" si="21"/>
        <v>0</v>
      </c>
    </row>
    <row r="119" spans="1:28" s="128" customFormat="1" ht="13.5" thickBot="1">
      <c r="F119" s="99">
        <f>F107</f>
        <v>2001</v>
      </c>
      <c r="G119" s="99">
        <f t="shared" ref="G119:Y119" si="34">G107</f>
        <v>2002</v>
      </c>
      <c r="H119" s="99">
        <f t="shared" si="34"/>
        <v>2003</v>
      </c>
      <c r="I119" s="99">
        <f t="shared" si="34"/>
        <v>2004</v>
      </c>
      <c r="J119" s="99">
        <f t="shared" si="34"/>
        <v>2005</v>
      </c>
      <c r="K119" s="99">
        <f t="shared" si="34"/>
        <v>2006</v>
      </c>
      <c r="L119" s="99">
        <f t="shared" si="34"/>
        <v>2007</v>
      </c>
      <c r="M119" s="99">
        <f t="shared" si="34"/>
        <v>2008</v>
      </c>
      <c r="N119" s="99">
        <f t="shared" si="34"/>
        <v>2009</v>
      </c>
      <c r="O119" s="99">
        <f t="shared" si="34"/>
        <v>2010</v>
      </c>
      <c r="P119" s="99">
        <f t="shared" si="34"/>
        <v>2011</v>
      </c>
      <c r="Q119" s="99">
        <f t="shared" si="34"/>
        <v>2012</v>
      </c>
      <c r="R119" s="99">
        <f t="shared" si="34"/>
        <v>2013</v>
      </c>
      <c r="S119" s="99">
        <f t="shared" si="34"/>
        <v>2014</v>
      </c>
      <c r="T119" s="99">
        <f t="shared" si="34"/>
        <v>2015</v>
      </c>
      <c r="U119" s="99">
        <f t="shared" si="34"/>
        <v>2016</v>
      </c>
      <c r="V119" s="99">
        <f t="shared" si="34"/>
        <v>2017</v>
      </c>
      <c r="W119" s="99">
        <f t="shared" si="34"/>
        <v>2018</v>
      </c>
      <c r="X119" s="99">
        <f t="shared" si="34"/>
        <v>2019</v>
      </c>
      <c r="Y119" s="99">
        <f t="shared" si="34"/>
        <v>2020</v>
      </c>
      <c r="AA119" s="355">
        <f t="shared" si="29"/>
        <v>40210</v>
      </c>
      <c r="AB119" s="356">
        <f t="shared" si="21"/>
        <v>40210</v>
      </c>
    </row>
    <row r="120" spans="1:28" s="128" customFormat="1">
      <c r="A120" s="98" t="s">
        <v>62</v>
      </c>
      <c r="AA120" s="355">
        <f t="shared" si="29"/>
        <v>0</v>
      </c>
      <c r="AB120" s="356">
        <f t="shared" si="21"/>
        <v>0</v>
      </c>
    </row>
    <row r="121" spans="1:28" s="128" customFormat="1">
      <c r="A121" s="146" t="str">
        <f>A64</f>
        <v>EBITDA</v>
      </c>
      <c r="F121" s="132">
        <f>F39</f>
        <v>5489.6500907361888</v>
      </c>
      <c r="G121" s="132">
        <f t="shared" ref="G121:Y121" si="35">G39</f>
        <v>5399.6295399530018</v>
      </c>
      <c r="H121" s="132">
        <f t="shared" si="35"/>
        <v>5442.1220329568314</v>
      </c>
      <c r="I121" s="132">
        <f t="shared" si="35"/>
        <v>5172.4488845753858</v>
      </c>
      <c r="J121" s="132">
        <f>J39</f>
        <v>5220.8909917698911</v>
      </c>
      <c r="K121" s="132">
        <f t="shared" si="35"/>
        <v>5292.1687458382521</v>
      </c>
      <c r="L121" s="132">
        <f t="shared" si="35"/>
        <v>5365.5909773140138</v>
      </c>
      <c r="M121" s="132">
        <f t="shared" si="35"/>
        <v>5443.3802855252234</v>
      </c>
      <c r="N121" s="132">
        <f t="shared" si="35"/>
        <v>5406.7639051893057</v>
      </c>
      <c r="O121" s="132">
        <f t="shared" si="35"/>
        <v>5467.3130990443469</v>
      </c>
      <c r="P121" s="132">
        <f t="shared" si="35"/>
        <v>5479.4803704700798</v>
      </c>
      <c r="Q121" s="132">
        <f t="shared" si="35"/>
        <v>5453.729459931099</v>
      </c>
      <c r="R121" s="132">
        <f t="shared" si="35"/>
        <v>5426.4000271622172</v>
      </c>
      <c r="S121" s="132">
        <f t="shared" si="35"/>
        <v>5448.0071788487276</v>
      </c>
      <c r="T121" s="132">
        <f t="shared" si="35"/>
        <v>5418.7432411423833</v>
      </c>
      <c r="U121" s="132">
        <f t="shared" si="35"/>
        <v>5388.6978455951185</v>
      </c>
      <c r="V121" s="132">
        <f t="shared" si="35"/>
        <v>5357.8579241347988</v>
      </c>
      <c r="W121" s="132">
        <f t="shared" si="35"/>
        <v>5326.2101473278472</v>
      </c>
      <c r="X121" s="132">
        <f t="shared" si="35"/>
        <v>2496.9596410466374</v>
      </c>
      <c r="Y121" s="132">
        <f t="shared" si="35"/>
        <v>0</v>
      </c>
      <c r="AA121" s="355">
        <f t="shared" si="29"/>
        <v>99496.044388561349</v>
      </c>
      <c r="AB121" s="356">
        <f t="shared" si="21"/>
        <v>99496.044388561349</v>
      </c>
    </row>
    <row r="122" spans="1:28" s="128" customFormat="1">
      <c r="A122" s="128" t="s">
        <v>63</v>
      </c>
      <c r="F122" s="132">
        <f>-F115</f>
        <v>-17952.713028033384</v>
      </c>
      <c r="G122" s="132">
        <f t="shared" ref="G122:Y122" si="36">-G115</f>
        <v>-28724.340844853414</v>
      </c>
      <c r="H122" s="132">
        <f t="shared" si="36"/>
        <v>-17234.604506912048</v>
      </c>
      <c r="I122" s="132">
        <f t="shared" si="36"/>
        <v>-10340.762704147228</v>
      </c>
      <c r="J122" s="132">
        <f t="shared" si="36"/>
        <v>-10340.762704147228</v>
      </c>
      <c r="K122" s="132">
        <f t="shared" si="36"/>
        <v>-5170.3813520736139</v>
      </c>
      <c r="L122" s="132">
        <f t="shared" si="36"/>
        <v>0</v>
      </c>
      <c r="M122" s="132">
        <f t="shared" si="36"/>
        <v>0</v>
      </c>
      <c r="N122" s="132">
        <f t="shared" si="36"/>
        <v>0</v>
      </c>
      <c r="O122" s="132">
        <f t="shared" si="36"/>
        <v>0</v>
      </c>
      <c r="P122" s="132">
        <f t="shared" si="36"/>
        <v>0</v>
      </c>
      <c r="Q122" s="132">
        <f t="shared" si="36"/>
        <v>0</v>
      </c>
      <c r="R122" s="132">
        <f t="shared" si="36"/>
        <v>0</v>
      </c>
      <c r="S122" s="132">
        <f t="shared" si="36"/>
        <v>0</v>
      </c>
      <c r="T122" s="132">
        <f t="shared" si="36"/>
        <v>0</v>
      </c>
      <c r="U122" s="132">
        <f t="shared" si="36"/>
        <v>0</v>
      </c>
      <c r="V122" s="132">
        <f t="shared" si="36"/>
        <v>0</v>
      </c>
      <c r="W122" s="132">
        <f t="shared" si="36"/>
        <v>0</v>
      </c>
      <c r="X122" s="132">
        <f t="shared" si="36"/>
        <v>0</v>
      </c>
      <c r="Y122" s="132">
        <f t="shared" si="36"/>
        <v>0</v>
      </c>
      <c r="AA122" s="355">
        <f t="shared" si="29"/>
        <v>-89763.565140166917</v>
      </c>
      <c r="AB122" s="356">
        <f t="shared" si="21"/>
        <v>-89763.565140166917</v>
      </c>
    </row>
    <row r="123" spans="1:28" s="128" customFormat="1">
      <c r="A123" s="128" t="s">
        <v>64</v>
      </c>
      <c r="F123" s="147">
        <f>-F46</f>
        <v>-3164.484375</v>
      </c>
      <c r="G123" s="147">
        <f t="shared" ref="G123:Y123" si="37">-G46</f>
        <v>-3010.0791666666664</v>
      </c>
      <c r="H123" s="147">
        <f t="shared" si="37"/>
        <v>-2848.0216666666665</v>
      </c>
      <c r="I123" s="147">
        <f t="shared" si="37"/>
        <v>-2679.4631250000002</v>
      </c>
      <c r="J123" s="147">
        <f t="shared" si="37"/>
        <v>-2491.4495833333331</v>
      </c>
      <c r="K123" s="147">
        <f t="shared" si="37"/>
        <v>-2291.5235416666665</v>
      </c>
      <c r="L123" s="147">
        <f t="shared" si="37"/>
        <v>-2072.6241666666665</v>
      </c>
      <c r="M123" s="147">
        <f t="shared" si="37"/>
        <v>-1837.2437500000001</v>
      </c>
      <c r="N123" s="147">
        <f t="shared" si="37"/>
        <v>-1584.3795833333331</v>
      </c>
      <c r="O123" s="147">
        <f t="shared" si="37"/>
        <v>-1384.3679166666666</v>
      </c>
      <c r="P123" s="147">
        <f t="shared" si="37"/>
        <v>-1198.1310416666665</v>
      </c>
      <c r="Q123" s="147">
        <f t="shared" si="37"/>
        <v>-998.64625000000001</v>
      </c>
      <c r="R123" s="147">
        <f t="shared" si="37"/>
        <v>-777.1810416666666</v>
      </c>
      <c r="S123" s="147">
        <f t="shared" si="37"/>
        <v>-543</v>
      </c>
      <c r="T123" s="147">
        <f t="shared" si="37"/>
        <v>-292.46916666666664</v>
      </c>
      <c r="U123" s="147">
        <f t="shared" si="37"/>
        <v>-47.008124999999993</v>
      </c>
      <c r="V123" s="147">
        <f t="shared" si="37"/>
        <v>0</v>
      </c>
      <c r="W123" s="147">
        <f t="shared" si="37"/>
        <v>0</v>
      </c>
      <c r="X123" s="147">
        <f t="shared" si="37"/>
        <v>0</v>
      </c>
      <c r="Y123" s="147">
        <f t="shared" si="37"/>
        <v>0</v>
      </c>
      <c r="AA123" s="355">
        <f t="shared" si="29"/>
        <v>-27220.072499999998</v>
      </c>
      <c r="AB123" s="356">
        <f t="shared" si="21"/>
        <v>-27220.072499999998</v>
      </c>
    </row>
    <row r="124" spans="1:28" s="128" customFormat="1">
      <c r="A124" s="128" t="s">
        <v>65</v>
      </c>
      <c r="F124" s="132">
        <f>SUM(F121:F123)</f>
        <v>-15627.547312297196</v>
      </c>
      <c r="G124" s="132">
        <f t="shared" ref="G124:Y124" si="38">SUM(G121:G123)</f>
        <v>-26334.790471567077</v>
      </c>
      <c r="H124" s="132">
        <f t="shared" si="38"/>
        <v>-14640.504140621884</v>
      </c>
      <c r="I124" s="132">
        <f t="shared" si="38"/>
        <v>-7847.7769445718423</v>
      </c>
      <c r="J124" s="132">
        <f t="shared" si="38"/>
        <v>-7611.3212957106698</v>
      </c>
      <c r="K124" s="132">
        <f t="shared" si="38"/>
        <v>-2169.7361479020283</v>
      </c>
      <c r="L124" s="132">
        <f t="shared" si="38"/>
        <v>3292.9668106473473</v>
      </c>
      <c r="M124" s="132">
        <f t="shared" si="38"/>
        <v>3606.1365355252233</v>
      </c>
      <c r="N124" s="132">
        <f t="shared" si="38"/>
        <v>3822.3843218559723</v>
      </c>
      <c r="O124" s="132">
        <f t="shared" si="38"/>
        <v>4082.9451823776803</v>
      </c>
      <c r="P124" s="132">
        <f t="shared" si="38"/>
        <v>4281.3493288034133</v>
      </c>
      <c r="Q124" s="132">
        <f t="shared" si="38"/>
        <v>4455.0832099310992</v>
      </c>
      <c r="R124" s="132">
        <f t="shared" si="38"/>
        <v>4649.2189854955504</v>
      </c>
      <c r="S124" s="132">
        <f t="shared" si="38"/>
        <v>4905.0071788487276</v>
      </c>
      <c r="T124" s="132">
        <f t="shared" si="38"/>
        <v>5126.2740744757166</v>
      </c>
      <c r="U124" s="132">
        <f t="shared" si="38"/>
        <v>5341.6897205951182</v>
      </c>
      <c r="V124" s="132">
        <f t="shared" si="38"/>
        <v>5357.8579241347988</v>
      </c>
      <c r="W124" s="132">
        <f t="shared" si="38"/>
        <v>5326.2101473278472</v>
      </c>
      <c r="X124" s="132">
        <f t="shared" si="38"/>
        <v>2496.9596410466374</v>
      </c>
      <c r="Y124" s="132">
        <f t="shared" si="38"/>
        <v>0</v>
      </c>
      <c r="AA124" s="355">
        <f t="shared" si="29"/>
        <v>-17487.593251605573</v>
      </c>
      <c r="AB124" s="356">
        <f t="shared" si="21"/>
        <v>-17487.593251605573</v>
      </c>
    </row>
    <row r="125" spans="1:28" s="128" customFormat="1">
      <c r="AA125" s="355">
        <f t="shared" si="29"/>
        <v>0</v>
      </c>
      <c r="AB125" s="356">
        <f t="shared" si="21"/>
        <v>0</v>
      </c>
    </row>
    <row r="126" spans="1:28" s="128" customFormat="1">
      <c r="A126" s="128" t="s">
        <v>77</v>
      </c>
      <c r="C126" s="148">
        <f>C51</f>
        <v>0</v>
      </c>
      <c r="F126" s="132">
        <f>-F124*$C$126</f>
        <v>0</v>
      </c>
      <c r="G126" s="132">
        <f t="shared" ref="G126:Y126" si="39">-G124*$C$126</f>
        <v>0</v>
      </c>
      <c r="H126" s="132">
        <f t="shared" si="39"/>
        <v>0</v>
      </c>
      <c r="I126" s="132">
        <f t="shared" si="39"/>
        <v>0</v>
      </c>
      <c r="J126" s="132">
        <f t="shared" si="39"/>
        <v>0</v>
      </c>
      <c r="K126" s="132">
        <f t="shared" si="39"/>
        <v>0</v>
      </c>
      <c r="L126" s="132">
        <f t="shared" si="39"/>
        <v>0</v>
      </c>
      <c r="M126" s="132">
        <f t="shared" si="39"/>
        <v>0</v>
      </c>
      <c r="N126" s="132">
        <f t="shared" si="39"/>
        <v>0</v>
      </c>
      <c r="O126" s="132">
        <f t="shared" si="39"/>
        <v>0</v>
      </c>
      <c r="P126" s="132">
        <f t="shared" si="39"/>
        <v>0</v>
      </c>
      <c r="Q126" s="132">
        <f t="shared" si="39"/>
        <v>0</v>
      </c>
      <c r="R126" s="132">
        <f t="shared" si="39"/>
        <v>0</v>
      </c>
      <c r="S126" s="132">
        <f t="shared" si="39"/>
        <v>0</v>
      </c>
      <c r="T126" s="132">
        <f t="shared" si="39"/>
        <v>0</v>
      </c>
      <c r="U126" s="132">
        <f t="shared" si="39"/>
        <v>0</v>
      </c>
      <c r="V126" s="132">
        <f t="shared" si="39"/>
        <v>0</v>
      </c>
      <c r="W126" s="132">
        <f t="shared" si="39"/>
        <v>0</v>
      </c>
      <c r="X126" s="132">
        <f t="shared" si="39"/>
        <v>0</v>
      </c>
      <c r="Y126" s="132">
        <f t="shared" si="39"/>
        <v>0</v>
      </c>
      <c r="AA126" s="355">
        <f t="shared" si="29"/>
        <v>0</v>
      </c>
      <c r="AB126" s="356">
        <f t="shared" si="21"/>
        <v>0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5469.6415593040183</v>
      </c>
      <c r="G127" s="132">
        <f t="shared" ref="G127:Y127" si="40">-(G124+G126)*$C$127</f>
        <v>9217.1766650484769</v>
      </c>
      <c r="H127" s="132">
        <f t="shared" si="40"/>
        <v>5124.176449217659</v>
      </c>
      <c r="I127" s="132">
        <f t="shared" si="40"/>
        <v>2746.7219306001448</v>
      </c>
      <c r="J127" s="132">
        <f t="shared" si="40"/>
        <v>2663.9624534987342</v>
      </c>
      <c r="K127" s="132">
        <f t="shared" si="40"/>
        <v>759.40765176570983</v>
      </c>
      <c r="L127" s="132">
        <f t="shared" si="40"/>
        <v>-1152.5383837265715</v>
      </c>
      <c r="M127" s="132">
        <f t="shared" si="40"/>
        <v>-1262.1477874338282</v>
      </c>
      <c r="N127" s="132">
        <f t="shared" si="40"/>
        <v>-1337.8345126495901</v>
      </c>
      <c r="O127" s="132">
        <f t="shared" si="40"/>
        <v>-1429.030813832188</v>
      </c>
      <c r="P127" s="132">
        <f t="shared" si="40"/>
        <v>-1498.4722650811946</v>
      </c>
      <c r="Q127" s="132">
        <f t="shared" si="40"/>
        <v>-1559.2791234758847</v>
      </c>
      <c r="R127" s="132">
        <f t="shared" si="40"/>
        <v>-1627.2266449234426</v>
      </c>
      <c r="S127" s="132">
        <f t="shared" si="40"/>
        <v>-1716.7525125970546</v>
      </c>
      <c r="T127" s="132">
        <f t="shared" si="40"/>
        <v>-1794.1959260665008</v>
      </c>
      <c r="U127" s="132">
        <f t="shared" si="40"/>
        <v>-1869.5914022082911</v>
      </c>
      <c r="V127" s="132">
        <f t="shared" si="40"/>
        <v>-1875.2502734471796</v>
      </c>
      <c r="W127" s="132">
        <f t="shared" si="40"/>
        <v>-1864.1735515647463</v>
      </c>
      <c r="X127" s="132">
        <f t="shared" si="40"/>
        <v>-873.93587436632311</v>
      </c>
      <c r="Y127" s="132">
        <f t="shared" si="40"/>
        <v>0</v>
      </c>
      <c r="AA127" s="355">
        <f t="shared" si="29"/>
        <v>6120.6576380619454</v>
      </c>
      <c r="AB127" s="356">
        <f t="shared" si="21"/>
        <v>6120.6576380619454</v>
      </c>
    </row>
    <row r="128" spans="1:28" s="128" customFormat="1">
      <c r="AA128" s="355">
        <f t="shared" si="29"/>
        <v>0</v>
      </c>
      <c r="AB128" s="356">
        <f t="shared" si="21"/>
        <v>0</v>
      </c>
    </row>
    <row r="129" spans="1:28" s="128" customFormat="1">
      <c r="AA129" s="355">
        <f t="shared" si="29"/>
        <v>0</v>
      </c>
      <c r="AB129" s="356">
        <f t="shared" si="21"/>
        <v>0</v>
      </c>
    </row>
    <row r="130" spans="1:28" s="128" customFormat="1">
      <c r="AA130" s="355">
        <f t="shared" si="29"/>
        <v>0</v>
      </c>
      <c r="AB130" s="356">
        <f t="shared" si="21"/>
        <v>0</v>
      </c>
    </row>
    <row r="131" spans="1:28" s="128" customFormat="1">
      <c r="AA131" s="355">
        <f t="shared" si="29"/>
        <v>0</v>
      </c>
      <c r="AB131" s="356">
        <f t="shared" si="21"/>
        <v>0</v>
      </c>
    </row>
    <row r="132" spans="1:28" s="128" customFormat="1">
      <c r="AA132" s="355">
        <f t="shared" si="29"/>
        <v>0</v>
      </c>
      <c r="AB132" s="356">
        <f t="shared" si="21"/>
        <v>0</v>
      </c>
    </row>
    <row r="133" spans="1:28" s="128" customFormat="1">
      <c r="AA133" s="355">
        <f t="shared" si="29"/>
        <v>0</v>
      </c>
      <c r="AB133" s="356">
        <f t="shared" si="21"/>
        <v>0</v>
      </c>
    </row>
    <row r="134" spans="1:28" s="128" customFormat="1">
      <c r="AA134" s="355">
        <f t="shared" si="29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1">G119</f>
        <v>2002</v>
      </c>
      <c r="H135" s="99">
        <f t="shared" si="41"/>
        <v>2003</v>
      </c>
      <c r="I135" s="99">
        <f t="shared" si="41"/>
        <v>2004</v>
      </c>
      <c r="J135" s="99">
        <f t="shared" si="41"/>
        <v>2005</v>
      </c>
      <c r="K135" s="99">
        <f t="shared" si="41"/>
        <v>2006</v>
      </c>
      <c r="L135" s="99">
        <f t="shared" si="41"/>
        <v>2007</v>
      </c>
      <c r="M135" s="99">
        <f t="shared" si="41"/>
        <v>2008</v>
      </c>
      <c r="N135" s="99">
        <f t="shared" si="41"/>
        <v>2009</v>
      </c>
      <c r="O135" s="99">
        <f t="shared" si="41"/>
        <v>2010</v>
      </c>
      <c r="P135" s="99">
        <f t="shared" si="41"/>
        <v>2011</v>
      </c>
      <c r="Q135" s="99">
        <f t="shared" si="41"/>
        <v>2012</v>
      </c>
      <c r="R135" s="99">
        <f t="shared" si="41"/>
        <v>2013</v>
      </c>
      <c r="S135" s="99">
        <f t="shared" si="41"/>
        <v>2014</v>
      </c>
      <c r="T135" s="99">
        <f t="shared" si="41"/>
        <v>2015</v>
      </c>
      <c r="U135" s="99">
        <f t="shared" si="41"/>
        <v>2016</v>
      </c>
      <c r="V135" s="99">
        <f t="shared" si="41"/>
        <v>2017</v>
      </c>
      <c r="W135" s="99">
        <f t="shared" si="41"/>
        <v>2018</v>
      </c>
      <c r="X135" s="99">
        <f t="shared" si="41"/>
        <v>2019</v>
      </c>
      <c r="Y135" s="99">
        <f t="shared" si="41"/>
        <v>2020</v>
      </c>
      <c r="AA135" s="355">
        <f t="shared" si="29"/>
        <v>40210</v>
      </c>
      <c r="AB135" s="356">
        <f t="shared" ref="AB135:AB151" si="42">AA135</f>
        <v>40210</v>
      </c>
    </row>
    <row r="136" spans="1:28" s="128" customFormat="1">
      <c r="AA136" s="355">
        <f t="shared" si="29"/>
        <v>0</v>
      </c>
      <c r="AB136" s="356">
        <f t="shared" si="42"/>
        <v>0</v>
      </c>
    </row>
    <row r="137" spans="1:28" s="128" customFormat="1">
      <c r="A137" s="128" t="s">
        <v>78</v>
      </c>
      <c r="B137" s="128" t="s">
        <v>113</v>
      </c>
      <c r="E137" s="128">
        <v>1</v>
      </c>
      <c r="F137" s="181">
        <f>F46*$E$137</f>
        <v>3164.484375</v>
      </c>
      <c r="G137" s="181">
        <f t="shared" ref="G137:Y137" si="43">G46*$E$137</f>
        <v>3010.0791666666664</v>
      </c>
      <c r="H137" s="181">
        <f t="shared" si="43"/>
        <v>2848.0216666666665</v>
      </c>
      <c r="I137" s="181">
        <f t="shared" si="43"/>
        <v>2679.4631250000002</v>
      </c>
      <c r="J137" s="181">
        <f t="shared" si="43"/>
        <v>2491.4495833333331</v>
      </c>
      <c r="K137" s="181">
        <f t="shared" si="43"/>
        <v>2291.5235416666665</v>
      </c>
      <c r="L137" s="181">
        <f t="shared" si="43"/>
        <v>2072.6241666666665</v>
      </c>
      <c r="M137" s="181">
        <f t="shared" si="43"/>
        <v>1837.2437500000001</v>
      </c>
      <c r="N137" s="181">
        <f t="shared" si="43"/>
        <v>1584.3795833333331</v>
      </c>
      <c r="O137" s="181">
        <f t="shared" si="43"/>
        <v>1384.3679166666666</v>
      </c>
      <c r="P137" s="181">
        <f t="shared" si="43"/>
        <v>1198.1310416666665</v>
      </c>
      <c r="Q137" s="181">
        <f t="shared" si="43"/>
        <v>998.64625000000001</v>
      </c>
      <c r="R137" s="181">
        <f t="shared" si="43"/>
        <v>777.1810416666666</v>
      </c>
      <c r="S137" s="181">
        <f t="shared" si="43"/>
        <v>543</v>
      </c>
      <c r="T137" s="181">
        <f t="shared" si="43"/>
        <v>292.46916666666664</v>
      </c>
      <c r="U137" s="181">
        <f t="shared" si="43"/>
        <v>47.008124999999993</v>
      </c>
      <c r="V137" s="181">
        <f t="shared" si="43"/>
        <v>0</v>
      </c>
      <c r="W137" s="181">
        <f t="shared" si="43"/>
        <v>0</v>
      </c>
      <c r="X137" s="181">
        <f t="shared" si="43"/>
        <v>0</v>
      </c>
      <c r="Y137" s="181">
        <f t="shared" si="43"/>
        <v>0</v>
      </c>
      <c r="AA137" s="355">
        <f t="shared" si="29"/>
        <v>27220.072499999998</v>
      </c>
      <c r="AB137" s="356">
        <f t="shared" si="42"/>
        <v>27220.072499999998</v>
      </c>
    </row>
    <row r="138" spans="1:28" s="128" customFormat="1">
      <c r="A138" s="128" t="s">
        <v>67</v>
      </c>
      <c r="F138" s="147">
        <f t="shared" ref="F138:Y138" si="44">SUM(F33:F35)</f>
        <v>104.04</v>
      </c>
      <c r="G138" s="147">
        <f t="shared" si="44"/>
        <v>106.1208</v>
      </c>
      <c r="H138" s="147">
        <f t="shared" si="44"/>
        <v>108.243216</v>
      </c>
      <c r="I138" s="147">
        <f t="shared" si="44"/>
        <v>110.40808032000001</v>
      </c>
      <c r="J138" s="147">
        <f t="shared" si="44"/>
        <v>112.61624192640001</v>
      </c>
      <c r="K138" s="147">
        <f t="shared" si="44"/>
        <v>114.868566764928</v>
      </c>
      <c r="L138" s="147">
        <f t="shared" si="44"/>
        <v>117.16593810022657</v>
      </c>
      <c r="M138" s="147">
        <f t="shared" si="44"/>
        <v>119.5092568622311</v>
      </c>
      <c r="N138" s="147">
        <f t="shared" si="44"/>
        <v>121.89944199947573</v>
      </c>
      <c r="O138" s="147">
        <f t="shared" si="44"/>
        <v>124.33743083946524</v>
      </c>
      <c r="P138" s="147">
        <f t="shared" si="44"/>
        <v>126.82417945625456</v>
      </c>
      <c r="Q138" s="147">
        <f t="shared" si="44"/>
        <v>129.36066304537965</v>
      </c>
      <c r="R138" s="147">
        <f t="shared" si="44"/>
        <v>131.94787630628724</v>
      </c>
      <c r="S138" s="147">
        <f t="shared" si="44"/>
        <v>134.58683383241299</v>
      </c>
      <c r="T138" s="147">
        <f t="shared" si="44"/>
        <v>137.27857050906127</v>
      </c>
      <c r="U138" s="147">
        <f t="shared" si="44"/>
        <v>140.02414191924251</v>
      </c>
      <c r="V138" s="147">
        <f t="shared" si="44"/>
        <v>142.82462475762736</v>
      </c>
      <c r="W138" s="147">
        <f t="shared" si="44"/>
        <v>145.6811172527799</v>
      </c>
      <c r="X138" s="147">
        <f t="shared" si="44"/>
        <v>73.686706485501986</v>
      </c>
      <c r="Y138" s="147">
        <f t="shared" si="44"/>
        <v>0</v>
      </c>
      <c r="AA138" s="355">
        <f t="shared" si="29"/>
        <v>2301.423686377274</v>
      </c>
      <c r="AB138" s="356">
        <f t="shared" si="42"/>
        <v>2301.423686377274</v>
      </c>
    </row>
    <row r="139" spans="1:28" s="128" customFormat="1">
      <c r="A139" s="128" t="s">
        <v>68</v>
      </c>
      <c r="F139" s="132">
        <f>F137+F138</f>
        <v>3268.524375</v>
      </c>
      <c r="G139" s="132">
        <f t="shared" ref="G139:Y139" si="45">G137+G138</f>
        <v>3116.1999666666666</v>
      </c>
      <c r="H139" s="132">
        <f t="shared" si="45"/>
        <v>2956.2648826666664</v>
      </c>
      <c r="I139" s="132">
        <f t="shared" si="45"/>
        <v>2789.8712053200002</v>
      </c>
      <c r="J139" s="132">
        <f t="shared" si="45"/>
        <v>2604.0658252597332</v>
      </c>
      <c r="K139" s="132">
        <f t="shared" si="45"/>
        <v>2406.3921084315944</v>
      </c>
      <c r="L139" s="132">
        <f t="shared" si="45"/>
        <v>2189.7901047668929</v>
      </c>
      <c r="M139" s="132">
        <f t="shared" si="45"/>
        <v>1956.7530068622311</v>
      </c>
      <c r="N139" s="132">
        <f t="shared" si="45"/>
        <v>1706.2790253328089</v>
      </c>
      <c r="O139" s="132">
        <f t="shared" si="45"/>
        <v>1508.7053475061318</v>
      </c>
      <c r="P139" s="132">
        <f t="shared" si="45"/>
        <v>1324.9552211229211</v>
      </c>
      <c r="Q139" s="132">
        <f t="shared" si="45"/>
        <v>1128.0069130453796</v>
      </c>
      <c r="R139" s="132">
        <f t="shared" si="45"/>
        <v>909.12891797295379</v>
      </c>
      <c r="S139" s="132">
        <f t="shared" si="45"/>
        <v>677.58683383241305</v>
      </c>
      <c r="T139" s="132">
        <f t="shared" si="45"/>
        <v>429.74773717572793</v>
      </c>
      <c r="U139" s="132">
        <f t="shared" si="45"/>
        <v>187.03226691924249</v>
      </c>
      <c r="V139" s="132">
        <f t="shared" si="45"/>
        <v>142.82462475762736</v>
      </c>
      <c r="W139" s="132">
        <f t="shared" si="45"/>
        <v>145.6811172527799</v>
      </c>
      <c r="X139" s="132">
        <f t="shared" si="45"/>
        <v>73.686706485501986</v>
      </c>
      <c r="Y139" s="132">
        <f t="shared" si="45"/>
        <v>0</v>
      </c>
      <c r="AA139" s="355">
        <f t="shared" si="29"/>
        <v>29521.496186377281</v>
      </c>
      <c r="AB139" s="356">
        <f t="shared" si="42"/>
        <v>29521.496186377281</v>
      </c>
    </row>
    <row r="140" spans="1:28" s="128" customFormat="1">
      <c r="A140" s="128" t="s">
        <v>69</v>
      </c>
      <c r="C140" s="148">
        <f>C126</f>
        <v>0</v>
      </c>
      <c r="F140" s="132">
        <f>F139*$C$140</f>
        <v>0</v>
      </c>
      <c r="G140" s="132">
        <f t="shared" ref="G140:Y140" si="46">G139*$C$140</f>
        <v>0</v>
      </c>
      <c r="H140" s="132">
        <f t="shared" si="46"/>
        <v>0</v>
      </c>
      <c r="I140" s="132">
        <f t="shared" si="46"/>
        <v>0</v>
      </c>
      <c r="J140" s="132">
        <f t="shared" si="46"/>
        <v>0</v>
      </c>
      <c r="K140" s="132">
        <f t="shared" si="46"/>
        <v>0</v>
      </c>
      <c r="L140" s="132">
        <f t="shared" si="46"/>
        <v>0</v>
      </c>
      <c r="M140" s="132">
        <f t="shared" si="46"/>
        <v>0</v>
      </c>
      <c r="N140" s="132">
        <f t="shared" si="46"/>
        <v>0</v>
      </c>
      <c r="O140" s="132">
        <f t="shared" si="46"/>
        <v>0</v>
      </c>
      <c r="P140" s="132">
        <f t="shared" si="46"/>
        <v>0</v>
      </c>
      <c r="Q140" s="132">
        <f t="shared" si="46"/>
        <v>0</v>
      </c>
      <c r="R140" s="132">
        <f t="shared" si="46"/>
        <v>0</v>
      </c>
      <c r="S140" s="132">
        <f t="shared" si="46"/>
        <v>0</v>
      </c>
      <c r="T140" s="132">
        <f t="shared" si="46"/>
        <v>0</v>
      </c>
      <c r="U140" s="132">
        <f t="shared" si="46"/>
        <v>0</v>
      </c>
      <c r="V140" s="132">
        <f t="shared" si="46"/>
        <v>0</v>
      </c>
      <c r="W140" s="132">
        <f t="shared" si="46"/>
        <v>0</v>
      </c>
      <c r="X140" s="132">
        <f t="shared" si="46"/>
        <v>0</v>
      </c>
      <c r="Y140" s="132">
        <f t="shared" si="46"/>
        <v>0</v>
      </c>
      <c r="AA140" s="355">
        <f t="shared" si="29"/>
        <v>0</v>
      </c>
      <c r="AB140" s="356">
        <f t="shared" si="42"/>
        <v>0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1143.9835312499999</v>
      </c>
      <c r="G141" s="147">
        <f t="shared" ref="G141:Y141" si="47">(G139-G140)*$C$141</f>
        <v>1090.6699883333333</v>
      </c>
      <c r="H141" s="147">
        <f t="shared" si="47"/>
        <v>1034.6927089333333</v>
      </c>
      <c r="I141" s="147">
        <f t="shared" si="47"/>
        <v>976.45492186199999</v>
      </c>
      <c r="J141" s="147">
        <f t="shared" si="47"/>
        <v>911.42303884090654</v>
      </c>
      <c r="K141" s="147">
        <f t="shared" si="47"/>
        <v>842.23723795105798</v>
      </c>
      <c r="L141" s="147">
        <f t="shared" si="47"/>
        <v>766.4265366684125</v>
      </c>
      <c r="M141" s="147">
        <f t="shared" si="47"/>
        <v>684.86355240178091</v>
      </c>
      <c r="N141" s="147">
        <f t="shared" si="47"/>
        <v>597.19765886648304</v>
      </c>
      <c r="O141" s="147">
        <f t="shared" si="47"/>
        <v>528.04687162714606</v>
      </c>
      <c r="P141" s="147">
        <f t="shared" si="47"/>
        <v>463.73432739302234</v>
      </c>
      <c r="Q141" s="147">
        <f t="shared" si="47"/>
        <v>394.80241956588287</v>
      </c>
      <c r="R141" s="147">
        <f t="shared" si="47"/>
        <v>318.19512129053379</v>
      </c>
      <c r="S141" s="147">
        <f t="shared" si="47"/>
        <v>237.15539184134454</v>
      </c>
      <c r="T141" s="147">
        <f t="shared" si="47"/>
        <v>150.41170801150477</v>
      </c>
      <c r="U141" s="147">
        <f t="shared" si="47"/>
        <v>65.461293421734865</v>
      </c>
      <c r="V141" s="147">
        <f t="shared" si="47"/>
        <v>49.988618665169575</v>
      </c>
      <c r="W141" s="147">
        <f t="shared" si="47"/>
        <v>50.988391038472962</v>
      </c>
      <c r="X141" s="147">
        <f t="shared" si="47"/>
        <v>25.790347269925693</v>
      </c>
      <c r="Y141" s="147">
        <f t="shared" si="47"/>
        <v>0</v>
      </c>
      <c r="AA141" s="355">
        <f t="shared" si="29"/>
        <v>10332.523665232042</v>
      </c>
      <c r="AB141" s="356">
        <f t="shared" si="42"/>
        <v>10332.523665232042</v>
      </c>
    </row>
    <row r="142" spans="1:28" s="128" customFormat="1">
      <c r="A142" s="128" t="s">
        <v>71</v>
      </c>
      <c r="F142" s="132">
        <f>F139-F140-F141</f>
        <v>2124.54084375</v>
      </c>
      <c r="G142" s="132">
        <f t="shared" ref="G142:Y142" si="48">G139-G140-G141</f>
        <v>2025.5299783333332</v>
      </c>
      <c r="H142" s="132">
        <f t="shared" si="48"/>
        <v>1921.5721737333331</v>
      </c>
      <c r="I142" s="132">
        <f t="shared" si="48"/>
        <v>1813.4162834580002</v>
      </c>
      <c r="J142" s="132">
        <f t="shared" si="48"/>
        <v>1692.6427864188267</v>
      </c>
      <c r="K142" s="132">
        <f t="shared" si="48"/>
        <v>1564.1548704805364</v>
      </c>
      <c r="L142" s="132">
        <f t="shared" si="48"/>
        <v>1423.3635680984803</v>
      </c>
      <c r="M142" s="132">
        <f t="shared" si="48"/>
        <v>1271.8894544604502</v>
      </c>
      <c r="N142" s="132">
        <f t="shared" si="48"/>
        <v>1109.081366466326</v>
      </c>
      <c r="O142" s="132">
        <f t="shared" si="48"/>
        <v>980.65847587898577</v>
      </c>
      <c r="P142" s="132">
        <f t="shared" si="48"/>
        <v>861.22089372989876</v>
      </c>
      <c r="Q142" s="132">
        <f t="shared" si="48"/>
        <v>733.2044934794967</v>
      </c>
      <c r="R142" s="132">
        <f t="shared" si="48"/>
        <v>590.93379668242005</v>
      </c>
      <c r="S142" s="132">
        <f t="shared" si="48"/>
        <v>440.43144199106848</v>
      </c>
      <c r="T142" s="132">
        <f t="shared" si="48"/>
        <v>279.33602916422319</v>
      </c>
      <c r="U142" s="132">
        <f t="shared" si="48"/>
        <v>121.57097349750762</v>
      </c>
      <c r="V142" s="132">
        <f t="shared" si="48"/>
        <v>92.836006092457779</v>
      </c>
      <c r="W142" s="132">
        <f t="shared" si="48"/>
        <v>94.69272621430693</v>
      </c>
      <c r="X142" s="132">
        <f t="shared" si="48"/>
        <v>47.896359215576297</v>
      </c>
      <c r="Y142" s="132">
        <f t="shared" si="48"/>
        <v>0</v>
      </c>
      <c r="AA142" s="355">
        <f t="shared" si="29"/>
        <v>19188.972521145231</v>
      </c>
      <c r="AB142" s="356">
        <f t="shared" si="42"/>
        <v>19188.972521145231</v>
      </c>
    </row>
    <row r="143" spans="1:28" s="128" customFormat="1">
      <c r="AA143" s="355">
        <f t="shared" si="29"/>
        <v>0</v>
      </c>
      <c r="AB143" s="356">
        <f t="shared" si="42"/>
        <v>0</v>
      </c>
    </row>
    <row r="144" spans="1:28" s="128" customFormat="1">
      <c r="A144" s="146" t="str">
        <f>A76</f>
        <v>Net Income to FPLE</v>
      </c>
      <c r="F144" s="149">
        <f>F76</f>
        <v>4662.4126056175492</v>
      </c>
      <c r="G144" s="149">
        <f t="shared" ref="G144:Y144" si="49">G76</f>
        <v>4704.2626330251451</v>
      </c>
      <c r="H144" s="149">
        <f t="shared" si="49"/>
        <v>5120.323177943691</v>
      </c>
      <c r="I144" s="149">
        <f t="shared" si="49"/>
        <v>5054.5986835790845</v>
      </c>
      <c r="J144" s="149">
        <f t="shared" si="49"/>
        <v>5491.3979048049041</v>
      </c>
      <c r="K144" s="149">
        <f t="shared" si="49"/>
        <v>5667.6803720326716</v>
      </c>
      <c r="L144" s="149">
        <f t="shared" si="49"/>
        <v>5857.6894162419167</v>
      </c>
      <c r="M144" s="149">
        <f t="shared" si="49"/>
        <v>6344.3527868785932</v>
      </c>
      <c r="N144" s="149">
        <f t="shared" si="49"/>
        <v>1185.7918941259361</v>
      </c>
      <c r="O144" s="149">
        <f t="shared" si="49"/>
        <v>709.1143685454922</v>
      </c>
      <c r="P144" s="149">
        <f t="shared" si="49"/>
        <v>838.07706372221867</v>
      </c>
      <c r="Q144" s="149">
        <f t="shared" si="49"/>
        <v>951.00408645521441</v>
      </c>
      <c r="R144" s="149">
        <f t="shared" si="49"/>
        <v>1077.1923405721077</v>
      </c>
      <c r="S144" s="149">
        <f t="shared" si="49"/>
        <v>1243.454666251673</v>
      </c>
      <c r="T144" s="149">
        <f t="shared" si="49"/>
        <v>1387.2781484092159</v>
      </c>
      <c r="U144" s="149">
        <f t="shared" si="49"/>
        <v>1527.2983183868273</v>
      </c>
      <c r="V144" s="149">
        <f t="shared" si="49"/>
        <v>1537.8076506876193</v>
      </c>
      <c r="W144" s="149">
        <f t="shared" si="49"/>
        <v>1517.2365957631007</v>
      </c>
      <c r="X144" s="149">
        <f t="shared" si="49"/>
        <v>-321.77623331968567</v>
      </c>
      <c r="Y144" s="149">
        <f t="shared" si="49"/>
        <v>0</v>
      </c>
      <c r="AA144" s="355">
        <f t="shared" si="29"/>
        <v>54555.196479723272</v>
      </c>
      <c r="AB144" s="356">
        <f t="shared" si="42"/>
        <v>54555.196479723272</v>
      </c>
    </row>
    <row r="145" spans="1:28" s="128" customFormat="1">
      <c r="A145" s="103" t="s">
        <v>79</v>
      </c>
      <c r="F145" s="142">
        <f>F142+F144</f>
        <v>6786.9534493675492</v>
      </c>
      <c r="G145" s="142">
        <f t="shared" ref="G145:Y145" si="50">G142+G144</f>
        <v>6729.7926113584781</v>
      </c>
      <c r="H145" s="142">
        <f t="shared" si="50"/>
        <v>7041.8953516770243</v>
      </c>
      <c r="I145" s="142">
        <f t="shared" si="50"/>
        <v>6868.0149670370847</v>
      </c>
      <c r="J145" s="142">
        <f t="shared" si="50"/>
        <v>7184.0406912237304</v>
      </c>
      <c r="K145" s="142">
        <f t="shared" si="50"/>
        <v>7231.835242513208</v>
      </c>
      <c r="L145" s="142">
        <f t="shared" si="50"/>
        <v>7281.0529843403965</v>
      </c>
      <c r="M145" s="142">
        <f t="shared" si="50"/>
        <v>7616.2422413390432</v>
      </c>
      <c r="N145" s="142">
        <f t="shared" si="50"/>
        <v>2294.8732605922623</v>
      </c>
      <c r="O145" s="142">
        <f t="shared" si="50"/>
        <v>1689.7728444244781</v>
      </c>
      <c r="P145" s="142">
        <f t="shared" si="50"/>
        <v>1699.2979574521173</v>
      </c>
      <c r="Q145" s="142">
        <f t="shared" si="50"/>
        <v>1684.208579934711</v>
      </c>
      <c r="R145" s="142">
        <f t="shared" si="50"/>
        <v>1668.1261372545277</v>
      </c>
      <c r="S145" s="142">
        <f t="shared" si="50"/>
        <v>1683.8861082427416</v>
      </c>
      <c r="T145" s="142">
        <f t="shared" si="50"/>
        <v>1666.6141775734391</v>
      </c>
      <c r="U145" s="142">
        <f t="shared" si="50"/>
        <v>1648.8692918843349</v>
      </c>
      <c r="V145" s="142">
        <f t="shared" si="50"/>
        <v>1630.6436567800772</v>
      </c>
      <c r="W145" s="142">
        <f t="shared" si="50"/>
        <v>1611.9293219774077</v>
      </c>
      <c r="X145" s="142">
        <f t="shared" si="50"/>
        <v>-273.87987410410938</v>
      </c>
      <c r="Y145" s="142">
        <f t="shared" si="50"/>
        <v>0</v>
      </c>
      <c r="AA145" s="355">
        <f t="shared" si="29"/>
        <v>73744.169000868511</v>
      </c>
      <c r="AB145" s="356">
        <f t="shared" si="42"/>
        <v>73744.169000868511</v>
      </c>
    </row>
    <row r="146" spans="1:28" s="128" customFormat="1">
      <c r="AA146" s="355">
        <f t="shared" si="29"/>
        <v>0</v>
      </c>
      <c r="AB146" s="356">
        <f t="shared" si="42"/>
        <v>0</v>
      </c>
    </row>
    <row r="147" spans="1:28" s="128" customFormat="1">
      <c r="AA147" s="355">
        <f t="shared" si="29"/>
        <v>0</v>
      </c>
      <c r="AB147" s="356">
        <f t="shared" si="42"/>
        <v>0</v>
      </c>
    </row>
    <row r="148" spans="1:28" s="128" customFormat="1">
      <c r="AA148" s="355">
        <f t="shared" si="29"/>
        <v>0</v>
      </c>
      <c r="AB148" s="356">
        <f t="shared" si="42"/>
        <v>0</v>
      </c>
    </row>
    <row r="149" spans="1:28" s="128" customFormat="1">
      <c r="A149" s="105" t="s">
        <v>110</v>
      </c>
      <c r="AA149" s="355">
        <f t="shared" si="29"/>
        <v>0</v>
      </c>
      <c r="AB149" s="356">
        <f t="shared" si="42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(1-((F140+F141)/F139))*F138</f>
        <v>67.626000000000005</v>
      </c>
      <c r="G150" s="129">
        <f t="shared" ref="G150:X150" si="51">(1-((G140+G141)/G139))*G138</f>
        <v>68.978519999999989</v>
      </c>
      <c r="H150" s="129">
        <f t="shared" si="51"/>
        <v>70.358090399999995</v>
      </c>
      <c r="I150" s="129">
        <f t="shared" si="51"/>
        <v>71.765252208000007</v>
      </c>
      <c r="J150" s="129">
        <f t="shared" si="51"/>
        <v>73.20055725216001</v>
      </c>
      <c r="K150" s="129">
        <f t="shared" si="51"/>
        <v>74.664568397203212</v>
      </c>
      <c r="L150" s="129">
        <f t="shared" si="51"/>
        <v>76.157859765147279</v>
      </c>
      <c r="M150" s="129">
        <f t="shared" si="51"/>
        <v>77.681016960450208</v>
      </c>
      <c r="N150" s="129">
        <f t="shared" si="51"/>
        <v>79.234637299659241</v>
      </c>
      <c r="O150" s="129">
        <f t="shared" si="51"/>
        <v>80.819330045652421</v>
      </c>
      <c r="P150" s="129">
        <f t="shared" si="51"/>
        <v>82.435716646565467</v>
      </c>
      <c r="Q150" s="129">
        <f t="shared" si="51"/>
        <v>84.084430979496773</v>
      </c>
      <c r="R150" s="129">
        <f t="shared" si="51"/>
        <v>85.766119599086707</v>
      </c>
      <c r="S150" s="129">
        <f t="shared" si="51"/>
        <v>87.481441991068451</v>
      </c>
      <c r="T150" s="129">
        <f t="shared" si="51"/>
        <v>89.231070830889834</v>
      </c>
      <c r="U150" s="129">
        <f t="shared" si="51"/>
        <v>91.01569224750763</v>
      </c>
      <c r="V150" s="129">
        <f t="shared" si="51"/>
        <v>92.836006092457794</v>
      </c>
      <c r="W150" s="129">
        <f t="shared" si="51"/>
        <v>94.692726214306944</v>
      </c>
      <c r="X150" s="129">
        <f t="shared" si="51"/>
        <v>47.89635921557629</v>
      </c>
      <c r="Y150" s="129"/>
      <c r="AA150" s="355">
        <f t="shared" si="29"/>
        <v>1495.9253961452282</v>
      </c>
      <c r="AB150" s="356">
        <f t="shared" si="42"/>
        <v>1495.9253961452282</v>
      </c>
    </row>
    <row r="151" spans="1:28" s="128" customFormat="1">
      <c r="A151" s="128" t="s">
        <v>111</v>
      </c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AA151" s="355">
        <f t="shared" si="29"/>
        <v>0</v>
      </c>
      <c r="AB151" s="356">
        <f t="shared" si="42"/>
        <v>0</v>
      </c>
    </row>
    <row r="152" spans="1:28" s="128" customFormat="1">
      <c r="F152" s="129">
        <f>F150+F151</f>
        <v>67.626000000000005</v>
      </c>
      <c r="G152" s="129">
        <f t="shared" ref="G152:Y152" si="52">G150+G151</f>
        <v>68.978519999999989</v>
      </c>
      <c r="H152" s="129">
        <f t="shared" si="52"/>
        <v>70.358090399999995</v>
      </c>
      <c r="I152" s="129">
        <f t="shared" si="52"/>
        <v>71.765252208000007</v>
      </c>
      <c r="J152" s="129">
        <f t="shared" si="52"/>
        <v>73.20055725216001</v>
      </c>
      <c r="K152" s="129">
        <f t="shared" si="52"/>
        <v>74.664568397203212</v>
      </c>
      <c r="L152" s="129">
        <f t="shared" si="52"/>
        <v>76.157859765147279</v>
      </c>
      <c r="M152" s="129">
        <f t="shared" si="52"/>
        <v>77.681016960450208</v>
      </c>
      <c r="N152" s="129">
        <f t="shared" si="52"/>
        <v>79.234637299659241</v>
      </c>
      <c r="O152" s="129">
        <f t="shared" si="52"/>
        <v>80.819330045652421</v>
      </c>
      <c r="P152" s="129">
        <f t="shared" si="52"/>
        <v>82.435716646565467</v>
      </c>
      <c r="Q152" s="129">
        <f t="shared" si="52"/>
        <v>84.084430979496773</v>
      </c>
      <c r="R152" s="129">
        <f t="shared" si="52"/>
        <v>85.766119599086707</v>
      </c>
      <c r="S152" s="129">
        <f t="shared" si="52"/>
        <v>87.481441991068451</v>
      </c>
      <c r="T152" s="129">
        <f t="shared" si="52"/>
        <v>89.231070830889834</v>
      </c>
      <c r="U152" s="129">
        <f t="shared" si="52"/>
        <v>91.01569224750763</v>
      </c>
      <c r="V152" s="129">
        <f t="shared" si="52"/>
        <v>92.836006092457794</v>
      </c>
      <c r="W152" s="129">
        <f t="shared" si="52"/>
        <v>94.692726214306944</v>
      </c>
      <c r="X152" s="129">
        <f t="shared" si="52"/>
        <v>47.89635921557629</v>
      </c>
      <c r="Y152" s="129">
        <f t="shared" si="52"/>
        <v>0</v>
      </c>
      <c r="AA152" s="355">
        <f t="shared" si="29"/>
        <v>1495.9253961452282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682.89033996139835</v>
      </c>
    </row>
    <row r="156" spans="1:28" s="128" customFormat="1" ht="13.5" thickBot="1">
      <c r="A156" s="128" t="s">
        <v>48</v>
      </c>
      <c r="C156" s="152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57623.294600185458</v>
      </c>
    </row>
    <row r="161" spans="1:25" s="128" customFormat="1">
      <c r="A161" s="108" t="s">
        <v>74</v>
      </c>
      <c r="B161" s="109"/>
      <c r="C161" s="109"/>
      <c r="D161" s="183">
        <f>D101</f>
        <v>42114</v>
      </c>
      <c r="F161" s="150"/>
    </row>
    <row r="162" spans="1:25" s="128" customFormat="1">
      <c r="A162" s="108" t="s">
        <v>75</v>
      </c>
      <c r="B162" s="109"/>
      <c r="C162" s="109"/>
      <c r="D162" s="111">
        <f>C155</f>
        <v>682.89033996139835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100420.18494014685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 t="s">
        <v>156</v>
      </c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 t="s">
        <v>157</v>
      </c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 t="s">
        <v>158</v>
      </c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 t="s">
        <v>159</v>
      </c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 t="s">
        <v>160</v>
      </c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 t="s">
        <v>185</v>
      </c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 t="s">
        <v>187</v>
      </c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6" t="s">
        <v>188</v>
      </c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6" t="s">
        <v>192</v>
      </c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 t="s">
        <v>179</v>
      </c>
      <c r="B175" s="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6" t="s">
        <v>163</v>
      </c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 t="s">
        <v>183</v>
      </c>
      <c r="B177" s="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 t="s">
        <v>189</v>
      </c>
      <c r="B178" s="6"/>
      <c r="C178" s="14">
        <f>E57</f>
        <v>0.45624987826922964</v>
      </c>
      <c r="D178" s="31" t="s">
        <v>191</v>
      </c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 t="s">
        <v>172</v>
      </c>
      <c r="B179" s="1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6" t="s">
        <v>171</v>
      </c>
      <c r="B180" s="1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17" t="s">
        <v>173</v>
      </c>
      <c r="B181" s="6"/>
      <c r="C181" s="31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6"/>
      <c r="B182" s="6" t="s">
        <v>174</v>
      </c>
      <c r="C182" s="31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/>
      <c r="B183" s="17" t="s">
        <v>175</v>
      </c>
      <c r="C183" s="6"/>
      <c r="D183" s="31"/>
      <c r="E183" s="6"/>
      <c r="F183" s="6"/>
      <c r="G183" s="31"/>
      <c r="H183" s="6"/>
      <c r="I183" s="6"/>
      <c r="J183" s="6"/>
      <c r="K183" s="6"/>
      <c r="L183" s="6"/>
      <c r="M183" s="6"/>
      <c r="N183" s="6"/>
      <c r="O183" s="6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outlineLevel="1">
      <c r="A184" s="6"/>
      <c r="B184" s="6" t="s">
        <v>178</v>
      </c>
      <c r="C184" s="6"/>
      <c r="D184" s="31"/>
      <c r="E184" s="31"/>
      <c r="F184" s="31"/>
      <c r="G184" s="184"/>
      <c r="H184" s="185"/>
      <c r="I184" s="185"/>
      <c r="J184" s="185"/>
      <c r="K184" s="185"/>
      <c r="L184" s="185"/>
      <c r="M184" s="185"/>
      <c r="N184" s="185"/>
      <c r="O184" s="185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17"/>
      <c r="B185" s="36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36"/>
      <c r="B186" s="36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36"/>
      <c r="B187" s="36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36"/>
      <c r="B188" s="6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6"/>
      <c r="B189" s="17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17"/>
      <c r="B190" s="1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1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6"/>
      <c r="B193" s="17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17"/>
      <c r="B194" s="6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38"/>
      <c r="B195" s="6"/>
      <c r="C195" s="6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39"/>
      <c r="B196" s="6"/>
      <c r="C196" s="6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40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39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38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40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40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" customHeight="1" outlineLevel="1">
      <c r="A218" s="40"/>
      <c r="B218" s="6"/>
      <c r="C218" s="6"/>
      <c r="D218" s="6"/>
      <c r="E218" s="27"/>
      <c r="F218" s="27"/>
      <c r="G218" s="27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outlineLevel="1">
      <c r="A219" s="40"/>
      <c r="B219" s="6"/>
      <c r="C219" s="6"/>
      <c r="D219" s="6"/>
      <c r="E219" s="27"/>
      <c r="F219" s="27"/>
      <c r="G219" s="2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4.25" customHeight="1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spans="1:25" outlineLevel="1">
      <c r="A223" s="42"/>
      <c r="B223" s="6"/>
      <c r="C223" s="6"/>
      <c r="D223" s="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outlineLevel="1">
      <c r="A224" s="42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27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6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6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17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17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6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6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3"/>
      <c r="B235" s="3"/>
      <c r="C235" s="3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outlineLevel="1">
      <c r="A236" s="40"/>
      <c r="B236" s="6"/>
      <c r="C236" s="6"/>
      <c r="D236" s="6"/>
      <c r="E236" s="27"/>
      <c r="F236" s="27"/>
      <c r="G236" s="27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outlineLevel="1">
      <c r="A237" s="39"/>
      <c r="B237" s="6"/>
      <c r="C237" s="6"/>
      <c r="D237" s="6"/>
      <c r="E237" s="27"/>
      <c r="F237" s="27"/>
      <c r="G237" s="2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outlineLevel="1">
      <c r="A238" s="39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8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27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40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39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39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20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6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27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40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27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40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39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40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39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39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8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9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8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9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40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39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9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39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8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40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40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6"/>
      <c r="B278" s="6"/>
      <c r="C278" s="6"/>
      <c r="D278" s="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 spans="1:25" outlineLevel="1">
      <c r="A279" s="6"/>
      <c r="B279" s="6"/>
      <c r="C279" s="6"/>
      <c r="D279" s="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outlineLevel="1">
      <c r="A280" s="6"/>
      <c r="B280" s="6"/>
      <c r="C280" s="6"/>
      <c r="D280" s="6"/>
      <c r="E280" s="6"/>
      <c r="F280" s="6"/>
      <c r="G280" s="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3"/>
      <c r="B281" s="3"/>
      <c r="C281" s="3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outlineLevel="1">
      <c r="A282" s="17"/>
      <c r="B282" s="17"/>
      <c r="C282" s="1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outlineLevel="1">
      <c r="A283" s="17"/>
      <c r="B283" s="43"/>
      <c r="C283" s="43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17"/>
      <c r="B286" s="17"/>
      <c r="C286" s="17"/>
      <c r="D286" s="17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44"/>
      <c r="B287" s="17"/>
      <c r="C287" s="17"/>
      <c r="D287" s="17"/>
      <c r="E287" s="45"/>
      <c r="F287" s="45"/>
      <c r="G287" s="45"/>
      <c r="H287" s="45"/>
      <c r="I287" s="45"/>
      <c r="J287" s="45"/>
      <c r="K287" s="45"/>
      <c r="L287" s="45"/>
      <c r="M287" s="6"/>
      <c r="N287" s="4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44"/>
      <c r="B288" s="17"/>
      <c r="C288" s="17"/>
      <c r="D288" s="17"/>
      <c r="E288" s="45"/>
      <c r="F288" s="45"/>
      <c r="G288" s="45"/>
      <c r="H288" s="45"/>
      <c r="I288" s="45"/>
      <c r="J288" s="45"/>
      <c r="K288" s="45"/>
      <c r="L288" s="45"/>
      <c r="M288" s="6"/>
      <c r="N288" s="4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44"/>
      <c r="C289" s="44"/>
      <c r="D289" s="44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3"/>
      <c r="C291" s="3"/>
      <c r="D291" s="3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6"/>
      <c r="B292" s="6"/>
      <c r="C292" s="6"/>
      <c r="D292" s="6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17"/>
      <c r="B293" s="17"/>
      <c r="C293" s="17"/>
      <c r="D293" s="17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44"/>
      <c r="B294" s="17"/>
      <c r="C294" s="17"/>
      <c r="D294" s="17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44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44"/>
      <c r="C303" s="44"/>
      <c r="D303" s="44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17"/>
      <c r="B305" s="17"/>
      <c r="C305" s="17"/>
      <c r="D305" s="17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44"/>
      <c r="B306" s="44"/>
      <c r="C306" s="44"/>
      <c r="D306" s="44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17"/>
      <c r="B308" s="17"/>
      <c r="C308" s="17"/>
      <c r="D308" s="17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17"/>
      <c r="B309" s="17"/>
      <c r="C309" s="17"/>
      <c r="D309" s="17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6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6"/>
      <c r="B311" s="46"/>
      <c r="C311" s="46"/>
      <c r="D311" s="46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17"/>
      <c r="B312" s="46"/>
      <c r="C312" s="46"/>
      <c r="D312" s="46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44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17"/>
      <c r="B314" s="17"/>
      <c r="C314" s="17"/>
      <c r="D314" s="17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6"/>
      <c r="B315" s="6"/>
      <c r="C315" s="6"/>
      <c r="D315" s="6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17"/>
      <c r="B316" s="17"/>
      <c r="C316" s="17"/>
      <c r="D316" s="17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44"/>
      <c r="B317" s="44"/>
      <c r="C317" s="44"/>
      <c r="D317" s="44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6"/>
      <c r="C322" s="6"/>
      <c r="D322" s="6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17"/>
      <c r="B323" s="17"/>
      <c r="C323" s="17"/>
      <c r="D323" s="17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17"/>
      <c r="B324" s="17"/>
      <c r="C324" s="17"/>
      <c r="D324" s="17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6"/>
      <c r="B325" s="6"/>
      <c r="C325" s="6"/>
      <c r="D325" s="6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17"/>
      <c r="B326" s="47"/>
      <c r="C326" s="47"/>
      <c r="D326" s="6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43"/>
      <c r="C327" s="43"/>
      <c r="D327" s="43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17"/>
      <c r="B329" s="48"/>
      <c r="C329" s="48"/>
      <c r="D329" s="6"/>
      <c r="E329" s="6"/>
      <c r="F329" s="6"/>
      <c r="G329" s="20"/>
      <c r="H329" s="20"/>
      <c r="I329" s="20"/>
      <c r="J329" s="20"/>
      <c r="K329" s="20"/>
      <c r="L329" s="20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6"/>
      <c r="C330" s="6"/>
      <c r="D330" s="6"/>
      <c r="E330" s="6"/>
      <c r="F330" s="6"/>
      <c r="G330" s="20"/>
      <c r="H330" s="20"/>
      <c r="I330" s="20"/>
      <c r="J330" s="20"/>
      <c r="K330" s="20"/>
      <c r="L330" s="2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6"/>
      <c r="C331" s="6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1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s="187" customFormat="1" outlineLevel="1">
      <c r="A338" s="186"/>
    </row>
    <row r="339" spans="1:25" outlineLevel="1">
      <c r="A339" s="1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outlineLevel="1">
      <c r="A340" s="17"/>
      <c r="B340" s="6"/>
      <c r="C340" s="6"/>
      <c r="D340" s="6"/>
      <c r="E340" s="6"/>
      <c r="F340" s="6"/>
      <c r="G340" s="51"/>
      <c r="H340" s="51"/>
      <c r="I340" s="51"/>
      <c r="J340" s="51"/>
      <c r="K340" s="51"/>
      <c r="L340" s="51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outlineLevel="1">
      <c r="A341" s="17"/>
      <c r="B341" s="6"/>
      <c r="C341" s="6"/>
      <c r="D341" s="6"/>
      <c r="E341" s="6"/>
      <c r="F341" s="6"/>
      <c r="G341" s="51"/>
      <c r="H341" s="51"/>
      <c r="I341" s="51"/>
      <c r="J341" s="51"/>
      <c r="K341" s="51"/>
      <c r="L341" s="5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6"/>
      <c r="B342" s="52"/>
      <c r="C342" s="52"/>
      <c r="D342" s="52"/>
      <c r="E342" s="6"/>
      <c r="F342" s="6"/>
      <c r="G342" s="53"/>
      <c r="H342" s="53"/>
      <c r="I342" s="53"/>
      <c r="J342" s="53"/>
      <c r="K342" s="53"/>
      <c r="L342" s="53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17"/>
      <c r="B343" s="56"/>
      <c r="C343" s="56"/>
      <c r="D343" s="5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8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188"/>
      <c r="B345" s="6"/>
      <c r="C345" s="6"/>
      <c r="D345" s="6"/>
      <c r="E345" s="6"/>
      <c r="F345" s="6"/>
      <c r="G345" s="20"/>
      <c r="H345" s="20"/>
      <c r="I345" s="20"/>
      <c r="J345" s="20"/>
      <c r="K345" s="20"/>
      <c r="L345" s="20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88"/>
      <c r="B346" s="6"/>
      <c r="C346" s="6"/>
      <c r="D346" s="6"/>
      <c r="E346" s="6"/>
      <c r="F346" s="6"/>
      <c r="G346" s="20"/>
      <c r="H346" s="20"/>
      <c r="I346" s="20"/>
      <c r="J346" s="20"/>
      <c r="K346" s="20"/>
      <c r="L346" s="2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88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51"/>
      <c r="H349" s="51"/>
      <c r="I349" s="51"/>
      <c r="J349" s="51"/>
      <c r="K349" s="51"/>
      <c r="L349" s="51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7"/>
      <c r="B350" s="6"/>
      <c r="C350" s="6"/>
      <c r="D350" s="6"/>
      <c r="E350" s="6"/>
      <c r="F350" s="6"/>
      <c r="G350" s="56"/>
      <c r="H350" s="56"/>
      <c r="I350" s="56"/>
      <c r="J350" s="56"/>
      <c r="K350" s="56"/>
      <c r="L350" s="5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88"/>
      <c r="B351" s="14"/>
      <c r="C351" s="14"/>
      <c r="D351" s="14"/>
      <c r="E351" s="6"/>
      <c r="F351" s="6"/>
      <c r="G351" s="189"/>
      <c r="H351" s="189"/>
      <c r="I351" s="189"/>
      <c r="J351" s="189"/>
      <c r="K351" s="189"/>
      <c r="L351" s="189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88"/>
      <c r="B352" s="6"/>
      <c r="C352" s="6"/>
      <c r="D352" s="6"/>
      <c r="E352" s="6"/>
      <c r="F352" s="6"/>
      <c r="G352" s="189"/>
      <c r="H352" s="189"/>
      <c r="I352" s="189"/>
      <c r="J352" s="189"/>
      <c r="K352" s="189"/>
      <c r="L352" s="18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88"/>
      <c r="B353" s="6"/>
      <c r="C353" s="6"/>
      <c r="D353" s="6"/>
      <c r="E353" s="6"/>
      <c r="F353" s="6"/>
      <c r="G353" s="189"/>
      <c r="H353" s="189"/>
      <c r="I353" s="189"/>
      <c r="J353" s="189"/>
      <c r="K353" s="189"/>
      <c r="L353" s="18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188"/>
      <c r="B354" s="6"/>
      <c r="C354" s="6"/>
      <c r="D354" s="6"/>
      <c r="E354" s="6"/>
      <c r="F354" s="6"/>
      <c r="G354" s="189"/>
      <c r="H354" s="189"/>
      <c r="I354" s="189"/>
      <c r="J354" s="189"/>
      <c r="K354" s="189"/>
      <c r="L354" s="18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188"/>
      <c r="B355" s="6"/>
      <c r="C355" s="6"/>
      <c r="D355" s="6"/>
      <c r="E355" s="6"/>
      <c r="F355" s="6"/>
      <c r="G355" s="56"/>
      <c r="H355" s="56"/>
      <c r="I355" s="56"/>
      <c r="J355" s="56"/>
      <c r="K355" s="56"/>
      <c r="L355" s="5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1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6"/>
      <c r="B357" s="6"/>
      <c r="C357" s="6"/>
      <c r="D357" s="6"/>
      <c r="E357" s="6"/>
      <c r="F357" s="6"/>
      <c r="G357" s="20"/>
      <c r="H357" s="20"/>
      <c r="I357" s="20"/>
      <c r="J357" s="20"/>
      <c r="K357" s="20"/>
      <c r="L357" s="20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6"/>
      <c r="B358" s="6"/>
      <c r="C358" s="6"/>
      <c r="D358" s="6"/>
      <c r="E358" s="6"/>
      <c r="F358" s="6"/>
      <c r="G358" s="20"/>
      <c r="H358" s="20"/>
      <c r="I358" s="20"/>
      <c r="J358" s="20"/>
      <c r="K358" s="20"/>
      <c r="L358" s="2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20"/>
      <c r="F360" s="20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1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6"/>
      <c r="B363" s="6"/>
      <c r="C363" s="6"/>
      <c r="D363" s="6"/>
      <c r="E363" s="6"/>
      <c r="F363" s="6"/>
      <c r="G363" s="51"/>
      <c r="H363" s="51"/>
      <c r="I363" s="51"/>
      <c r="J363" s="51"/>
      <c r="K363" s="51"/>
      <c r="L363" s="51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188"/>
      <c r="B364" s="6"/>
      <c r="C364" s="6"/>
      <c r="D364" s="6"/>
      <c r="E364" s="6"/>
      <c r="F364" s="6"/>
      <c r="G364" s="51"/>
      <c r="H364" s="51"/>
      <c r="I364" s="51"/>
      <c r="J364" s="51"/>
      <c r="K364" s="51"/>
      <c r="L364" s="5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188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188"/>
      <c r="B366" s="6"/>
      <c r="C366" s="6"/>
      <c r="D366" s="6"/>
      <c r="E366" s="20"/>
      <c r="F366" s="20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6"/>
      <c r="B367" s="6"/>
      <c r="C367" s="6"/>
      <c r="D367" s="6"/>
      <c r="E367" s="6"/>
      <c r="F367" s="6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6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17"/>
      <c r="B374" s="6"/>
      <c r="C374" s="6"/>
      <c r="D374" s="6"/>
      <c r="E374" s="59"/>
      <c r="F374" s="59"/>
      <c r="G374" s="59"/>
      <c r="H374" s="59"/>
      <c r="I374" s="59"/>
      <c r="J374" s="59"/>
      <c r="K374" s="59"/>
      <c r="L374" s="59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17"/>
      <c r="B375" s="6"/>
      <c r="C375" s="6"/>
      <c r="D375" s="14"/>
      <c r="E375" s="20"/>
      <c r="F375" s="20"/>
      <c r="G375" s="59"/>
      <c r="H375" s="59"/>
      <c r="I375" s="59"/>
      <c r="J375" s="59"/>
      <c r="K375" s="59"/>
      <c r="L375" s="5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6"/>
      <c r="E376" s="59"/>
      <c r="F376" s="59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6"/>
      <c r="F377" s="6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1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6"/>
      <c r="B382" s="6"/>
      <c r="C382" s="6"/>
      <c r="D382" s="6"/>
      <c r="E382" s="6"/>
      <c r="F382" s="6"/>
      <c r="G382" s="45"/>
      <c r="H382" s="45"/>
      <c r="I382" s="45"/>
      <c r="J382" s="45"/>
      <c r="K382" s="45"/>
      <c r="L382" s="4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59"/>
      <c r="H383" s="59"/>
      <c r="I383" s="59"/>
      <c r="J383" s="59"/>
      <c r="K383" s="59"/>
      <c r="L383" s="59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45"/>
      <c r="H384" s="45"/>
      <c r="I384" s="45"/>
      <c r="J384" s="45"/>
      <c r="K384" s="45"/>
      <c r="L384" s="4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30" outlineLevel="1">
      <c r="A385" s="6"/>
      <c r="B385" s="6"/>
      <c r="C385" s="6"/>
      <c r="D385" s="6"/>
      <c r="E385" s="6"/>
      <c r="F385" s="6"/>
      <c r="G385" s="45"/>
      <c r="H385" s="45"/>
      <c r="I385" s="45"/>
      <c r="J385" s="45"/>
      <c r="K385" s="45"/>
      <c r="L385" s="4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30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30" outlineLevel="1">
      <c r="A387" s="6"/>
      <c r="B387" s="6"/>
      <c r="C387" s="6"/>
      <c r="D387" s="6"/>
      <c r="E387" s="6"/>
      <c r="F387" s="6"/>
      <c r="G387" s="61"/>
      <c r="H387" s="61"/>
      <c r="I387" s="61"/>
      <c r="J387" s="61"/>
      <c r="K387" s="61"/>
      <c r="L387" s="61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30" outlineLevel="1">
      <c r="A388" s="6"/>
      <c r="B388" s="6"/>
      <c r="C388" s="6"/>
      <c r="D388" s="6"/>
      <c r="E388" s="6"/>
      <c r="F388" s="6"/>
      <c r="G388" s="61"/>
      <c r="H388" s="61"/>
      <c r="I388" s="61"/>
      <c r="J388" s="61"/>
      <c r="K388" s="61"/>
      <c r="L388" s="6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30" hidden="1" outlineLevel="2">
      <c r="A389" s="17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30" hidden="1" outlineLevel="2">
      <c r="A390" s="17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30" hidden="1" outlineLevel="2">
      <c r="A391" s="6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30" hidden="1" outlineLevel="2">
      <c r="A392" s="17"/>
      <c r="B392" s="9"/>
      <c r="C392" s="9"/>
      <c r="D392" s="9"/>
      <c r="E392" s="10"/>
      <c r="F392" s="10"/>
      <c r="G392" s="10"/>
      <c r="H392" s="9"/>
      <c r="I392" s="9"/>
      <c r="J392" s="10"/>
      <c r="K392" s="10"/>
      <c r="L392" s="9"/>
      <c r="M392" s="10"/>
      <c r="N392" s="10"/>
      <c r="O392" s="10"/>
      <c r="P392" s="9"/>
      <c r="Q392" s="10"/>
      <c r="R392" s="10"/>
      <c r="S392" s="6"/>
      <c r="T392" s="6"/>
      <c r="U392" s="6"/>
      <c r="V392" s="6"/>
      <c r="W392" s="6"/>
      <c r="X392" s="10"/>
      <c r="Y392" s="6"/>
    </row>
    <row r="393" spans="1:30" hidden="1" outlineLevel="2">
      <c r="A393" s="1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30" hidden="1" outlineLevel="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30" hidden="1" outlineLevel="2">
      <c r="A395" s="6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6"/>
      <c r="T395" s="6"/>
      <c r="U395" s="6"/>
      <c r="V395" s="6"/>
      <c r="W395" s="6"/>
      <c r="X395" s="45"/>
      <c r="Y395" s="6"/>
    </row>
    <row r="396" spans="1:30" hidden="1" outlineLevel="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30" hidden="1" outlineLevel="2">
      <c r="A397" s="6"/>
      <c r="B397" s="59"/>
      <c r="C397" s="59"/>
      <c r="D397" s="59"/>
      <c r="E397" s="59"/>
      <c r="F397" s="59"/>
      <c r="G397" s="59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6"/>
      <c r="T397" s="6"/>
      <c r="U397" s="6"/>
      <c r="V397" s="6"/>
      <c r="W397" s="6"/>
      <c r="X397" s="45"/>
      <c r="Y397" s="6"/>
    </row>
    <row r="398" spans="1:30" hidden="1" outlineLevel="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30" hidden="1" outlineLevel="2">
      <c r="A399" s="6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6"/>
      <c r="T399" s="6"/>
      <c r="U399" s="6"/>
      <c r="V399" s="6"/>
      <c r="W399" s="6"/>
      <c r="X399" s="45"/>
      <c r="Y399" s="45"/>
      <c r="Z399" s="45"/>
      <c r="AA399" s="45"/>
      <c r="AB399" s="45"/>
      <c r="AC399" s="45"/>
      <c r="AD399" s="45"/>
    </row>
    <row r="400" spans="1:30" hidden="1" outlineLevel="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idden="1" outlineLevel="2">
      <c r="A401" s="6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6"/>
      <c r="T401" s="6"/>
      <c r="U401" s="6"/>
      <c r="V401" s="6"/>
      <c r="W401" s="6"/>
      <c r="X401" s="45"/>
      <c r="Y401" s="6"/>
    </row>
    <row r="402" spans="1:25" hidden="1" outlineLevel="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idden="1" outlineLevel="2">
      <c r="A403" s="6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6"/>
      <c r="T403" s="6"/>
      <c r="U403" s="6"/>
      <c r="V403" s="6"/>
      <c r="W403" s="6"/>
      <c r="X403" s="45"/>
      <c r="Y403" s="45"/>
    </row>
    <row r="404" spans="1:25" hidden="1" outlineLevel="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idden="1" outlineLevel="2">
      <c r="A405" s="6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6"/>
      <c r="T405" s="6"/>
      <c r="U405" s="6"/>
      <c r="V405" s="6"/>
      <c r="W405" s="6"/>
      <c r="X405" s="45"/>
      <c r="Y405" s="45"/>
    </row>
    <row r="406" spans="1:25" hidden="1" outlineLevel="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outlineLevel="1" collapsed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1">
      <c r="A410" s="3"/>
      <c r="B410" s="3"/>
      <c r="C410" s="3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1">
      <c r="A411" s="17"/>
      <c r="B411" s="17"/>
      <c r="C411" s="1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outlineLevel="1">
      <c r="A412" s="17"/>
      <c r="B412" s="43"/>
      <c r="C412" s="43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outlineLevel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outlineLevel="1">
      <c r="A414" s="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outlineLevel="1">
      <c r="A415" s="17"/>
      <c r="B415" s="17"/>
      <c r="C415" s="1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outlineLevel="1">
      <c r="A416" s="44"/>
      <c r="B416" s="17"/>
      <c r="C416" s="17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</row>
    <row r="417" spans="1:25" outlineLevel="1">
      <c r="A417" s="44"/>
      <c r="B417" s="17"/>
      <c r="C417" s="17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outlineLevel="1">
      <c r="A418" s="44"/>
      <c r="B418" s="44"/>
      <c r="C418" s="44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3"/>
      <c r="C420" s="3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6"/>
      <c r="B421" s="6"/>
      <c r="C421" s="6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17"/>
      <c r="B422" s="17"/>
      <c r="C422" s="17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44"/>
      <c r="B423" s="17"/>
      <c r="C423" s="17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44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44"/>
      <c r="C432" s="44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17"/>
      <c r="B434" s="17"/>
      <c r="C434" s="17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44"/>
      <c r="B435" s="44"/>
      <c r="C435" s="44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17"/>
      <c r="B436" s="17"/>
      <c r="C436" s="17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44"/>
      <c r="B437" s="46"/>
      <c r="C437" s="46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17"/>
      <c r="B438" s="17"/>
      <c r="C438" s="17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6"/>
      <c r="B439" s="6"/>
      <c r="C439" s="6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17"/>
      <c r="B440" s="17"/>
      <c r="C440" s="17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44"/>
      <c r="B441" s="44"/>
      <c r="C441" s="44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6"/>
      <c r="C444" s="6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17"/>
      <c r="B445" s="17"/>
      <c r="C445" s="17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17"/>
      <c r="B446" s="17"/>
      <c r="C446" s="17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44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44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3"/>
      <c r="B452" s="46"/>
      <c r="C452" s="46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17"/>
      <c r="B453" s="17"/>
      <c r="C453" s="17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6"/>
      <c r="B454" s="6"/>
      <c r="C454" s="6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17"/>
      <c r="B455" s="43"/>
      <c r="C455" s="43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43"/>
      <c r="C456" s="43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outlineLevel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outlineLevel="1">
      <c r="A460" s="3"/>
      <c r="B460" s="3"/>
      <c r="C460" s="3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17"/>
      <c r="B461" s="17"/>
      <c r="C461" s="1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17"/>
      <c r="B462" s="43"/>
      <c r="C462" s="43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3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6"/>
      <c r="T464" s="6"/>
      <c r="U464" s="6"/>
      <c r="V464" s="6"/>
      <c r="W464" s="6"/>
      <c r="X464" s="6"/>
      <c r="Y464" s="6"/>
    </row>
    <row r="465" spans="1:25" outlineLevel="1">
      <c r="A465" s="17"/>
      <c r="B465" s="17"/>
      <c r="C465" s="17"/>
      <c r="D465" s="17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outlineLevel="1">
      <c r="A466" s="44"/>
      <c r="B466" s="17"/>
      <c r="C466" s="17"/>
      <c r="D466" s="17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6"/>
      <c r="T466" s="6"/>
      <c r="U466" s="6"/>
      <c r="V466" s="6"/>
      <c r="W466" s="6"/>
      <c r="X466" s="6"/>
      <c r="Y466" s="6"/>
    </row>
    <row r="467" spans="1:25" outlineLevel="1">
      <c r="A467" s="44"/>
      <c r="B467" s="17"/>
      <c r="C467" s="17"/>
      <c r="D467" s="17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44"/>
      <c r="C468" s="44"/>
      <c r="D468" s="44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44"/>
      <c r="C469" s="44"/>
      <c r="D469" s="44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3"/>
      <c r="C470" s="3"/>
      <c r="D470" s="3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3"/>
      <c r="C471" s="3"/>
      <c r="D471" s="3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17"/>
      <c r="B472" s="17"/>
      <c r="C472" s="17"/>
      <c r="D472" s="17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44"/>
      <c r="B473" s="17"/>
      <c r="C473" s="17"/>
      <c r="D473" s="17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17"/>
      <c r="C474" s="17"/>
      <c r="D474" s="17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44"/>
      <c r="C483" s="44"/>
      <c r="D483" s="44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44"/>
      <c r="C484" s="44"/>
      <c r="D484" s="44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17"/>
      <c r="B485" s="17"/>
      <c r="C485" s="17"/>
      <c r="D485" s="17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6"/>
      <c r="B486" s="17"/>
      <c r="C486" s="17"/>
      <c r="D486" s="17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44"/>
      <c r="B487" s="44"/>
      <c r="C487" s="44"/>
      <c r="D487" s="44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17"/>
      <c r="B488" s="17"/>
      <c r="C488" s="17"/>
      <c r="D488" s="17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44"/>
      <c r="B489" s="46"/>
      <c r="C489" s="46"/>
      <c r="D489" s="46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17"/>
      <c r="B490" s="17"/>
      <c r="C490" s="17"/>
      <c r="D490" s="17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43"/>
      <c r="C493" s="43"/>
      <c r="D493" s="43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43"/>
      <c r="C494" s="43"/>
      <c r="D494" s="43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6"/>
      <c r="T497" s="6"/>
      <c r="U497" s="6"/>
      <c r="V497" s="6"/>
      <c r="W497" s="6"/>
      <c r="X497" s="6"/>
      <c r="Y497" s="6"/>
    </row>
    <row r="498" spans="1:25" outlineLevel="1">
      <c r="A498" s="6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</row>
    <row r="499" spans="1:25" outlineLevel="1">
      <c r="A499" s="6"/>
      <c r="B499" s="45"/>
      <c r="C499" s="45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</row>
    <row r="500" spans="1:25" outlineLevel="1">
      <c r="A500" s="6"/>
      <c r="B500" s="43"/>
      <c r="C500" s="43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spans="1:25" outlineLevel="1">
      <c r="A501" s="6"/>
      <c r="B501" s="43"/>
      <c r="C501" s="43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3"/>
      <c r="C502" s="43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17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6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6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17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17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6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6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6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outlineLevel="1">
      <c r="A514" s="6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outlineLevel="1">
      <c r="A515" s="6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outlineLevel="1">
      <c r="A516" s="6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6"/>
      <c r="T516" s="6"/>
      <c r="U516" s="6"/>
      <c r="V516" s="6"/>
      <c r="W516" s="6"/>
      <c r="X516" s="6"/>
      <c r="Y516" s="6"/>
    </row>
    <row r="517" spans="1:25" outlineLevel="1">
      <c r="A517" s="17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6"/>
      <c r="T517" s="6"/>
      <c r="U517" s="6"/>
      <c r="V517" s="6"/>
      <c r="W517" s="6"/>
      <c r="X517" s="6"/>
      <c r="Y517" s="6"/>
    </row>
    <row r="518" spans="1:25" outlineLevel="1">
      <c r="A518" s="17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6"/>
      <c r="F521" s="6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6"/>
      <c r="T521" s="6"/>
      <c r="U521" s="6"/>
      <c r="V521" s="6"/>
      <c r="W521" s="6"/>
      <c r="X521" s="6"/>
      <c r="Y521" s="6"/>
    </row>
    <row r="522" spans="1:25" outlineLevel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outlineLevel="1">
      <c r="A523" s="1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outlineLevel="1">
      <c r="A528" s="6"/>
      <c r="B528" s="6"/>
      <c r="C528" s="6"/>
      <c r="D528" s="6"/>
      <c r="E528" s="6"/>
      <c r="F528" s="6"/>
      <c r="G528" s="31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outlineLevel="1">
      <c r="A529" s="17"/>
      <c r="B529" s="6"/>
      <c r="C529" s="6"/>
      <c r="D529" s="6"/>
      <c r="E529" s="6"/>
      <c r="F529" s="6"/>
      <c r="G529" s="31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6"/>
      <c r="T529" s="6"/>
      <c r="U529" s="6"/>
      <c r="V529" s="6"/>
      <c r="W529" s="6"/>
      <c r="X529" s="6"/>
      <c r="Y529" s="6"/>
    </row>
    <row r="530" spans="1:25" outlineLevel="1">
      <c r="A530" s="6"/>
      <c r="B530" s="6"/>
      <c r="C530" s="6"/>
      <c r="D530" s="6"/>
      <c r="E530" s="6"/>
      <c r="F530" s="6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6"/>
      <c r="T530" s="6"/>
      <c r="U530" s="6"/>
      <c r="V530" s="6"/>
      <c r="W530" s="6"/>
      <c r="X530" s="6"/>
      <c r="Y530" s="6"/>
    </row>
    <row r="531" spans="1:25" outlineLevel="1">
      <c r="A531" s="6"/>
      <c r="B531" s="6"/>
      <c r="C531" s="6"/>
      <c r="D531" s="6"/>
      <c r="E531" s="6"/>
      <c r="F531" s="6"/>
      <c r="G531" s="31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188"/>
      <c r="B534" s="6"/>
      <c r="C534" s="6"/>
      <c r="D534" s="6"/>
      <c r="E534" s="6"/>
      <c r="F534" s="6"/>
      <c r="G534" s="31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6"/>
      <c r="T534" s="6"/>
      <c r="U534" s="6"/>
      <c r="V534" s="6"/>
      <c r="W534" s="6"/>
      <c r="X534" s="6"/>
      <c r="Y534" s="6"/>
    </row>
    <row r="535" spans="1:25" outlineLevel="1">
      <c r="A535" s="188"/>
      <c r="B535" s="6"/>
      <c r="C535" s="6"/>
      <c r="D535" s="6"/>
      <c r="E535" s="6"/>
      <c r="F535" s="6"/>
      <c r="G535" s="3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6"/>
      <c r="T535" s="6"/>
      <c r="U535" s="6"/>
      <c r="V535" s="6"/>
      <c r="W535" s="6"/>
      <c r="X535" s="6"/>
      <c r="Y535" s="6"/>
    </row>
    <row r="536" spans="1:25" outlineLevel="1">
      <c r="A536" s="17"/>
      <c r="B536" s="6"/>
      <c r="C536" s="6"/>
      <c r="D536" s="6"/>
      <c r="E536" s="6"/>
      <c r="F536" s="6"/>
      <c r="G536" s="31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outlineLevel="1">
      <c r="A537" s="6"/>
      <c r="B537" s="6"/>
      <c r="C537" s="6"/>
      <c r="D537" s="6"/>
      <c r="E537" s="6"/>
      <c r="F537" s="6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6"/>
      <c r="T537" s="6"/>
      <c r="U537" s="6"/>
      <c r="V537" s="6"/>
      <c r="W537" s="6"/>
      <c r="X537" s="6"/>
      <c r="Y537" s="6"/>
    </row>
    <row r="538" spans="1:25" outlineLevel="1">
      <c r="A538" s="6"/>
      <c r="B538" s="6"/>
      <c r="C538" s="6"/>
      <c r="D538" s="6"/>
      <c r="E538" s="6"/>
      <c r="F538" s="6"/>
      <c r="G538" s="3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outlineLevel="1">
      <c r="A539" s="17"/>
      <c r="B539" s="6"/>
      <c r="C539" s="6"/>
      <c r="D539" s="6"/>
      <c r="E539" s="6"/>
      <c r="F539" s="6"/>
      <c r="G539" s="31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6"/>
      <c r="T539" s="6"/>
      <c r="U539" s="6"/>
      <c r="V539" s="6"/>
      <c r="W539" s="6"/>
      <c r="X539" s="6"/>
      <c r="Y539" s="6"/>
    </row>
    <row r="540" spans="1:25" outlineLevel="1">
      <c r="A540" s="6"/>
      <c r="B540" s="14"/>
      <c r="C540" s="14"/>
      <c r="D540" s="6"/>
      <c r="E540" s="6"/>
      <c r="F540" s="6"/>
      <c r="G540" s="31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6"/>
      <c r="T540" s="6"/>
      <c r="U540" s="6"/>
      <c r="V540" s="6"/>
      <c r="W540" s="6"/>
      <c r="X540" s="6"/>
      <c r="Y540" s="6"/>
    </row>
    <row r="541" spans="1:25" outlineLevel="1">
      <c r="A541" s="17"/>
      <c r="B541" s="6"/>
      <c r="C541" s="6"/>
      <c r="D541" s="6"/>
      <c r="E541" s="6"/>
      <c r="F541" s="6"/>
      <c r="G541" s="3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6"/>
      <c r="T541" s="6"/>
      <c r="U541" s="6"/>
      <c r="V541" s="6"/>
      <c r="W541" s="6"/>
      <c r="X541" s="6"/>
      <c r="Y541" s="6"/>
    </row>
    <row r="542" spans="1:25" outlineLevel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s="67" customFormat="1" outlineLevel="1">
      <c r="A544" s="66"/>
      <c r="B544" s="66"/>
      <c r="C544" s="66"/>
      <c r="D544" s="66"/>
      <c r="E544" s="66"/>
      <c r="F544" s="66"/>
      <c r="G544" s="66"/>
    </row>
    <row r="545" spans="1:25" s="67" customFormat="1" outlineLevel="1">
      <c r="A545" s="66"/>
      <c r="B545" s="66"/>
      <c r="C545" s="66"/>
      <c r="D545" s="66"/>
      <c r="E545" s="66"/>
      <c r="F545" s="68"/>
      <c r="G545" s="69"/>
      <c r="H545" s="66"/>
      <c r="I545" s="70"/>
    </row>
    <row r="546" spans="1:25" s="67" customFormat="1" outlineLevel="1">
      <c r="A546" s="66"/>
      <c r="B546" s="69"/>
      <c r="C546" s="69"/>
      <c r="D546" s="69"/>
      <c r="E546" s="69"/>
      <c r="F546" s="71"/>
      <c r="G546" s="47"/>
      <c r="H546" s="47"/>
      <c r="I546" s="70"/>
    </row>
    <row r="547" spans="1:25" s="67" customFormat="1" outlineLevel="1">
      <c r="A547" s="66"/>
      <c r="B547" s="47"/>
      <c r="C547" s="47"/>
      <c r="D547" s="47"/>
      <c r="E547" s="47"/>
      <c r="F547" s="47"/>
      <c r="G547" s="70"/>
      <c r="H547" s="47"/>
      <c r="I547" s="71"/>
    </row>
    <row r="548" spans="1:25" s="67" customFormat="1" outlineLevel="1">
      <c r="A548" s="72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</row>
    <row r="549" spans="1:25" s="67" customFormat="1" outlineLevel="1">
      <c r="A549" s="40"/>
      <c r="B549" s="66"/>
      <c r="C549" s="66"/>
      <c r="D549" s="66"/>
      <c r="E549" s="66"/>
      <c r="F549" s="66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</row>
    <row r="550" spans="1:25" s="67" customFormat="1" outlineLevel="1">
      <c r="A550" s="39"/>
      <c r="B550" s="66"/>
      <c r="C550" s="66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s="67" customFormat="1" outlineLevel="1">
      <c r="A551" s="39"/>
      <c r="B551" s="74"/>
      <c r="C551" s="74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155"/>
      <c r="C552" s="155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8"/>
      <c r="B553" s="72"/>
      <c r="C553" s="72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27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40"/>
      <c r="B555" s="66"/>
      <c r="C555" s="66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76"/>
      <c r="B556" s="77"/>
      <c r="C556" s="77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76"/>
      <c r="B557" s="77"/>
      <c r="C557" s="7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42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76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40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40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39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39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40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39"/>
      <c r="B574" s="77"/>
      <c r="C574" s="77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</row>
    <row r="575" spans="1:25" s="67" customFormat="1" outlineLevel="1">
      <c r="A575" s="39"/>
      <c r="B575" s="80"/>
      <c r="C575" s="80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</row>
    <row r="576" spans="1:25" s="67" customFormat="1" ht="13.9" customHeight="1" outlineLevel="1">
      <c r="A576" s="38"/>
      <c r="B576" s="80"/>
      <c r="C576" s="80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outlineLevel="1">
      <c r="A577" s="39"/>
      <c r="B577" s="74"/>
      <c r="C577" s="74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outlineLevel="1">
      <c r="A578" s="38"/>
      <c r="B578" s="74"/>
      <c r="C578" s="74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9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74"/>
      <c r="C581" s="74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74"/>
      <c r="C582" s="74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40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40"/>
      <c r="B584" s="66"/>
      <c r="C584" s="66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39"/>
      <c r="B585" s="66"/>
      <c r="C585" s="66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39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39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82"/>
      <c r="C591" s="82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82"/>
      <c r="C592" s="8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38"/>
      <c r="B593" s="80"/>
      <c r="C593" s="80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40"/>
      <c r="B594" s="66"/>
      <c r="C594" s="66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40"/>
      <c r="B595" s="66"/>
      <c r="C595" s="66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80"/>
      <c r="C597" s="80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80"/>
      <c r="C598" s="80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outlineLevel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outlineLevel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3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1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83"/>
      <c r="B605" s="6"/>
      <c r="C605" s="6"/>
      <c r="D605" s="6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3"/>
      <c r="B607" s="3"/>
      <c r="C607" s="3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idden="1" outlineLevel="2">
      <c r="A608" s="1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idden="1" outlineLevel="2">
      <c r="A609" s="44"/>
      <c r="B609" s="6"/>
      <c r="C609" s="6"/>
      <c r="D609" s="6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44"/>
      <c r="B610" s="6"/>
      <c r="C610" s="6"/>
      <c r="D610" s="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6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17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44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44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6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6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44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6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17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44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outlineLevel="1" collapsed="1">
      <c r="A633" s="17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outlineLevel="1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6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6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17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17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>
      <c r="A642" s="6"/>
      <c r="B642" s="6"/>
      <c r="C642" s="6"/>
      <c r="D642" s="6"/>
      <c r="E642" s="6"/>
      <c r="F642" s="6"/>
      <c r="G642" s="6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>
      <c r="A643" s="6"/>
      <c r="B643" s="6"/>
      <c r="C643" s="6"/>
      <c r="D643" s="6"/>
      <c r="E643" s="6"/>
      <c r="F643" s="6"/>
      <c r="G643" s="6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D856"/>
  <sheetViews>
    <sheetView zoomScale="75" zoomScaleNormal="75" workbookViewId="0">
      <selection activeCell="A183" sqref="A183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90</v>
      </c>
      <c r="C1" s="418">
        <v>25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AA10" s="355">
        <f t="shared" ref="AA10:AA38" si="1">SUM(F10:Y10)</f>
        <v>0</v>
      </c>
      <c r="AB10" s="356">
        <f>AA10*$C$60</f>
        <v>0</v>
      </c>
    </row>
    <row r="11" spans="1:28">
      <c r="A11" s="4" t="s">
        <v>8</v>
      </c>
      <c r="B11" s="9"/>
      <c r="C11" s="9"/>
      <c r="D11" s="86">
        <v>1</v>
      </c>
      <c r="E11" s="163">
        <f>[14]FINANCIALS!F$13</f>
        <v>3197.2978340962591</v>
      </c>
      <c r="F11" s="163">
        <f>[14]FINANCIALS!G$13</f>
        <v>3300.7019208362417</v>
      </c>
      <c r="G11" s="163">
        <f>[14]FINANCIALS!H$13</f>
        <v>3384.6204094740006</v>
      </c>
      <c r="H11" s="163">
        <f>[14]FINANCIALS!I$13</f>
        <v>3489.2109929116446</v>
      </c>
      <c r="I11" s="163">
        <f>[14]FINANCIALS!J$13</f>
        <v>3596.7481362676526</v>
      </c>
      <c r="J11" s="163">
        <f>[14]FINANCIALS!K$13</f>
        <v>3707.056061458441</v>
      </c>
      <c r="K11" s="163">
        <f>[14]FINANCIALS!L$13</f>
        <v>3820.3532600728986</v>
      </c>
      <c r="L11" s="163">
        <f>[14]FINANCIALS!M$13</f>
        <v>3936.7062620664465</v>
      </c>
      <c r="M11" s="163">
        <f>[14]FINANCIALS!N$13</f>
        <v>4056.1975176814053</v>
      </c>
      <c r="N11" s="163">
        <f>[14]FINANCIALS!O$13</f>
        <v>4178.911849066988</v>
      </c>
      <c r="O11" s="163">
        <f>[14]FINANCIALS!P$13</f>
        <v>4304.936220038493</v>
      </c>
      <c r="P11" s="163">
        <f>[14]FINANCIALS!Q$13</f>
        <v>4439.1897426553523</v>
      </c>
      <c r="Q11" s="163">
        <f>[14]FINANCIALS!R$13</f>
        <v>4577.181857526848</v>
      </c>
      <c r="R11" s="163">
        <f>[14]FINANCIALS!S$13</f>
        <v>4719.0167261237384</v>
      </c>
      <c r="S11" s="163">
        <f>[14]FINANCIALS!T$13</f>
        <v>4864.8014172636731</v>
      </c>
      <c r="T11" s="163">
        <f>[14]FINANCIALS!U$13</f>
        <v>5014.6639427856971</v>
      </c>
      <c r="U11" s="163">
        <f>[14]FINANCIALS!V$13</f>
        <v>5168.7184068341212</v>
      </c>
      <c r="V11" s="163">
        <f>[14]FINANCIALS!W$13</f>
        <v>5327.0821028883001</v>
      </c>
      <c r="W11" s="163">
        <f>[14]FINANCIALS!X$13</f>
        <v>5489.8756157206499</v>
      </c>
      <c r="X11" s="163">
        <f>[14]FINANCIALS!Y$13</f>
        <v>5657.2229008054101</v>
      </c>
      <c r="Y11" s="163">
        <f>[14]FINANCIALS!Z$13</f>
        <v>5829.2513829265354</v>
      </c>
      <c r="AA11" s="355">
        <f t="shared" si="1"/>
        <v>88862.446725404545</v>
      </c>
      <c r="AB11" s="356">
        <f t="shared" ref="AB11:AB74" si="2">AA11*$C$60</f>
        <v>88862.446725404545</v>
      </c>
    </row>
    <row r="12" spans="1:28">
      <c r="A12" s="4" t="s">
        <v>9</v>
      </c>
      <c r="B12" s="9"/>
      <c r="C12" s="9"/>
      <c r="D12" s="86">
        <v>1</v>
      </c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AA12" s="355">
        <f t="shared" si="1"/>
        <v>0</v>
      </c>
      <c r="AB12" s="356">
        <f t="shared" si="2"/>
        <v>0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3197.2978340962591</v>
      </c>
      <c r="F20" s="86">
        <f t="shared" si="3"/>
        <v>3300.7019208362417</v>
      </c>
      <c r="G20" s="86">
        <f t="shared" si="3"/>
        <v>3384.6204094740006</v>
      </c>
      <c r="H20" s="86">
        <f t="shared" si="3"/>
        <v>3489.2109929116446</v>
      </c>
      <c r="I20" s="86">
        <f t="shared" si="3"/>
        <v>3596.7481362676526</v>
      </c>
      <c r="J20" s="86">
        <f t="shared" si="3"/>
        <v>3707.056061458441</v>
      </c>
      <c r="K20" s="86">
        <f t="shared" si="3"/>
        <v>3820.3532600728986</v>
      </c>
      <c r="L20" s="86">
        <f t="shared" si="3"/>
        <v>3936.7062620664465</v>
      </c>
      <c r="M20" s="86">
        <f t="shared" si="3"/>
        <v>4056.1975176814053</v>
      </c>
      <c r="N20" s="86">
        <f t="shared" si="3"/>
        <v>4178.911849066988</v>
      </c>
      <c r="O20" s="86">
        <f t="shared" si="3"/>
        <v>4304.936220038493</v>
      </c>
      <c r="P20" s="86">
        <f t="shared" si="3"/>
        <v>4439.1897426553523</v>
      </c>
      <c r="Q20" s="86">
        <f t="shared" si="3"/>
        <v>4577.181857526848</v>
      </c>
      <c r="R20" s="86">
        <f t="shared" si="3"/>
        <v>4719.0167261237384</v>
      </c>
      <c r="S20" s="86">
        <f t="shared" si="3"/>
        <v>4864.8014172636731</v>
      </c>
      <c r="T20" s="86">
        <f t="shared" si="3"/>
        <v>5014.6639427856971</v>
      </c>
      <c r="U20" s="86">
        <f t="shared" si="3"/>
        <v>5168.7184068341212</v>
      </c>
      <c r="V20" s="86">
        <f t="shared" si="3"/>
        <v>5327.0821028883001</v>
      </c>
      <c r="W20" s="86">
        <f t="shared" si="3"/>
        <v>5489.8756157206499</v>
      </c>
      <c r="X20" s="86">
        <f t="shared" si="3"/>
        <v>5657.2229008054101</v>
      </c>
      <c r="Y20" s="86">
        <f t="shared" si="3"/>
        <v>5829.2513829265354</v>
      </c>
      <c r="AA20" s="355">
        <f t="shared" si="1"/>
        <v>88862.446725404545</v>
      </c>
      <c r="AB20" s="356">
        <f t="shared" si="2"/>
        <v>88862.446725404545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13.620976891277007</v>
      </c>
      <c r="F23" s="417">
        <f>F25/$C$1</f>
        <v>14.013468042140994</v>
      </c>
      <c r="G23" s="417">
        <f>G25/$C$1</f>
        <v>23.075677028005444</v>
      </c>
      <c r="H23" s="417">
        <f>H25/$C$1</f>
        <v>23.709284973667064</v>
      </c>
      <c r="I23" s="417">
        <f t="shared" ref="I23:Y23" si="4">I25/$C$1</f>
        <v>24.360098425193986</v>
      </c>
      <c r="J23" s="417">
        <f t="shared" si="4"/>
        <v>25.028377663083472</v>
      </c>
      <c r="K23" s="417">
        <f t="shared" si="4"/>
        <v>25.714709207950783</v>
      </c>
      <c r="L23" s="417">
        <f t="shared" si="4"/>
        <v>26.419569127742715</v>
      </c>
      <c r="M23" s="417">
        <f t="shared" si="4"/>
        <v>28.765936650495664</v>
      </c>
      <c r="N23" s="417">
        <f t="shared" si="4"/>
        <v>29.558453338148865</v>
      </c>
      <c r="O23" s="417">
        <f t="shared" si="4"/>
        <v>30.372364079534918</v>
      </c>
      <c r="P23" s="417">
        <f t="shared" si="4"/>
        <v>31.239248643908837</v>
      </c>
      <c r="Q23" s="417">
        <f t="shared" si="4"/>
        <v>32.130381368430861</v>
      </c>
      <c r="R23" s="417">
        <f t="shared" si="4"/>
        <v>34.934047269099786</v>
      </c>
      <c r="S23" s="417">
        <f t="shared" si="4"/>
        <v>35.934044149128134</v>
      </c>
      <c r="T23" s="417">
        <f t="shared" si="4"/>
        <v>36.962034322645543</v>
      </c>
      <c r="U23" s="417">
        <f t="shared" si="4"/>
        <v>38.018801481520306</v>
      </c>
      <c r="V23" s="417">
        <f t="shared" si="4"/>
        <v>39.105151252063386</v>
      </c>
      <c r="W23" s="417">
        <f t="shared" si="4"/>
        <v>40.221911829443528</v>
      </c>
      <c r="X23" s="417">
        <f t="shared" si="4"/>
        <v>41.369934589219284</v>
      </c>
      <c r="Y23" s="417">
        <f t="shared" si="4"/>
        <v>42.550094743155135</v>
      </c>
      <c r="AA23" s="355">
        <f t="shared" si="1"/>
        <v>623.48358818457859</v>
      </c>
      <c r="AB23" s="356">
        <f t="shared" si="2"/>
        <v>623.48358818457859</v>
      </c>
    </row>
    <row r="24" spans="1:28">
      <c r="A24" s="4" t="s">
        <v>36</v>
      </c>
      <c r="D24" s="86">
        <v>0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[14]FINANCIALS!F$16+[14]FINANCIALS!F$18+[14]FINANCIALS!F$19+[14]FINANCIALS!F$24</f>
        <v>340.52442228192518</v>
      </c>
      <c r="F25" s="163">
        <f>[14]FINANCIALS!G$16+[14]FINANCIALS!G$18+[14]FINANCIALS!G$19+[14]FINANCIALS!G$24</f>
        <v>350.33670105352485</v>
      </c>
      <c r="G25" s="163">
        <f>[14]FINANCIALS!H$16+[14]FINANCIALS!H$18+[14]FINANCIALS!H$19+[14]FINANCIALS!H$24</f>
        <v>576.89192570013608</v>
      </c>
      <c r="H25" s="163">
        <f>[14]FINANCIALS!I$16+[14]FINANCIALS!I$18+[14]FINANCIALS!I$19+[14]FINANCIALS!I$24</f>
        <v>592.73212434167658</v>
      </c>
      <c r="I25" s="163">
        <f>[14]FINANCIALS!J$16+[14]FINANCIALS!J$18+[14]FINANCIALS!J$19+[14]FINANCIALS!J$24</f>
        <v>609.00246062984968</v>
      </c>
      <c r="J25" s="163">
        <f>[14]FINANCIALS!K$16+[14]FINANCIALS!K$18+[14]FINANCIALS!K$19+[14]FINANCIALS!K$24</f>
        <v>625.70944157708675</v>
      </c>
      <c r="K25" s="163">
        <f>[14]FINANCIALS!L$16+[14]FINANCIALS!L$18+[14]FINANCIALS!L$19+[14]FINANCIALS!L$24</f>
        <v>642.86773019876955</v>
      </c>
      <c r="L25" s="163">
        <f>[14]FINANCIALS!M$16+[14]FINANCIALS!M$18+[14]FINANCIALS!M$19+[14]FINANCIALS!M$24</f>
        <v>660.4892281935679</v>
      </c>
      <c r="M25" s="163">
        <f>[14]FINANCIALS!N$16+[14]FINANCIALS!N$18+[14]FINANCIALS!N$19+[14]FINANCIALS!N$24</f>
        <v>719.14841626239161</v>
      </c>
      <c r="N25" s="163">
        <f>[14]FINANCIALS!O$16+[14]FINANCIALS!O$18+[14]FINANCIALS!O$19+[14]FINANCIALS!O$24</f>
        <v>738.96133345372164</v>
      </c>
      <c r="O25" s="163">
        <f>[14]FINANCIALS!P$16+[14]FINANCIALS!P$18+[14]FINANCIALS!P$19+[14]FINANCIALS!P$24</f>
        <v>759.30910198837296</v>
      </c>
      <c r="P25" s="163">
        <f>[14]FINANCIALS!Q$16+[14]FINANCIALS!Q$18+[14]FINANCIALS!Q$19+[14]FINANCIALS!Q$24</f>
        <v>780.9812160977209</v>
      </c>
      <c r="Q25" s="163">
        <f>[14]FINANCIALS!R$16+[14]FINANCIALS!R$18+[14]FINANCIALS!R$19+[14]FINANCIALS!R$24</f>
        <v>803.25953421077145</v>
      </c>
      <c r="R25" s="163">
        <f>[14]FINANCIALS!S$16+[14]FINANCIALS!S$18+[14]FINANCIALS!S$19+[14]FINANCIALS!S$24</f>
        <v>873.35118172749458</v>
      </c>
      <c r="S25" s="163">
        <f>[14]FINANCIALS!T$16+[14]FINANCIALS!T$18+[14]FINANCIALS!T$19+[14]FINANCIALS!T$24</f>
        <v>898.35110372820327</v>
      </c>
      <c r="T25" s="163">
        <f>[14]FINANCIALS!U$16+[14]FINANCIALS!U$18+[14]FINANCIALS!U$19+[14]FINANCIALS!U$24</f>
        <v>924.05085806613863</v>
      </c>
      <c r="U25" s="163">
        <f>[14]FINANCIALS!V$16+[14]FINANCIALS!V$18+[14]FINANCIALS!V$19+[14]FINANCIALS!V$24</f>
        <v>950.4700370380076</v>
      </c>
      <c r="V25" s="163">
        <f>[14]FINANCIALS!W$16+[14]FINANCIALS!W$18+[14]FINANCIALS!W$19+[14]FINANCIALS!W$24</f>
        <v>977.6287813015847</v>
      </c>
      <c r="W25" s="163">
        <f>[14]FINANCIALS!X$16+[14]FINANCIALS!X$18+[14]FINANCIALS!X$19+[14]FINANCIALS!X$24</f>
        <v>1005.5477957360881</v>
      </c>
      <c r="X25" s="163">
        <f>[14]FINANCIALS!Y$16+[14]FINANCIALS!Y$18+[14]FINANCIALS!Y$19+[14]FINANCIALS!Y$24</f>
        <v>1034.2483647304821</v>
      </c>
      <c r="Y25" s="163">
        <f>[14]FINANCIALS!Z$16+[14]FINANCIALS!Z$18+[14]FINANCIALS!Z$19+[14]FINANCIALS!Z$24</f>
        <v>1063.7523685788783</v>
      </c>
      <c r="AA25" s="355">
        <f t="shared" si="1"/>
        <v>15587.089704614467</v>
      </c>
      <c r="AB25" s="356">
        <f t="shared" si="2"/>
        <v>15587.089704614467</v>
      </c>
    </row>
    <row r="26" spans="1:28">
      <c r="A26" s="4" t="s">
        <v>16</v>
      </c>
      <c r="D26" s="86">
        <v>0</v>
      </c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>
        <f>[14]FINANCIALS!F$20</f>
        <v>65.943116000000003</v>
      </c>
      <c r="F28" s="163">
        <f>[14]FINANCIALS!G$20</f>
        <v>67.789523248000009</v>
      </c>
      <c r="G28" s="163">
        <f>[14]FINANCIALS!H$20</f>
        <v>69.68762989894401</v>
      </c>
      <c r="H28" s="163">
        <f>[14]FINANCIALS!I$20</f>
        <v>71.569195906215498</v>
      </c>
      <c r="I28" s="163">
        <f>[14]FINANCIALS!J$20</f>
        <v>73.501564195683315</v>
      </c>
      <c r="J28" s="163">
        <f>[14]FINANCIALS!K$20</f>
        <v>75.486106428966764</v>
      </c>
      <c r="K28" s="163">
        <f>[14]FINANCIALS!L$20</f>
        <v>77.524231302548856</v>
      </c>
      <c r="L28" s="163">
        <f>[14]FINANCIALS!M$20</f>
        <v>79.617385547717674</v>
      </c>
      <c r="M28" s="163">
        <f>[14]FINANCIALS!N$20</f>
        <v>81.767054957506048</v>
      </c>
      <c r="N28" s="163">
        <f>[14]FINANCIALS!O$20</f>
        <v>83.974765441358699</v>
      </c>
      <c r="O28" s="163">
        <f>[14]FINANCIALS!P$20</f>
        <v>86.242084108275378</v>
      </c>
      <c r="P28" s="163">
        <f>[14]FINANCIALS!Q$20</f>
        <v>88.656862463307093</v>
      </c>
      <c r="Q28" s="163">
        <f>[14]FINANCIALS!R$20</f>
        <v>91.1392546122797</v>
      </c>
      <c r="R28" s="163">
        <f>[14]FINANCIALS!S$20</f>
        <v>93.691153741423534</v>
      </c>
      <c r="S28" s="163">
        <f>[14]FINANCIALS!T$20</f>
        <v>96.314506046183396</v>
      </c>
      <c r="T28" s="163">
        <f>[14]FINANCIALS!U$20</f>
        <v>99.011312215476536</v>
      </c>
      <c r="U28" s="163">
        <f>[14]FINANCIALS!V$20</f>
        <v>101.78362895750988</v>
      </c>
      <c r="V28" s="163">
        <f>[14]FINANCIALS!W$20</f>
        <v>104.63357056832015</v>
      </c>
      <c r="W28" s="163">
        <f>[14]FINANCIALS!X$20</f>
        <v>107.56331054423312</v>
      </c>
      <c r="X28" s="163">
        <f>[14]FINANCIALS!Y$20</f>
        <v>110.57508323947165</v>
      </c>
      <c r="Y28" s="163">
        <f>[14]FINANCIALS!Z$20</f>
        <v>113.67118557017686</v>
      </c>
      <c r="AA28" s="355">
        <f t="shared" si="1"/>
        <v>1774.1994089935984</v>
      </c>
      <c r="AB28" s="356">
        <f t="shared" si="2"/>
        <v>1774.1994089935984</v>
      </c>
    </row>
    <row r="29" spans="1:28">
      <c r="A29" s="4" t="s">
        <v>3</v>
      </c>
      <c r="D29" s="86">
        <v>0</v>
      </c>
      <c r="E29" s="163">
        <f>[14]FINANCIALS!F$21</f>
        <v>42.271360000000008</v>
      </c>
      <c r="F29" s="163">
        <f>[14]FINANCIALS!G$21</f>
        <v>43.454958080000011</v>
      </c>
      <c r="G29" s="163">
        <f>[14]FINANCIALS!H$21</f>
        <v>44.671696906240015</v>
      </c>
      <c r="H29" s="163">
        <f>[14]FINANCIALS!I$21</f>
        <v>45.87783272270849</v>
      </c>
      <c r="I29" s="163">
        <f>[14]FINANCIALS!J$21</f>
        <v>47.116534206221615</v>
      </c>
      <c r="J29" s="163">
        <f>[14]FINANCIALS!K$21</f>
        <v>48.388680629789597</v>
      </c>
      <c r="K29" s="163">
        <f>[14]FINANCIALS!L$21</f>
        <v>49.69517500679391</v>
      </c>
      <c r="L29" s="163">
        <f>[14]FINANCIALS!M$21</f>
        <v>51.036944731977343</v>
      </c>
      <c r="M29" s="163">
        <f>[14]FINANCIALS!N$21</f>
        <v>52.414942239740725</v>
      </c>
      <c r="N29" s="163">
        <f>[14]FINANCIALS!O$21</f>
        <v>53.830145680213718</v>
      </c>
      <c r="O29" s="163">
        <f>[14]FINANCIALS!P$21</f>
        <v>55.283559613579484</v>
      </c>
      <c r="P29" s="163">
        <f>[14]FINANCIALS!Q$21</f>
        <v>56.831499282759708</v>
      </c>
      <c r="Q29" s="163">
        <f>[14]FINANCIALS!R$21</f>
        <v>58.422781262676985</v>
      </c>
      <c r="R29" s="163">
        <f>[14]FINANCIALS!S$21</f>
        <v>60.058619138031943</v>
      </c>
      <c r="S29" s="163">
        <f>[14]FINANCIALS!T$21</f>
        <v>61.740260473896839</v>
      </c>
      <c r="T29" s="163">
        <f>[14]FINANCIALS!U$21</f>
        <v>63.468987767165949</v>
      </c>
      <c r="U29" s="163">
        <f>[14]FINANCIALS!V$21</f>
        <v>65.246119424646594</v>
      </c>
      <c r="V29" s="163">
        <f>[14]FINANCIALS!W$21</f>
        <v>67.073010768536705</v>
      </c>
      <c r="W29" s="163">
        <f>[14]FINANCIALS!X$21</f>
        <v>68.95105507005573</v>
      </c>
      <c r="X29" s="163">
        <f>[14]FINANCIALS!Y$21</f>
        <v>70.881684612017295</v>
      </c>
      <c r="Y29" s="163">
        <f>[14]FINANCIALS!Z$21</f>
        <v>72.866371781153788</v>
      </c>
      <c r="AA29" s="355">
        <f t="shared" si="1"/>
        <v>1137.3108593982065</v>
      </c>
      <c r="AB29" s="356">
        <f t="shared" si="2"/>
        <v>1137.3108593982065</v>
      </c>
    </row>
    <row r="30" spans="1:28">
      <c r="A30" s="4" t="s">
        <v>38</v>
      </c>
      <c r="D30" s="86">
        <v>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86">
        <v>0</v>
      </c>
      <c r="E31" s="163">
        <f>[14]FINANCIALS!F$17</f>
        <v>319.45292808495759</v>
      </c>
      <c r="F31" s="163">
        <f>[14]FINANCIALS!G$17</f>
        <v>283.62000898507762</v>
      </c>
      <c r="G31" s="163">
        <f>[14]FINANCIALS!H$17</f>
        <v>247.78708988519759</v>
      </c>
      <c r="H31" s="163">
        <f>[14]FINANCIALS!I$17</f>
        <v>211.95417078531756</v>
      </c>
      <c r="I31" s="163">
        <f>[14]FINANCIALS!J$17</f>
        <v>176.12125168543758</v>
      </c>
      <c r="J31" s="163">
        <f>[14]FINANCIALS!K$17</f>
        <v>140.28833258555758</v>
      </c>
      <c r="K31" s="163">
        <f>[14]FINANCIALS!L$17</f>
        <v>104.45541348567757</v>
      </c>
      <c r="L31" s="163">
        <f>[14]FINANCIALS!M$17</f>
        <v>71.665838199760003</v>
      </c>
      <c r="M31" s="163">
        <f>[14]FINANCIALS!N$17</f>
        <v>71.665838199760003</v>
      </c>
      <c r="N31" s="163">
        <f>[14]FINANCIALS!O$17</f>
        <v>71.665838199760003</v>
      </c>
      <c r="O31" s="163">
        <f>[14]FINANCIALS!P$17</f>
        <v>71.665838199760003</v>
      </c>
      <c r="P31" s="163">
        <f>[14]FINANCIALS!Q$17</f>
        <v>71.665838199760003</v>
      </c>
      <c r="Q31" s="163">
        <f>[14]FINANCIALS!R$17</f>
        <v>71.665838199760003</v>
      </c>
      <c r="R31" s="163">
        <f>[14]FINANCIALS!S$17</f>
        <v>71.665838199760003</v>
      </c>
      <c r="S31" s="163">
        <f>[14]FINANCIALS!T$17</f>
        <v>71.665838199760003</v>
      </c>
      <c r="T31" s="163">
        <f>[14]FINANCIALS!U$17</f>
        <v>71.665838199760003</v>
      </c>
      <c r="U31" s="163">
        <f>[14]FINANCIALS!V$17</f>
        <v>71.665838199760003</v>
      </c>
      <c r="V31" s="163">
        <f>[14]FINANCIALS!W$17</f>
        <v>71.665838199760003</v>
      </c>
      <c r="W31" s="163">
        <f>[14]FINANCIALS!X$17</f>
        <v>71.665838199760003</v>
      </c>
      <c r="X31" s="163">
        <f>[14]FINANCIALS!Y$17</f>
        <v>71.665838199760003</v>
      </c>
      <c r="Y31" s="163">
        <f>[14]FINANCIALS!Z$17</f>
        <v>71.665838199760003</v>
      </c>
      <c r="AA31" s="355">
        <f t="shared" si="1"/>
        <v>2167.5480022089046</v>
      </c>
      <c r="AB31" s="356">
        <f t="shared" si="2"/>
        <v>2167.5480022089046</v>
      </c>
    </row>
    <row r="32" spans="1:28">
      <c r="A32" s="4" t="s">
        <v>34</v>
      </c>
      <c r="D32" s="86">
        <v>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>
        <f>[14]FINANCIALS!F$23</f>
        <v>42.148000000000003</v>
      </c>
      <c r="F34" s="163">
        <f>[14]FINANCIALS!G$23</f>
        <v>43.328144000000002</v>
      </c>
      <c r="G34" s="163">
        <f>[14]FINANCIALS!H$23</f>
        <v>44.541332032</v>
      </c>
      <c r="H34" s="163">
        <f>[14]FINANCIALS!I$23</f>
        <v>45.788489328895999</v>
      </c>
      <c r="I34" s="163">
        <f>[14]FINANCIALS!J$23</f>
        <v>47.02477854077619</v>
      </c>
      <c r="J34" s="163">
        <f>[14]FINANCIALS!K$23</f>
        <v>48.29444756137714</v>
      </c>
      <c r="K34" s="163">
        <f>[14]FINANCIALS!L$23</f>
        <v>49.59839764553432</v>
      </c>
      <c r="L34" s="163">
        <f>[14]FINANCIALS!M$23</f>
        <v>50.937554381963743</v>
      </c>
      <c r="M34" s="163">
        <f>[14]FINANCIALS!N$23</f>
        <v>52.312868350276759</v>
      </c>
      <c r="N34" s="163">
        <f>[14]FINANCIALS!O$23</f>
        <v>53.725315795734225</v>
      </c>
      <c r="O34" s="163">
        <f>[14]FINANCIALS!P$23</f>
        <v>55.175899322219045</v>
      </c>
      <c r="P34" s="163">
        <f>[14]FINANCIALS!Q$23</f>
        <v>56.665648603918953</v>
      </c>
      <c r="Q34" s="163">
        <f>[14]FINANCIALS!R$23</f>
        <v>58.252286764828682</v>
      </c>
      <c r="R34" s="163">
        <f>[14]FINANCIALS!S$23</f>
        <v>59.883350794243889</v>
      </c>
      <c r="S34" s="163">
        <f>[14]FINANCIALS!T$23</f>
        <v>61.560084616482719</v>
      </c>
      <c r="T34" s="163">
        <f>[14]FINANCIALS!U$23</f>
        <v>63.283766985744236</v>
      </c>
      <c r="U34" s="163">
        <f>[14]FINANCIALS!V$23</f>
        <v>65.055712461345081</v>
      </c>
      <c r="V34" s="163">
        <f>[14]FINANCIALS!W$23</f>
        <v>66.877272410262748</v>
      </c>
      <c r="W34" s="163">
        <f>[14]FINANCIALS!X$23</f>
        <v>68.7498360377501</v>
      </c>
      <c r="X34" s="163">
        <f>[14]FINANCIALS!Y$23</f>
        <v>70.674831446807104</v>
      </c>
      <c r="Y34" s="163">
        <f>[14]FINANCIALS!Z$23</f>
        <v>72.653726727317704</v>
      </c>
      <c r="AA34" s="355">
        <f t="shared" si="1"/>
        <v>1134.3837438074788</v>
      </c>
      <c r="AB34" s="356">
        <f t="shared" si="2"/>
        <v>1134.3837438074788</v>
      </c>
    </row>
    <row r="35" spans="1:28">
      <c r="A35" s="4" t="s">
        <v>19</v>
      </c>
      <c r="B35" s="6"/>
      <c r="C35" s="6"/>
      <c r="D35" s="87">
        <v>0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810.33982636688279</v>
      </c>
      <c r="F36" s="86">
        <f t="shared" si="5"/>
        <v>788.52933536660237</v>
      </c>
      <c r="G36" s="86">
        <f t="shared" si="5"/>
        <v>983.57967442251766</v>
      </c>
      <c r="H36" s="86">
        <f t="shared" si="5"/>
        <v>967.92181308481418</v>
      </c>
      <c r="I36" s="86">
        <f t="shared" si="5"/>
        <v>952.76658925796823</v>
      </c>
      <c r="J36" s="86">
        <f t="shared" si="5"/>
        <v>938.16700878277788</v>
      </c>
      <c r="K36" s="86">
        <f t="shared" si="5"/>
        <v>924.14094763932417</v>
      </c>
      <c r="L36" s="86">
        <f t="shared" si="5"/>
        <v>913.74695105498677</v>
      </c>
      <c r="M36" s="86">
        <f t="shared" si="5"/>
        <v>977.30912000967521</v>
      </c>
      <c r="N36" s="86">
        <f t="shared" si="5"/>
        <v>1002.1573985707884</v>
      </c>
      <c r="O36" s="86">
        <f t="shared" si="5"/>
        <v>1027.6764832322067</v>
      </c>
      <c r="P36" s="86">
        <f t="shared" si="5"/>
        <v>1054.8010646474668</v>
      </c>
      <c r="Q36" s="86">
        <f t="shared" si="5"/>
        <v>1082.7396950503166</v>
      </c>
      <c r="R36" s="86">
        <f t="shared" si="5"/>
        <v>1158.6501436009537</v>
      </c>
      <c r="S36" s="86">
        <f t="shared" si="5"/>
        <v>1189.6317930645262</v>
      </c>
      <c r="T36" s="86">
        <f t="shared" si="5"/>
        <v>1221.4807632342854</v>
      </c>
      <c r="U36" s="86">
        <f t="shared" si="5"/>
        <v>1254.2213360812691</v>
      </c>
      <c r="V36" s="86">
        <f t="shared" si="5"/>
        <v>1287.8784732484644</v>
      </c>
      <c r="W36" s="86">
        <f t="shared" si="5"/>
        <v>1322.4778355878871</v>
      </c>
      <c r="X36" s="86">
        <f t="shared" si="5"/>
        <v>1358.0458022285382</v>
      </c>
      <c r="Y36" s="86">
        <f t="shared" si="5"/>
        <v>1394.6094908572866</v>
      </c>
      <c r="AA36" s="355">
        <f t="shared" si="1"/>
        <v>21800.531719022652</v>
      </c>
      <c r="AB36" s="356">
        <f t="shared" si="2"/>
        <v>21800.531719022652</v>
      </c>
    </row>
    <row r="37" spans="1:28" outlineLevel="1">
      <c r="A37" s="4"/>
      <c r="B37" s="92"/>
      <c r="C37" s="92"/>
      <c r="D37" s="86"/>
      <c r="E37" s="416">
        <f>E36/E20</f>
        <v>0.25344521168010975</v>
      </c>
      <c r="F37" s="416">
        <f t="shared" ref="F37:Y37" si="6">F36/F20</f>
        <v>0.23889746916826296</v>
      </c>
      <c r="G37" s="416">
        <f t="shared" si="6"/>
        <v>0.29060265419110159</v>
      </c>
      <c r="H37" s="416">
        <f t="shared" si="6"/>
        <v>0.27740420830129042</v>
      </c>
      <c r="I37" s="416">
        <f t="shared" si="6"/>
        <v>0.2648966658662551</v>
      </c>
      <c r="J37" s="416">
        <f t="shared" si="6"/>
        <v>0.25307602400101858</v>
      </c>
      <c r="K37" s="416">
        <f t="shared" si="6"/>
        <v>0.2418993440469665</v>
      </c>
      <c r="L37" s="416">
        <f t="shared" si="6"/>
        <v>0.23210950734621102</v>
      </c>
      <c r="M37" s="416">
        <f t="shared" si="6"/>
        <v>0.24094219173239928</v>
      </c>
      <c r="N37" s="416">
        <f t="shared" si="6"/>
        <v>0.23981300270656267</v>
      </c>
      <c r="O37" s="416">
        <f t="shared" si="6"/>
        <v>0.23872048985269695</v>
      </c>
      <c r="P37" s="416">
        <f t="shared" si="6"/>
        <v>0.23761116910865032</v>
      </c>
      <c r="Q37" s="416">
        <f t="shared" si="6"/>
        <v>0.23655160069068015</v>
      </c>
      <c r="R37" s="416">
        <f t="shared" si="6"/>
        <v>0.2455278738867035</v>
      </c>
      <c r="S37" s="416">
        <f t="shared" si="6"/>
        <v>0.24453861340421656</v>
      </c>
      <c r="T37" s="416">
        <f t="shared" si="6"/>
        <v>0.24358177879328446</v>
      </c>
      <c r="U37" s="416">
        <f t="shared" si="6"/>
        <v>0.24265615523239331</v>
      </c>
      <c r="V37" s="416">
        <f t="shared" si="6"/>
        <v>0.24176058269313838</v>
      </c>
      <c r="W37" s="416">
        <f t="shared" si="6"/>
        <v>0.24089395246057627</v>
      </c>
      <c r="X37" s="416">
        <f t="shared" si="6"/>
        <v>0.24005520483118939</v>
      </c>
      <c r="Y37" s="416">
        <f t="shared" si="6"/>
        <v>0.23924332632866016</v>
      </c>
      <c r="AA37" s="355">
        <f t="shared" si="1"/>
        <v>4.9307818146422582</v>
      </c>
      <c r="AB37" s="356">
        <f t="shared" si="2"/>
        <v>4.9307818146422582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2386.9580077293763</v>
      </c>
      <c r="F39" s="89">
        <f t="shared" si="7"/>
        <v>2512.1725854696392</v>
      </c>
      <c r="G39" s="89">
        <f t="shared" si="7"/>
        <v>2401.0407350514829</v>
      </c>
      <c r="H39" s="89">
        <f t="shared" si="7"/>
        <v>2521.2891798268301</v>
      </c>
      <c r="I39" s="89">
        <f t="shared" si="7"/>
        <v>2643.9815470096846</v>
      </c>
      <c r="J39" s="89">
        <f t="shared" si="7"/>
        <v>2768.8890526756632</v>
      </c>
      <c r="K39" s="89">
        <f t="shared" si="7"/>
        <v>2896.2123124335744</v>
      </c>
      <c r="L39" s="89">
        <f t="shared" si="7"/>
        <v>3022.9593110114597</v>
      </c>
      <c r="M39" s="89">
        <f t="shared" si="7"/>
        <v>3078.8883976717302</v>
      </c>
      <c r="N39" s="89">
        <f t="shared" si="7"/>
        <v>3176.7544504961998</v>
      </c>
      <c r="O39" s="89">
        <f t="shared" si="7"/>
        <v>3277.2597368062861</v>
      </c>
      <c r="P39" s="89">
        <f t="shared" si="7"/>
        <v>3384.3886780078856</v>
      </c>
      <c r="Q39" s="89">
        <f t="shared" si="7"/>
        <v>3494.4421624765314</v>
      </c>
      <c r="R39" s="89">
        <f t="shared" si="7"/>
        <v>3560.3665825227845</v>
      </c>
      <c r="S39" s="89">
        <f t="shared" si="7"/>
        <v>3675.1696241991467</v>
      </c>
      <c r="T39" s="89">
        <f t="shared" si="7"/>
        <v>3793.1831795514117</v>
      </c>
      <c r="U39" s="89">
        <f t="shared" si="7"/>
        <v>3914.4970707528519</v>
      </c>
      <c r="V39" s="89">
        <f t="shared" si="7"/>
        <v>4039.2036296398355</v>
      </c>
      <c r="W39" s="89">
        <f t="shared" si="7"/>
        <v>4167.3977801327628</v>
      </c>
      <c r="X39" s="89">
        <f t="shared" si="7"/>
        <v>4299.1770985768717</v>
      </c>
      <c r="Y39" s="89">
        <f t="shared" si="7"/>
        <v>4434.6418920692486</v>
      </c>
      <c r="AA39" s="355">
        <f>SUM(F39:Y39)</f>
        <v>67061.915006381882</v>
      </c>
      <c r="AB39" s="356">
        <f t="shared" si="2"/>
        <v>67061.915006381882</v>
      </c>
    </row>
    <row r="40" spans="1:28" s="17" customFormat="1">
      <c r="A40" s="1"/>
      <c r="B40" s="1"/>
      <c r="C40" s="1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1320</v>
      </c>
      <c r="G41" s="86">
        <f t="shared" ref="G41:Y41" si="9">+G109</f>
        <v>1320</v>
      </c>
      <c r="H41" s="86">
        <f t="shared" si="9"/>
        <v>1320</v>
      </c>
      <c r="I41" s="86">
        <f t="shared" si="9"/>
        <v>1320</v>
      </c>
      <c r="J41" s="86">
        <f t="shared" si="9"/>
        <v>1320</v>
      </c>
      <c r="K41" s="86">
        <f t="shared" si="9"/>
        <v>1320</v>
      </c>
      <c r="L41" s="86">
        <f t="shared" si="9"/>
        <v>1320</v>
      </c>
      <c r="M41" s="86">
        <f t="shared" si="9"/>
        <v>1320</v>
      </c>
      <c r="N41" s="86">
        <f t="shared" si="9"/>
        <v>1320</v>
      </c>
      <c r="O41" s="86">
        <f t="shared" si="9"/>
        <v>1320</v>
      </c>
      <c r="P41" s="86">
        <f t="shared" si="9"/>
        <v>1320</v>
      </c>
      <c r="Q41" s="86">
        <f t="shared" si="9"/>
        <v>1320</v>
      </c>
      <c r="R41" s="86">
        <f t="shared" si="9"/>
        <v>1320</v>
      </c>
      <c r="S41" s="86">
        <f t="shared" si="9"/>
        <v>1320</v>
      </c>
      <c r="T41" s="86">
        <f t="shared" si="9"/>
        <v>1320</v>
      </c>
      <c r="U41" s="86">
        <f t="shared" si="9"/>
        <v>1320</v>
      </c>
      <c r="V41" s="86">
        <f t="shared" si="9"/>
        <v>1320</v>
      </c>
      <c r="W41" s="86">
        <f t="shared" si="9"/>
        <v>1320</v>
      </c>
      <c r="X41" s="86">
        <f t="shared" si="9"/>
        <v>1320</v>
      </c>
      <c r="Y41" s="86">
        <f t="shared" si="9"/>
        <v>1320</v>
      </c>
      <c r="AA41" s="355">
        <f t="shared" si="8"/>
        <v>26400</v>
      </c>
      <c r="AB41" s="356">
        <f t="shared" si="2"/>
        <v>26400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2386.9580077293763</v>
      </c>
      <c r="F44" s="89">
        <f t="shared" si="10"/>
        <v>1192.1725854696392</v>
      </c>
      <c r="G44" s="89">
        <f t="shared" si="10"/>
        <v>1081.0407350514829</v>
      </c>
      <c r="H44" s="89">
        <f t="shared" si="10"/>
        <v>1201.2891798268301</v>
      </c>
      <c r="I44" s="89">
        <f t="shared" si="10"/>
        <v>1323.9815470096846</v>
      </c>
      <c r="J44" s="89">
        <f t="shared" si="10"/>
        <v>1448.8890526756632</v>
      </c>
      <c r="K44" s="89">
        <f t="shared" si="10"/>
        <v>1576.2123124335744</v>
      </c>
      <c r="L44" s="89">
        <f t="shared" si="10"/>
        <v>1702.9593110114597</v>
      </c>
      <c r="M44" s="89">
        <f t="shared" si="10"/>
        <v>1758.8883976717302</v>
      </c>
      <c r="N44" s="89">
        <f t="shared" si="10"/>
        <v>1856.7544504961998</v>
      </c>
      <c r="O44" s="89">
        <f t="shared" si="10"/>
        <v>1957.2597368062861</v>
      </c>
      <c r="P44" s="89">
        <f t="shared" si="10"/>
        <v>2064.3886780078856</v>
      </c>
      <c r="Q44" s="89">
        <f t="shared" si="10"/>
        <v>2174.4421624765314</v>
      </c>
      <c r="R44" s="89">
        <f t="shared" si="10"/>
        <v>2240.3665825227845</v>
      </c>
      <c r="S44" s="89">
        <f t="shared" si="10"/>
        <v>2355.1696241991467</v>
      </c>
      <c r="T44" s="89">
        <f t="shared" si="10"/>
        <v>2473.1831795514117</v>
      </c>
      <c r="U44" s="89">
        <f t="shared" si="10"/>
        <v>2594.4970707528519</v>
      </c>
      <c r="V44" s="89">
        <f t="shared" si="10"/>
        <v>2719.2036296398355</v>
      </c>
      <c r="W44" s="89">
        <f t="shared" si="10"/>
        <v>2847.3977801327628</v>
      </c>
      <c r="X44" s="89">
        <f t="shared" si="10"/>
        <v>2979.1770985768717</v>
      </c>
      <c r="Y44" s="89">
        <f t="shared" si="10"/>
        <v>3114.6418920692486</v>
      </c>
      <c r="AA44" s="355">
        <f t="shared" si="8"/>
        <v>40661.915006381882</v>
      </c>
      <c r="AB44" s="356">
        <f t="shared" si="2"/>
        <v>40661.915006381882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AA46" s="355">
        <f t="shared" si="8"/>
        <v>0</v>
      </c>
      <c r="AB46" s="356">
        <f t="shared" si="2"/>
        <v>0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2386.9580077293763</v>
      </c>
      <c r="F49" s="89">
        <f t="shared" si="11"/>
        <v>1192.1725854696392</v>
      </c>
      <c r="G49" s="89">
        <f t="shared" si="11"/>
        <v>1081.0407350514829</v>
      </c>
      <c r="H49" s="89">
        <f t="shared" si="11"/>
        <v>1201.2891798268301</v>
      </c>
      <c r="I49" s="89">
        <f t="shared" si="11"/>
        <v>1323.9815470096846</v>
      </c>
      <c r="J49" s="89">
        <f t="shared" si="11"/>
        <v>1448.8890526756632</v>
      </c>
      <c r="K49" s="89">
        <f t="shared" si="11"/>
        <v>1576.2123124335744</v>
      </c>
      <c r="L49" s="89">
        <f t="shared" si="11"/>
        <v>1702.9593110114597</v>
      </c>
      <c r="M49" s="89">
        <f t="shared" si="11"/>
        <v>1758.8883976717302</v>
      </c>
      <c r="N49" s="89">
        <f t="shared" si="11"/>
        <v>1856.7544504961998</v>
      </c>
      <c r="O49" s="89">
        <f t="shared" si="11"/>
        <v>1957.2597368062861</v>
      </c>
      <c r="P49" s="89">
        <f t="shared" si="11"/>
        <v>2064.3886780078856</v>
      </c>
      <c r="Q49" s="89">
        <f t="shared" si="11"/>
        <v>2174.4421624765314</v>
      </c>
      <c r="R49" s="89">
        <f t="shared" si="11"/>
        <v>2240.3665825227845</v>
      </c>
      <c r="S49" s="89">
        <f t="shared" si="11"/>
        <v>2355.1696241991467</v>
      </c>
      <c r="T49" s="89">
        <f t="shared" si="11"/>
        <v>2473.1831795514117</v>
      </c>
      <c r="U49" s="89">
        <f t="shared" si="11"/>
        <v>2594.4970707528519</v>
      </c>
      <c r="V49" s="89">
        <f t="shared" si="11"/>
        <v>2719.2036296398355</v>
      </c>
      <c r="W49" s="89">
        <f t="shared" si="11"/>
        <v>2847.3977801327628</v>
      </c>
      <c r="X49" s="89">
        <f t="shared" si="11"/>
        <v>2979.1770985768717</v>
      </c>
      <c r="Y49" s="89">
        <f t="shared" si="11"/>
        <v>3114.6418920692486</v>
      </c>
      <c r="AA49" s="355">
        <f t="shared" si="8"/>
        <v>40661.915006381882</v>
      </c>
      <c r="AB49" s="356">
        <f t="shared" si="2"/>
        <v>40661.915006381882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7">
        <v>0.05</v>
      </c>
      <c r="D51" s="86"/>
      <c r="E51" s="86">
        <f t="shared" ref="E51:Y51" si="12">E49*-$C$51</f>
        <v>-119.34790038646882</v>
      </c>
      <c r="F51" s="86">
        <f t="shared" si="12"/>
        <v>-59.608629273481966</v>
      </c>
      <c r="G51" s="51">
        <f t="shared" si="12"/>
        <v>-54.052036752574146</v>
      </c>
      <c r="H51" s="86">
        <f t="shared" si="12"/>
        <v>-60.06445899134151</v>
      </c>
      <c r="I51" s="86">
        <f t="shared" si="12"/>
        <v>-66.199077350484231</v>
      </c>
      <c r="J51" s="86">
        <f t="shared" si="12"/>
        <v>-72.444452633783158</v>
      </c>
      <c r="K51" s="86">
        <f t="shared" si="12"/>
        <v>-78.810615621678721</v>
      </c>
      <c r="L51" s="86">
        <f t="shared" si="12"/>
        <v>-85.147965550572991</v>
      </c>
      <c r="M51" s="86">
        <f t="shared" si="12"/>
        <v>-87.944419883586519</v>
      </c>
      <c r="N51" s="86">
        <f t="shared" si="12"/>
        <v>-92.83772252480999</v>
      </c>
      <c r="O51" s="86">
        <f t="shared" si="12"/>
        <v>-97.862986840314306</v>
      </c>
      <c r="P51" s="86">
        <f t="shared" si="12"/>
        <v>-103.21943390039428</v>
      </c>
      <c r="Q51" s="86">
        <f t="shared" si="12"/>
        <v>-108.72210812382657</v>
      </c>
      <c r="R51" s="86">
        <f t="shared" si="12"/>
        <v>-112.01832912613924</v>
      </c>
      <c r="S51" s="86">
        <f t="shared" si="12"/>
        <v>-117.75848120995734</v>
      </c>
      <c r="T51" s="86">
        <f t="shared" si="12"/>
        <v>-123.6591589775706</v>
      </c>
      <c r="U51" s="86">
        <f t="shared" si="12"/>
        <v>-129.72485353764259</v>
      </c>
      <c r="V51" s="86">
        <f t="shared" si="12"/>
        <v>-135.96018148199178</v>
      </c>
      <c r="W51" s="86">
        <f t="shared" si="12"/>
        <v>-142.36988900663815</v>
      </c>
      <c r="X51" s="86">
        <f t="shared" si="12"/>
        <v>-148.95885492884358</v>
      </c>
      <c r="Y51" s="86">
        <f t="shared" si="12"/>
        <v>-155.73209460346243</v>
      </c>
      <c r="AA51" s="355">
        <f t="shared" si="8"/>
        <v>-2033.0957503190941</v>
      </c>
      <c r="AB51" s="356">
        <f t="shared" si="2"/>
        <v>-2033.0957503190941</v>
      </c>
    </row>
    <row r="52" spans="1:28">
      <c r="A52" s="4" t="s">
        <v>27</v>
      </c>
      <c r="C52" s="168">
        <v>0.35</v>
      </c>
      <c r="D52" s="85"/>
      <c r="E52" s="85">
        <f>((E49+E51)*-$C$52)+E56</f>
        <v>575.41646243095977</v>
      </c>
      <c r="F52" s="85">
        <f t="shared" ref="F52:Y52" si="13">((F49+F51)*-$C$52)+F56</f>
        <v>1048.7426153323768</v>
      </c>
      <c r="G52" s="85">
        <f t="shared" si="13"/>
        <v>1085.6939555964138</v>
      </c>
      <c r="H52" s="85">
        <f t="shared" si="13"/>
        <v>1121.7713477086652</v>
      </c>
      <c r="I52" s="85">
        <f t="shared" si="13"/>
        <v>1080.9761356203662</v>
      </c>
      <c r="J52" s="85">
        <f t="shared" si="13"/>
        <v>1115.5043899864825</v>
      </c>
      <c r="K52" s="85">
        <f t="shared" si="13"/>
        <v>1149.2294061170314</v>
      </c>
      <c r="L52" s="85">
        <f t="shared" si="13"/>
        <v>1107.0860290898845</v>
      </c>
      <c r="M52" s="85">
        <f t="shared" si="13"/>
        <v>694.77291670020156</v>
      </c>
      <c r="N52" s="85">
        <f t="shared" si="13"/>
        <v>-617.37085478998631</v>
      </c>
      <c r="O52" s="85">
        <f t="shared" si="13"/>
        <v>-650.7888624880901</v>
      </c>
      <c r="P52" s="85">
        <f t="shared" si="13"/>
        <v>-686.40923543762187</v>
      </c>
      <c r="Q52" s="85">
        <f t="shared" si="13"/>
        <v>-723.00201902344656</v>
      </c>
      <c r="R52" s="85">
        <f t="shared" si="13"/>
        <v>-744.92188868882579</v>
      </c>
      <c r="S52" s="85">
        <f t="shared" si="13"/>
        <v>-783.09390004621628</v>
      </c>
      <c r="T52" s="85">
        <f t="shared" si="13"/>
        <v>-822.33340720084425</v>
      </c>
      <c r="U52" s="85">
        <f t="shared" si="13"/>
        <v>-862.67027602532323</v>
      </c>
      <c r="V52" s="85">
        <f t="shared" si="13"/>
        <v>-904.13520685524531</v>
      </c>
      <c r="W52" s="85">
        <f t="shared" si="13"/>
        <v>-946.75976189414359</v>
      </c>
      <c r="X52" s="85">
        <f t="shared" si="13"/>
        <v>-990.57638527680967</v>
      </c>
      <c r="Y52" s="85">
        <f t="shared" si="13"/>
        <v>-1035.6184291130251</v>
      </c>
      <c r="AA52" s="355">
        <f t="shared" si="8"/>
        <v>-1363.9034306881545</v>
      </c>
      <c r="AB52" s="356">
        <f t="shared" si="2"/>
        <v>-1363.9034306881545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2843.0265697738673</v>
      </c>
      <c r="F54" s="89">
        <f t="shared" si="14"/>
        <v>2181.3065715285338</v>
      </c>
      <c r="G54" s="89">
        <f t="shared" si="14"/>
        <v>2112.6826538953228</v>
      </c>
      <c r="H54" s="89">
        <f t="shared" si="14"/>
        <v>2262.9960685441538</v>
      </c>
      <c r="I54" s="89">
        <f t="shared" si="14"/>
        <v>2338.7586052795668</v>
      </c>
      <c r="J54" s="89">
        <f t="shared" si="14"/>
        <v>2491.9489900283625</v>
      </c>
      <c r="K54" s="89">
        <f t="shared" si="14"/>
        <v>2646.6311029289272</v>
      </c>
      <c r="L54" s="89">
        <f t="shared" si="14"/>
        <v>2724.897374550771</v>
      </c>
      <c r="M54" s="89">
        <f t="shared" si="14"/>
        <v>2365.7168944883451</v>
      </c>
      <c r="N54" s="89">
        <f t="shared" si="14"/>
        <v>1146.5458731814033</v>
      </c>
      <c r="O54" s="89">
        <f t="shared" si="14"/>
        <v>1208.6078874778818</v>
      </c>
      <c r="P54" s="89">
        <f t="shared" si="14"/>
        <v>1274.7600086698694</v>
      </c>
      <c r="Q54" s="89">
        <f t="shared" si="14"/>
        <v>1342.7180353292581</v>
      </c>
      <c r="R54" s="89">
        <f t="shared" si="14"/>
        <v>1383.4263647078196</v>
      </c>
      <c r="S54" s="89">
        <f t="shared" si="14"/>
        <v>1454.3172429429733</v>
      </c>
      <c r="T54" s="89">
        <f t="shared" si="14"/>
        <v>1527.1906133729967</v>
      </c>
      <c r="U54" s="89">
        <f t="shared" si="14"/>
        <v>1602.101941189886</v>
      </c>
      <c r="V54" s="89">
        <f t="shared" si="14"/>
        <v>1679.1082413025986</v>
      </c>
      <c r="W54" s="89">
        <f t="shared" si="14"/>
        <v>1758.2681292319812</v>
      </c>
      <c r="X54" s="89">
        <f t="shared" si="14"/>
        <v>1839.6418583712184</v>
      </c>
      <c r="Y54" s="89">
        <f t="shared" si="14"/>
        <v>1923.2913683527611</v>
      </c>
      <c r="AA54" s="355">
        <f t="shared" si="8"/>
        <v>37264.915825374628</v>
      </c>
      <c r="AB54" s="356">
        <f t="shared" si="2"/>
        <v>37264.915825374628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f>[14]TAX!F$46</f>
        <v>1369.0800000009774</v>
      </c>
      <c r="F56" s="169">
        <f>[14]TAX!G$46</f>
        <v>1445.1400000010319</v>
      </c>
      <c r="G56" s="169">
        <f>[14]TAX!H$46</f>
        <v>1445.1400000010319</v>
      </c>
      <c r="H56" s="169">
        <f>[14]TAX!I$46</f>
        <v>1521.2000000010862</v>
      </c>
      <c r="I56" s="169">
        <f>[14]TAX!J$46</f>
        <v>1521.2000000010862</v>
      </c>
      <c r="J56" s="169">
        <f>[14]TAX!K$46</f>
        <v>1597.2600000011405</v>
      </c>
      <c r="K56" s="169">
        <f>[14]TAX!L$46</f>
        <v>1673.3200000011948</v>
      </c>
      <c r="L56" s="169">
        <f>[14]TAX!M$46</f>
        <v>1673.3200000011948</v>
      </c>
      <c r="M56" s="169">
        <f>[14]TAX!N$46</f>
        <v>1279.6033089260518</v>
      </c>
      <c r="N56" s="169">
        <f>[14]TAX!O$46</f>
        <v>0</v>
      </c>
      <c r="O56" s="169">
        <f>[14]TAX!P$46</f>
        <v>0</v>
      </c>
      <c r="P56" s="169">
        <f>[14]TAX!Q$46</f>
        <v>0</v>
      </c>
      <c r="Q56" s="169">
        <f>[14]TAX!R$46</f>
        <v>0</v>
      </c>
      <c r="R56" s="169">
        <f>[14]TAX!S$46</f>
        <v>0</v>
      </c>
      <c r="S56" s="169">
        <f>[14]TAX!T$46</f>
        <v>0</v>
      </c>
      <c r="T56" s="169">
        <f>[14]TAX!U$46</f>
        <v>0</v>
      </c>
      <c r="U56" s="169">
        <f>[14]TAX!V$46</f>
        <v>0</v>
      </c>
      <c r="V56" s="169">
        <f>[14]TAX!W$46</f>
        <v>0</v>
      </c>
      <c r="W56" s="169">
        <f>[14]TAX!X$46</f>
        <v>0</v>
      </c>
      <c r="X56" s="169">
        <f>[14]TAX!Y$46</f>
        <v>0</v>
      </c>
      <c r="Y56" s="169">
        <f>[14]TAX!Z$46</f>
        <v>0</v>
      </c>
      <c r="AA56" s="355">
        <f t="shared" si="8"/>
        <v>12156.183308933818</v>
      </c>
      <c r="AB56" s="356">
        <f t="shared" si="2"/>
        <v>12156.183308933818</v>
      </c>
    </row>
    <row r="57" spans="1:28" outlineLevel="1">
      <c r="A57" s="12"/>
      <c r="D57" s="419" t="s">
        <v>181</v>
      </c>
      <c r="E57" s="420">
        <f>E56/(0.017*C1*8760)</f>
        <v>0.36773569701879594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424">
        <f>M56/L56</f>
        <v>0.76470926596534916</v>
      </c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0.76470926596534916</v>
      </c>
      <c r="AB58" s="356">
        <f t="shared" si="2"/>
        <v>0.76470926596534916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1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40210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2386.9580077293763</v>
      </c>
      <c r="F64" s="16">
        <f t="shared" si="16"/>
        <v>2512.1725854696392</v>
      </c>
      <c r="G64" s="20">
        <f t="shared" si="16"/>
        <v>2401.0407350514829</v>
      </c>
      <c r="H64" s="16">
        <f t="shared" si="16"/>
        <v>2521.2891798268301</v>
      </c>
      <c r="I64" s="16">
        <f t="shared" si="16"/>
        <v>2643.9815470096846</v>
      </c>
      <c r="J64" s="16">
        <f t="shared" si="16"/>
        <v>2768.8890526756632</v>
      </c>
      <c r="K64" s="16">
        <f t="shared" si="16"/>
        <v>2896.2123124335744</v>
      </c>
      <c r="L64" s="16">
        <f t="shared" si="16"/>
        <v>3022.9593110114597</v>
      </c>
      <c r="M64" s="16">
        <f t="shared" si="16"/>
        <v>3078.8883976717302</v>
      </c>
      <c r="N64" s="16">
        <f t="shared" si="16"/>
        <v>3176.7544504961998</v>
      </c>
      <c r="O64" s="16">
        <f t="shared" si="16"/>
        <v>3277.2597368062861</v>
      </c>
      <c r="P64" s="16">
        <f t="shared" si="16"/>
        <v>3384.3886780078856</v>
      </c>
      <c r="Q64" s="16">
        <f t="shared" si="16"/>
        <v>3494.4421624765314</v>
      </c>
      <c r="R64" s="16">
        <f t="shared" si="16"/>
        <v>3560.3665825227845</v>
      </c>
      <c r="S64" s="16">
        <f t="shared" si="16"/>
        <v>3675.1696241991467</v>
      </c>
      <c r="T64" s="16">
        <f t="shared" si="16"/>
        <v>3793.1831795514117</v>
      </c>
      <c r="U64" s="16">
        <f t="shared" si="16"/>
        <v>3914.4970707528519</v>
      </c>
      <c r="V64" s="16">
        <f t="shared" si="16"/>
        <v>4039.2036296398355</v>
      </c>
      <c r="W64" s="16">
        <f t="shared" si="16"/>
        <v>4167.3977801327628</v>
      </c>
      <c r="X64" s="16">
        <f t="shared" si="16"/>
        <v>4299.1770985768717</v>
      </c>
      <c r="Y64" s="16">
        <f t="shared" si="16"/>
        <v>4434.6418920692486</v>
      </c>
      <c r="AA64" s="355">
        <f t="shared" si="8"/>
        <v>67061.915006381882</v>
      </c>
      <c r="AB64" s="356">
        <f t="shared" si="2"/>
        <v>67061.915006381882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171">
        <v>0</v>
      </c>
      <c r="F66" s="171">
        <v>0</v>
      </c>
      <c r="G66" s="171">
        <v>0</v>
      </c>
      <c r="H66" s="171">
        <v>0</v>
      </c>
      <c r="I66" s="171">
        <v>0</v>
      </c>
      <c r="J66" s="171">
        <v>0</v>
      </c>
      <c r="K66" s="171">
        <v>0</v>
      </c>
      <c r="L66" s="171">
        <v>0</v>
      </c>
      <c r="M66" s="171">
        <v>0</v>
      </c>
      <c r="N66" s="171">
        <v>0</v>
      </c>
      <c r="O66" s="171">
        <v>0</v>
      </c>
      <c r="P66" s="171">
        <v>0</v>
      </c>
      <c r="Q66" s="171">
        <v>0</v>
      </c>
      <c r="R66" s="171">
        <v>0</v>
      </c>
      <c r="S66" s="171">
        <v>0</v>
      </c>
      <c r="T66" s="171">
        <v>0</v>
      </c>
      <c r="U66" s="171">
        <v>0</v>
      </c>
      <c r="V66" s="171">
        <v>0</v>
      </c>
      <c r="W66" s="171">
        <v>0</v>
      </c>
      <c r="X66" s="171">
        <v>0</v>
      </c>
      <c r="Y66" s="171">
        <v>0</v>
      </c>
      <c r="AA66" s="355">
        <f t="shared" si="8"/>
        <v>0</v>
      </c>
      <c r="AB66" s="356">
        <f t="shared" si="2"/>
        <v>0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7">SUM(E64:E66)</f>
        <v>2386.9580077293763</v>
      </c>
      <c r="F69" s="91">
        <f t="shared" si="17"/>
        <v>2512.1725854696392</v>
      </c>
      <c r="G69" s="91">
        <f t="shared" si="17"/>
        <v>2401.0407350514829</v>
      </c>
      <c r="H69" s="91">
        <f t="shared" si="17"/>
        <v>2521.2891798268301</v>
      </c>
      <c r="I69" s="91">
        <f t="shared" si="17"/>
        <v>2643.9815470096846</v>
      </c>
      <c r="J69" s="91">
        <f t="shared" si="17"/>
        <v>2768.8890526756632</v>
      </c>
      <c r="K69" s="91">
        <f t="shared" si="17"/>
        <v>2896.2123124335744</v>
      </c>
      <c r="L69" s="91">
        <f t="shared" si="17"/>
        <v>3022.9593110114597</v>
      </c>
      <c r="M69" s="91">
        <f t="shared" si="17"/>
        <v>3078.8883976717302</v>
      </c>
      <c r="N69" s="91">
        <f t="shared" si="17"/>
        <v>3176.7544504961998</v>
      </c>
      <c r="O69" s="91">
        <f t="shared" si="17"/>
        <v>3277.2597368062861</v>
      </c>
      <c r="P69" s="91">
        <f t="shared" si="17"/>
        <v>3384.3886780078856</v>
      </c>
      <c r="Q69" s="91">
        <f t="shared" si="17"/>
        <v>3494.4421624765314</v>
      </c>
      <c r="R69" s="91">
        <f t="shared" si="17"/>
        <v>3560.3665825227845</v>
      </c>
      <c r="S69" s="91">
        <f t="shared" si="17"/>
        <v>3675.1696241991467</v>
      </c>
      <c r="T69" s="91">
        <f t="shared" si="17"/>
        <v>3793.1831795514117</v>
      </c>
      <c r="U69" s="91">
        <f t="shared" si="17"/>
        <v>3914.4970707528519</v>
      </c>
      <c r="V69" s="91">
        <f t="shared" si="17"/>
        <v>4039.2036296398355</v>
      </c>
      <c r="W69" s="91">
        <f t="shared" si="17"/>
        <v>4167.3977801327628</v>
      </c>
      <c r="X69" s="91">
        <f t="shared" si="17"/>
        <v>4299.1770985768717</v>
      </c>
      <c r="Y69" s="91">
        <f t="shared" si="17"/>
        <v>4434.6418920692486</v>
      </c>
      <c r="AA69" s="355">
        <f t="shared" si="8"/>
        <v>67061.915006381882</v>
      </c>
      <c r="AB69" s="356">
        <f t="shared" si="2"/>
        <v>67061.915006381882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8">F89</f>
        <v>2069.0617843256555</v>
      </c>
      <c r="G71" s="94">
        <f t="shared" si="18"/>
        <v>3929.5503960712758</v>
      </c>
      <c r="H71" s="94">
        <f t="shared" si="18"/>
        <v>1944.3759750533181</v>
      </c>
      <c r="I71" s="94">
        <f t="shared" si="18"/>
        <v>733.93851007104377</v>
      </c>
      <c r="J71" s="94">
        <f t="shared" si="18"/>
        <v>686.16138915380702</v>
      </c>
      <c r="K71" s="94">
        <f t="shared" si="18"/>
        <v>-235.17048360471807</v>
      </c>
      <c r="L71" s="94">
        <f t="shared" si="18"/>
        <v>-1156.2819364618833</v>
      </c>
      <c r="M71" s="94">
        <f t="shared" si="18"/>
        <v>-1177.6748121094365</v>
      </c>
      <c r="N71" s="94">
        <f t="shared" si="18"/>
        <v>-1215.1085773147963</v>
      </c>
      <c r="O71" s="94">
        <f t="shared" si="18"/>
        <v>-1253.5518493284044</v>
      </c>
      <c r="P71" s="94">
        <f t="shared" si="18"/>
        <v>-1294.528669338016</v>
      </c>
      <c r="Q71" s="94">
        <f t="shared" si="18"/>
        <v>-1336.6241271472732</v>
      </c>
      <c r="R71" s="94">
        <f t="shared" si="18"/>
        <v>-1361.8402178149649</v>
      </c>
      <c r="S71" s="94">
        <f t="shared" si="18"/>
        <v>-1405.7523812561737</v>
      </c>
      <c r="T71" s="94">
        <f t="shared" si="18"/>
        <v>-1450.8925661784149</v>
      </c>
      <c r="U71" s="94">
        <f t="shared" si="18"/>
        <v>-1497.2951295629659</v>
      </c>
      <c r="V71" s="94">
        <f t="shared" si="18"/>
        <v>-1544.995388337237</v>
      </c>
      <c r="W71" s="94">
        <f t="shared" si="18"/>
        <v>-1594.0296509007819</v>
      </c>
      <c r="X71" s="94">
        <f t="shared" si="18"/>
        <v>-1644.4352402056534</v>
      </c>
      <c r="Y71" s="94">
        <f t="shared" si="18"/>
        <v>-1696.2505237164876</v>
      </c>
      <c r="AA71" s="355">
        <f t="shared" si="8"/>
        <v>-10501.343498602108</v>
      </c>
      <c r="AB71" s="356">
        <f t="shared" si="2"/>
        <v>-10501.343498602108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19">E69+E71</f>
        <v>2386.9580077293763</v>
      </c>
      <c r="F73" s="24">
        <f t="shared" si="19"/>
        <v>4581.2343697952947</v>
      </c>
      <c r="G73" s="24">
        <f t="shared" si="19"/>
        <v>6330.5911311227592</v>
      </c>
      <c r="H73" s="24">
        <f t="shared" si="19"/>
        <v>4465.6651548801483</v>
      </c>
      <c r="I73" s="24">
        <f t="shared" si="19"/>
        <v>3377.9200570807284</v>
      </c>
      <c r="J73" s="24">
        <f t="shared" si="19"/>
        <v>3455.0504418294704</v>
      </c>
      <c r="K73" s="24">
        <f t="shared" si="19"/>
        <v>2661.0418288288565</v>
      </c>
      <c r="L73" s="24">
        <f t="shared" si="19"/>
        <v>1866.6773745495764</v>
      </c>
      <c r="M73" s="24">
        <f t="shared" si="19"/>
        <v>1901.2135855622937</v>
      </c>
      <c r="N73" s="24">
        <f t="shared" si="19"/>
        <v>1961.6458731814034</v>
      </c>
      <c r="O73" s="24">
        <f t="shared" si="19"/>
        <v>2023.7078874778817</v>
      </c>
      <c r="P73" s="24">
        <f t="shared" si="19"/>
        <v>2089.8600086698698</v>
      </c>
      <c r="Q73" s="24">
        <f t="shared" si="19"/>
        <v>2157.8180353292582</v>
      </c>
      <c r="R73" s="24">
        <f t="shared" si="19"/>
        <v>2198.5263647078195</v>
      </c>
      <c r="S73" s="24">
        <f t="shared" si="19"/>
        <v>2269.4172429429727</v>
      </c>
      <c r="T73" s="24">
        <f t="shared" si="19"/>
        <v>2342.2906133729966</v>
      </c>
      <c r="U73" s="24">
        <f t="shared" si="19"/>
        <v>2417.2019411898859</v>
      </c>
      <c r="V73" s="24">
        <f t="shared" si="19"/>
        <v>2494.2082413025983</v>
      </c>
      <c r="W73" s="24">
        <f t="shared" si="19"/>
        <v>2573.3681292319807</v>
      </c>
      <c r="X73" s="24">
        <f t="shared" si="19"/>
        <v>2654.7418583712183</v>
      </c>
      <c r="Y73" s="24">
        <f t="shared" si="19"/>
        <v>2738.3913683527608</v>
      </c>
      <c r="AA73" s="355">
        <f t="shared" si="8"/>
        <v>56560.571507779779</v>
      </c>
      <c r="AB73" s="356">
        <f t="shared" si="2"/>
        <v>56560.571507779779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0">AA75*$C$60</f>
        <v>0</v>
      </c>
    </row>
    <row r="76" spans="1:28" ht="12.75" customHeight="1" outlineLevel="1">
      <c r="A76" s="13" t="s">
        <v>135</v>
      </c>
      <c r="B76" s="22"/>
      <c r="C76" s="159">
        <f>+C$60</f>
        <v>1</v>
      </c>
      <c r="D76" s="24"/>
      <c r="E76" s="24">
        <f t="shared" ref="E76:Y76" si="21">$C$76*E54</f>
        <v>2843.0265697738673</v>
      </c>
      <c r="F76" s="24">
        <f t="shared" si="21"/>
        <v>2181.3065715285338</v>
      </c>
      <c r="G76" s="91">
        <f t="shared" si="21"/>
        <v>2112.6826538953228</v>
      </c>
      <c r="H76" s="24">
        <f t="shared" si="21"/>
        <v>2262.9960685441538</v>
      </c>
      <c r="I76" s="24">
        <f t="shared" si="21"/>
        <v>2338.7586052795668</v>
      </c>
      <c r="J76" s="24">
        <f t="shared" si="21"/>
        <v>2491.9489900283625</v>
      </c>
      <c r="K76" s="24">
        <f t="shared" si="21"/>
        <v>2646.6311029289272</v>
      </c>
      <c r="L76" s="24">
        <f t="shared" si="21"/>
        <v>2724.897374550771</v>
      </c>
      <c r="M76" s="24">
        <f t="shared" si="21"/>
        <v>2365.7168944883451</v>
      </c>
      <c r="N76" s="24">
        <f t="shared" si="21"/>
        <v>1146.5458731814033</v>
      </c>
      <c r="O76" s="24">
        <f t="shared" si="21"/>
        <v>1208.6078874778818</v>
      </c>
      <c r="P76" s="24">
        <f t="shared" si="21"/>
        <v>1274.7600086698694</v>
      </c>
      <c r="Q76" s="24">
        <f t="shared" si="21"/>
        <v>1342.7180353292581</v>
      </c>
      <c r="R76" s="24">
        <f t="shared" si="21"/>
        <v>1383.4263647078196</v>
      </c>
      <c r="S76" s="24">
        <f t="shared" si="21"/>
        <v>1454.3172429429733</v>
      </c>
      <c r="T76" s="24">
        <f t="shared" si="21"/>
        <v>1527.1906133729967</v>
      </c>
      <c r="U76" s="24">
        <f t="shared" si="21"/>
        <v>1602.101941189886</v>
      </c>
      <c r="V76" s="24">
        <f t="shared" si="21"/>
        <v>1679.1082413025986</v>
      </c>
      <c r="W76" s="24">
        <f t="shared" si="21"/>
        <v>1758.2681292319812</v>
      </c>
      <c r="X76" s="24">
        <f t="shared" si="21"/>
        <v>1839.6418583712184</v>
      </c>
      <c r="Y76" s="24">
        <f t="shared" si="21"/>
        <v>1923.2913683527611</v>
      </c>
      <c r="AA76" s="355">
        <f t="shared" si="8"/>
        <v>37264.915825374628</v>
      </c>
      <c r="AB76" s="356">
        <f>AA76</f>
        <v>37264.915825374628</v>
      </c>
    </row>
    <row r="77" spans="1:28" outlineLevel="1">
      <c r="A77" s="13" t="s">
        <v>136</v>
      </c>
      <c r="B77" s="22"/>
      <c r="C77" s="159">
        <f>+C60</f>
        <v>1</v>
      </c>
      <c r="D77" s="24"/>
      <c r="E77" s="24">
        <f t="shared" ref="E77:Y77" si="22">$C$77*E73</f>
        <v>2386.9580077293763</v>
      </c>
      <c r="F77" s="24">
        <f t="shared" si="22"/>
        <v>4581.2343697952947</v>
      </c>
      <c r="G77" s="91">
        <f t="shared" si="22"/>
        <v>6330.5911311227592</v>
      </c>
      <c r="H77" s="24">
        <f t="shared" si="22"/>
        <v>4465.6651548801483</v>
      </c>
      <c r="I77" s="24">
        <f t="shared" si="22"/>
        <v>3377.9200570807284</v>
      </c>
      <c r="J77" s="24">
        <f t="shared" si="22"/>
        <v>3455.0504418294704</v>
      </c>
      <c r="K77" s="24">
        <f t="shared" si="22"/>
        <v>2661.0418288288565</v>
      </c>
      <c r="L77" s="24">
        <f t="shared" si="22"/>
        <v>1866.6773745495764</v>
      </c>
      <c r="M77" s="24">
        <f t="shared" si="22"/>
        <v>1901.2135855622937</v>
      </c>
      <c r="N77" s="24">
        <f t="shared" si="22"/>
        <v>1961.6458731814034</v>
      </c>
      <c r="O77" s="24">
        <f t="shared" si="22"/>
        <v>2023.7078874778817</v>
      </c>
      <c r="P77" s="24">
        <f t="shared" si="22"/>
        <v>2089.8600086698698</v>
      </c>
      <c r="Q77" s="24">
        <f t="shared" si="22"/>
        <v>2157.8180353292582</v>
      </c>
      <c r="R77" s="24">
        <f t="shared" si="22"/>
        <v>2198.5263647078195</v>
      </c>
      <c r="S77" s="24">
        <f t="shared" si="22"/>
        <v>2269.4172429429727</v>
      </c>
      <c r="T77" s="24">
        <f t="shared" si="22"/>
        <v>2342.2906133729966</v>
      </c>
      <c r="U77" s="24">
        <f t="shared" si="22"/>
        <v>2417.2019411898859</v>
      </c>
      <c r="V77" s="24">
        <f t="shared" si="22"/>
        <v>2494.2082413025983</v>
      </c>
      <c r="W77" s="24">
        <f t="shared" si="22"/>
        <v>2573.3681292319807</v>
      </c>
      <c r="X77" s="24">
        <f t="shared" si="22"/>
        <v>2654.7418583712183</v>
      </c>
      <c r="Y77" s="24">
        <f t="shared" si="22"/>
        <v>2738.3913683527608</v>
      </c>
      <c r="AA77" s="355">
        <f t="shared" si="8"/>
        <v>56560.571507779779</v>
      </c>
      <c r="AB77" s="356">
        <f>AA77</f>
        <v>56560.571507779779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0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0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0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0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0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0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0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0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3">G62</f>
        <v>2002</v>
      </c>
      <c r="H86" s="99">
        <f t="shared" si="23"/>
        <v>2003</v>
      </c>
      <c r="I86" s="99">
        <f t="shared" si="23"/>
        <v>2004</v>
      </c>
      <c r="J86" s="99">
        <f t="shared" si="23"/>
        <v>2005</v>
      </c>
      <c r="K86" s="99">
        <f t="shared" si="23"/>
        <v>2006</v>
      </c>
      <c r="L86" s="99">
        <f t="shared" si="23"/>
        <v>2007</v>
      </c>
      <c r="M86" s="99">
        <f t="shared" si="23"/>
        <v>2008</v>
      </c>
      <c r="N86" s="99">
        <f t="shared" si="23"/>
        <v>2009</v>
      </c>
      <c r="O86" s="99">
        <f t="shared" si="23"/>
        <v>2010</v>
      </c>
      <c r="P86" s="99">
        <f t="shared" si="23"/>
        <v>2011</v>
      </c>
      <c r="Q86" s="99">
        <f t="shared" si="23"/>
        <v>2012</v>
      </c>
      <c r="R86" s="99">
        <f t="shared" si="23"/>
        <v>2013</v>
      </c>
      <c r="S86" s="99">
        <f t="shared" si="23"/>
        <v>2014</v>
      </c>
      <c r="T86" s="99">
        <f t="shared" si="23"/>
        <v>2015</v>
      </c>
      <c r="U86" s="99">
        <f t="shared" si="23"/>
        <v>2016</v>
      </c>
      <c r="V86" s="99">
        <f t="shared" si="23"/>
        <v>2017</v>
      </c>
      <c r="W86" s="99">
        <f t="shared" si="23"/>
        <v>2018</v>
      </c>
      <c r="X86" s="99">
        <f t="shared" si="23"/>
        <v>2019</v>
      </c>
      <c r="Y86" s="99">
        <f t="shared" si="23"/>
        <v>2020</v>
      </c>
      <c r="AA86" s="355">
        <f t="shared" si="8"/>
        <v>40210</v>
      </c>
      <c r="AB86" s="356">
        <f t="shared" si="20"/>
        <v>40210</v>
      </c>
    </row>
    <row r="87" spans="1:30" s="128" customFormat="1">
      <c r="AA87" s="355">
        <f t="shared" si="8"/>
        <v>0</v>
      </c>
      <c r="AB87" s="356">
        <f t="shared" si="20"/>
        <v>0</v>
      </c>
    </row>
    <row r="88" spans="1:30" s="128" customFormat="1">
      <c r="A88" s="11" t="s">
        <v>31</v>
      </c>
      <c r="F88" s="129">
        <f>F69</f>
        <v>2512.1725854696392</v>
      </c>
      <c r="G88" s="129">
        <f t="shared" ref="G88:Y88" si="24">G69</f>
        <v>2401.0407350514829</v>
      </c>
      <c r="H88" s="129">
        <f t="shared" si="24"/>
        <v>2521.2891798268301</v>
      </c>
      <c r="I88" s="129">
        <f t="shared" si="24"/>
        <v>2643.9815470096846</v>
      </c>
      <c r="J88" s="129">
        <f t="shared" si="24"/>
        <v>2768.8890526756632</v>
      </c>
      <c r="K88" s="129">
        <f t="shared" si="24"/>
        <v>2896.2123124335744</v>
      </c>
      <c r="L88" s="129">
        <f t="shared" si="24"/>
        <v>3022.9593110114597</v>
      </c>
      <c r="M88" s="129">
        <f t="shared" si="24"/>
        <v>3078.8883976717302</v>
      </c>
      <c r="N88" s="129">
        <f t="shared" si="24"/>
        <v>3176.7544504961998</v>
      </c>
      <c r="O88" s="129">
        <f t="shared" si="24"/>
        <v>3277.2597368062861</v>
      </c>
      <c r="P88" s="129">
        <f t="shared" si="24"/>
        <v>3384.3886780078856</v>
      </c>
      <c r="Q88" s="129">
        <f t="shared" si="24"/>
        <v>3494.4421624765314</v>
      </c>
      <c r="R88" s="129">
        <f t="shared" si="24"/>
        <v>3560.3665825227845</v>
      </c>
      <c r="S88" s="129">
        <f t="shared" si="24"/>
        <v>3675.1696241991467</v>
      </c>
      <c r="T88" s="129">
        <f t="shared" si="24"/>
        <v>3793.1831795514117</v>
      </c>
      <c r="U88" s="129">
        <f t="shared" si="24"/>
        <v>3914.4970707528519</v>
      </c>
      <c r="V88" s="129">
        <f t="shared" si="24"/>
        <v>4039.2036296398355</v>
      </c>
      <c r="W88" s="129">
        <f t="shared" si="24"/>
        <v>4167.3977801327628</v>
      </c>
      <c r="X88" s="129">
        <f t="shared" si="24"/>
        <v>4299.1770985768717</v>
      </c>
      <c r="Y88" s="129">
        <f t="shared" si="24"/>
        <v>4434.6418920692486</v>
      </c>
      <c r="AA88" s="355">
        <f t="shared" si="8"/>
        <v>67061.915006381882</v>
      </c>
      <c r="AB88" s="356">
        <f t="shared" si="20"/>
        <v>67061.915006381882</v>
      </c>
    </row>
    <row r="89" spans="1:30" s="128" customFormat="1">
      <c r="A89" s="128" t="s">
        <v>42</v>
      </c>
      <c r="F89" s="100">
        <f>F126+F127</f>
        <v>2069.0617843256555</v>
      </c>
      <c r="G89" s="100">
        <f t="shared" ref="G89:Y89" si="25">G126+G127</f>
        <v>3929.5503960712758</v>
      </c>
      <c r="H89" s="100">
        <f t="shared" si="25"/>
        <v>1944.3759750533181</v>
      </c>
      <c r="I89" s="100">
        <f t="shared" si="25"/>
        <v>733.93851007104377</v>
      </c>
      <c r="J89" s="100">
        <f t="shared" si="25"/>
        <v>686.16138915380702</v>
      </c>
      <c r="K89" s="100">
        <f t="shared" si="25"/>
        <v>-235.17048360471807</v>
      </c>
      <c r="L89" s="100">
        <f t="shared" si="25"/>
        <v>-1156.2819364618833</v>
      </c>
      <c r="M89" s="100">
        <f t="shared" si="25"/>
        <v>-1177.6748121094365</v>
      </c>
      <c r="N89" s="100">
        <f t="shared" si="25"/>
        <v>-1215.1085773147963</v>
      </c>
      <c r="O89" s="100">
        <f t="shared" si="25"/>
        <v>-1253.5518493284044</v>
      </c>
      <c r="P89" s="100">
        <f t="shared" si="25"/>
        <v>-1294.528669338016</v>
      </c>
      <c r="Q89" s="100">
        <f t="shared" si="25"/>
        <v>-1336.6241271472732</v>
      </c>
      <c r="R89" s="100">
        <f t="shared" si="25"/>
        <v>-1361.8402178149649</v>
      </c>
      <c r="S89" s="100">
        <f t="shared" si="25"/>
        <v>-1405.7523812561737</v>
      </c>
      <c r="T89" s="100">
        <f t="shared" si="25"/>
        <v>-1450.8925661784149</v>
      </c>
      <c r="U89" s="100">
        <f t="shared" si="25"/>
        <v>-1497.2951295629659</v>
      </c>
      <c r="V89" s="100">
        <f t="shared" si="25"/>
        <v>-1544.995388337237</v>
      </c>
      <c r="W89" s="100">
        <f t="shared" si="25"/>
        <v>-1594.0296509007819</v>
      </c>
      <c r="X89" s="100">
        <f t="shared" si="25"/>
        <v>-1644.4352402056534</v>
      </c>
      <c r="Y89" s="100">
        <f t="shared" si="25"/>
        <v>-1696.2505237164876</v>
      </c>
      <c r="AA89" s="355">
        <f t="shared" si="8"/>
        <v>-10501.343498602108</v>
      </c>
      <c r="AB89" s="356">
        <f t="shared" si="20"/>
        <v>-10501.343498602108</v>
      </c>
    </row>
    <row r="90" spans="1:30" s="128" customFormat="1">
      <c r="A90" s="128" t="s">
        <v>109</v>
      </c>
      <c r="F90" s="100">
        <f>F56</f>
        <v>1445.1400000010319</v>
      </c>
      <c r="G90" s="100">
        <f t="shared" ref="G90:Y90" si="26">G56</f>
        <v>1445.1400000010319</v>
      </c>
      <c r="H90" s="100">
        <f t="shared" si="26"/>
        <v>1521.2000000010862</v>
      </c>
      <c r="I90" s="100">
        <f t="shared" si="26"/>
        <v>1521.2000000010862</v>
      </c>
      <c r="J90" s="100">
        <f t="shared" si="26"/>
        <v>1597.2600000011405</v>
      </c>
      <c r="K90" s="100">
        <f t="shared" si="26"/>
        <v>1673.3200000011948</v>
      </c>
      <c r="L90" s="100">
        <f t="shared" si="26"/>
        <v>1673.3200000011948</v>
      </c>
      <c r="M90" s="100">
        <f t="shared" si="26"/>
        <v>1279.6033089260518</v>
      </c>
      <c r="N90" s="100">
        <f t="shared" si="26"/>
        <v>0</v>
      </c>
      <c r="O90" s="100">
        <f t="shared" si="26"/>
        <v>0</v>
      </c>
      <c r="P90" s="100">
        <f t="shared" si="26"/>
        <v>0</v>
      </c>
      <c r="Q90" s="100">
        <f t="shared" si="26"/>
        <v>0</v>
      </c>
      <c r="R90" s="100">
        <f t="shared" si="26"/>
        <v>0</v>
      </c>
      <c r="S90" s="100">
        <f t="shared" si="26"/>
        <v>0</v>
      </c>
      <c r="T90" s="100">
        <f t="shared" si="26"/>
        <v>0</v>
      </c>
      <c r="U90" s="100">
        <f t="shared" si="26"/>
        <v>0</v>
      </c>
      <c r="V90" s="100">
        <f t="shared" si="26"/>
        <v>0</v>
      </c>
      <c r="W90" s="100">
        <f t="shared" si="26"/>
        <v>0</v>
      </c>
      <c r="X90" s="100">
        <f t="shared" si="26"/>
        <v>0</v>
      </c>
      <c r="Y90" s="100">
        <f t="shared" si="26"/>
        <v>0</v>
      </c>
      <c r="AA90" s="355">
        <f t="shared" si="8"/>
        <v>12156.183308933818</v>
      </c>
      <c r="AB90" s="356">
        <f t="shared" si="20"/>
        <v>12156.183308933818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f>Y99</f>
        <v>35477.135136553989</v>
      </c>
      <c r="AA91" s="355">
        <f t="shared" si="8"/>
        <v>35477.135136553989</v>
      </c>
      <c r="AB91" s="356">
        <f t="shared" si="20"/>
        <v>35477.135136553989</v>
      </c>
    </row>
    <row r="92" spans="1:30" s="128" customFormat="1">
      <c r="A92" s="128" t="s">
        <v>44</v>
      </c>
      <c r="E92" s="173">
        <v>-44008.24688842109</v>
      </c>
      <c r="F92" s="129">
        <f>SUM(F88:F91)</f>
        <v>6026.3743697963264</v>
      </c>
      <c r="G92" s="129">
        <f t="shared" ref="G92:Y92" si="27">SUM(G88:G91)</f>
        <v>7775.7311311237909</v>
      </c>
      <c r="H92" s="129">
        <f t="shared" si="27"/>
        <v>5986.865154881234</v>
      </c>
      <c r="I92" s="129">
        <f t="shared" si="27"/>
        <v>4899.1200570818146</v>
      </c>
      <c r="J92" s="129">
        <f t="shared" si="27"/>
        <v>5052.3104418306111</v>
      </c>
      <c r="K92" s="129">
        <f t="shared" si="27"/>
        <v>4334.3618288300513</v>
      </c>
      <c r="L92" s="129">
        <f t="shared" si="27"/>
        <v>3539.9973745507714</v>
      </c>
      <c r="M92" s="129">
        <f t="shared" si="27"/>
        <v>3180.8168944883455</v>
      </c>
      <c r="N92" s="129">
        <f t="shared" si="27"/>
        <v>1961.6458731814034</v>
      </c>
      <c r="O92" s="129">
        <f t="shared" si="27"/>
        <v>2023.7078874778817</v>
      </c>
      <c r="P92" s="129">
        <f t="shared" si="27"/>
        <v>2089.8600086698698</v>
      </c>
      <c r="Q92" s="129">
        <f t="shared" si="27"/>
        <v>2157.8180353292582</v>
      </c>
      <c r="R92" s="129">
        <f t="shared" si="27"/>
        <v>2198.5263647078195</v>
      </c>
      <c r="S92" s="129">
        <f t="shared" si="27"/>
        <v>2269.4172429429727</v>
      </c>
      <c r="T92" s="129">
        <f t="shared" si="27"/>
        <v>2342.2906133729966</v>
      </c>
      <c r="U92" s="129">
        <f t="shared" si="27"/>
        <v>2417.2019411898859</v>
      </c>
      <c r="V92" s="129">
        <f t="shared" si="27"/>
        <v>2494.2082413025983</v>
      </c>
      <c r="W92" s="129">
        <f t="shared" si="27"/>
        <v>2573.3681292319807</v>
      </c>
      <c r="X92" s="129">
        <f t="shared" si="27"/>
        <v>2654.7418583712183</v>
      </c>
      <c r="Y92" s="129">
        <f t="shared" si="27"/>
        <v>38215.526504906753</v>
      </c>
      <c r="AA92" s="355">
        <f t="shared" si="8"/>
        <v>104193.88995326759</v>
      </c>
      <c r="AB92" s="356">
        <f t="shared" si="20"/>
        <v>104193.88995326759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0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0"/>
        <v>0</v>
      </c>
    </row>
    <row r="95" spans="1:30" s="128" customFormat="1" ht="13.5" thickBot="1">
      <c r="A95" s="128" t="s">
        <v>46</v>
      </c>
      <c r="E95" s="174">
        <f>NPV(C96,E92:Y92)</f>
        <v>-7.5095892806939023E-12</v>
      </c>
      <c r="R95" s="133"/>
      <c r="U95" s="134" t="s">
        <v>47</v>
      </c>
      <c r="V95" s="135"/>
      <c r="W95" s="135"/>
      <c r="X95" s="135"/>
      <c r="Y95" s="136">
        <f>Y39</f>
        <v>4434.6418920692486</v>
      </c>
      <c r="AA95" s="355">
        <f t="shared" si="8"/>
        <v>4434.6418920692486</v>
      </c>
      <c r="AB95" s="356">
        <f t="shared" si="20"/>
        <v>4434.6418920692486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0"/>
        <v>1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4434.6418920692486</v>
      </c>
      <c r="AA97" s="355">
        <f t="shared" si="8"/>
        <v>4434.6418920692486</v>
      </c>
      <c r="AB97" s="356">
        <f t="shared" si="20"/>
        <v>4434.6418920692486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0"/>
        <v>8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35477.135136553989</v>
      </c>
      <c r="AA99" s="355">
        <f t="shared" si="8"/>
        <v>35477.135136553989</v>
      </c>
      <c r="AB99" s="356">
        <f t="shared" si="20"/>
        <v>35477.135136553989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0"/>
        <v>0</v>
      </c>
    </row>
    <row r="101" spans="1:28" s="128" customFormat="1">
      <c r="A101" s="128" t="s">
        <v>53</v>
      </c>
      <c r="D101" s="177">
        <v>0</v>
      </c>
      <c r="AA101" s="355">
        <f t="shared" si="8"/>
        <v>0</v>
      </c>
      <c r="AB101" s="356">
        <f t="shared" si="20"/>
        <v>0</v>
      </c>
    </row>
    <row r="102" spans="1:28" s="128" customFormat="1" ht="15">
      <c r="A102" s="128" t="s">
        <v>54</v>
      </c>
      <c r="D102" s="101">
        <f>-E92</f>
        <v>44008.24688842109</v>
      </c>
      <c r="AA102" s="355">
        <f t="shared" si="8"/>
        <v>0</v>
      </c>
      <c r="AB102" s="356">
        <f t="shared" si="20"/>
        <v>0</v>
      </c>
    </row>
    <row r="103" spans="1:28" s="128" customFormat="1">
      <c r="D103" s="142">
        <f>D101+D102</f>
        <v>44008.24688842109</v>
      </c>
      <c r="AA103" s="355">
        <f t="shared" si="8"/>
        <v>0</v>
      </c>
      <c r="AB103" s="356">
        <f t="shared" si="20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28">SUM(F104:Y104)</f>
        <v>0</v>
      </c>
      <c r="AB104" s="356">
        <f t="shared" si="20"/>
        <v>0</v>
      </c>
    </row>
    <row r="105" spans="1:28" s="128" customFormat="1">
      <c r="A105" s="128" t="s">
        <v>56</v>
      </c>
      <c r="D105" s="142">
        <f>D103*D104</f>
        <v>39607.422199578985</v>
      </c>
      <c r="AA105" s="355">
        <f t="shared" si="28"/>
        <v>0</v>
      </c>
      <c r="AB105" s="356">
        <f t="shared" si="20"/>
        <v>0</v>
      </c>
    </row>
    <row r="106" spans="1:28" s="128" customFormat="1">
      <c r="AA106" s="355">
        <f t="shared" si="28"/>
        <v>0</v>
      </c>
      <c r="AB106" s="356">
        <f t="shared" si="20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29">G107+1</f>
        <v>2003</v>
      </c>
      <c r="I107" s="99">
        <f t="shared" si="29"/>
        <v>2004</v>
      </c>
      <c r="J107" s="99">
        <f t="shared" si="29"/>
        <v>2005</v>
      </c>
      <c r="K107" s="99">
        <f t="shared" si="29"/>
        <v>2006</v>
      </c>
      <c r="L107" s="99">
        <f t="shared" si="29"/>
        <v>2007</v>
      </c>
      <c r="M107" s="99">
        <f t="shared" si="29"/>
        <v>2008</v>
      </c>
      <c r="N107" s="99">
        <f t="shared" si="29"/>
        <v>2009</v>
      </c>
      <c r="O107" s="99">
        <f t="shared" si="29"/>
        <v>2010</v>
      </c>
      <c r="P107" s="99">
        <f t="shared" si="29"/>
        <v>2011</v>
      </c>
      <c r="Q107" s="99">
        <f t="shared" si="29"/>
        <v>2012</v>
      </c>
      <c r="R107" s="99">
        <f t="shared" si="29"/>
        <v>2013</v>
      </c>
      <c r="S107" s="99">
        <f t="shared" si="29"/>
        <v>2014</v>
      </c>
      <c r="T107" s="99">
        <f t="shared" si="29"/>
        <v>2015</v>
      </c>
      <c r="U107" s="99">
        <f t="shared" si="29"/>
        <v>2016</v>
      </c>
      <c r="V107" s="99">
        <f t="shared" si="29"/>
        <v>2017</v>
      </c>
      <c r="W107" s="99">
        <f t="shared" si="29"/>
        <v>2018</v>
      </c>
      <c r="X107" s="99">
        <f t="shared" si="29"/>
        <v>2019</v>
      </c>
      <c r="Y107" s="99">
        <f t="shared" si="29"/>
        <v>2020</v>
      </c>
      <c r="AA107" s="355">
        <f t="shared" si="28"/>
        <v>40210</v>
      </c>
      <c r="AB107" s="356">
        <f t="shared" si="20"/>
        <v>40210</v>
      </c>
    </row>
    <row r="108" spans="1:28" s="128" customFormat="1">
      <c r="A108" s="103" t="s">
        <v>57</v>
      </c>
      <c r="AA108" s="355">
        <f t="shared" si="28"/>
        <v>0</v>
      </c>
      <c r="AB108" s="356">
        <f t="shared" si="20"/>
        <v>0</v>
      </c>
    </row>
    <row r="109" spans="1:28" s="128" customFormat="1">
      <c r="A109" s="128" t="s">
        <v>58</v>
      </c>
      <c r="B109" s="179">
        <v>30</v>
      </c>
      <c r="C109" s="128" t="s">
        <v>0</v>
      </c>
      <c r="D109" s="143">
        <f>D105</f>
        <v>39607.422199578985</v>
      </c>
      <c r="F109" s="132">
        <f>ROUND(D109/$B$109,0)</f>
        <v>1320</v>
      </c>
      <c r="G109" s="132">
        <f>F109</f>
        <v>1320</v>
      </c>
      <c r="H109" s="132">
        <f t="shared" ref="H109:Y110" si="30">G109</f>
        <v>1320</v>
      </c>
      <c r="I109" s="132">
        <f t="shared" si="30"/>
        <v>1320</v>
      </c>
      <c r="J109" s="132">
        <f t="shared" si="30"/>
        <v>1320</v>
      </c>
      <c r="K109" s="132">
        <f t="shared" si="30"/>
        <v>1320</v>
      </c>
      <c r="L109" s="132">
        <f t="shared" si="30"/>
        <v>1320</v>
      </c>
      <c r="M109" s="132">
        <f t="shared" si="30"/>
        <v>1320</v>
      </c>
      <c r="N109" s="132">
        <f t="shared" si="30"/>
        <v>1320</v>
      </c>
      <c r="O109" s="132">
        <f t="shared" si="30"/>
        <v>1320</v>
      </c>
      <c r="P109" s="132">
        <f t="shared" si="30"/>
        <v>1320</v>
      </c>
      <c r="Q109" s="132">
        <f t="shared" si="30"/>
        <v>1320</v>
      </c>
      <c r="R109" s="132">
        <f t="shared" si="30"/>
        <v>1320</v>
      </c>
      <c r="S109" s="132">
        <f t="shared" si="30"/>
        <v>1320</v>
      </c>
      <c r="T109" s="132">
        <f t="shared" si="30"/>
        <v>1320</v>
      </c>
      <c r="U109" s="132">
        <f t="shared" si="30"/>
        <v>1320</v>
      </c>
      <c r="V109" s="132">
        <f t="shared" si="30"/>
        <v>1320</v>
      </c>
      <c r="W109" s="132">
        <f t="shared" si="30"/>
        <v>1320</v>
      </c>
      <c r="X109" s="132">
        <f t="shared" si="30"/>
        <v>1320</v>
      </c>
      <c r="Y109" s="132">
        <f t="shared" si="30"/>
        <v>1320</v>
      </c>
      <c r="AA109" s="355">
        <f t="shared" si="28"/>
        <v>26400</v>
      </c>
      <c r="AB109" s="356">
        <f t="shared" si="20"/>
        <v>26400</v>
      </c>
    </row>
    <row r="110" spans="1:28" s="128" customFormat="1">
      <c r="A110" s="128" t="s">
        <v>138</v>
      </c>
      <c r="D110" s="143">
        <f>D104*'FPLE_Wind Summary'!J11</f>
        <v>5507.8899943949673</v>
      </c>
      <c r="F110" s="132">
        <f>ROUND(D110/$B$109,0)</f>
        <v>184</v>
      </c>
      <c r="G110" s="132">
        <f>F110</f>
        <v>184</v>
      </c>
      <c r="H110" s="132">
        <f t="shared" si="30"/>
        <v>184</v>
      </c>
      <c r="I110" s="132">
        <f t="shared" si="30"/>
        <v>184</v>
      </c>
      <c r="J110" s="132">
        <f t="shared" si="30"/>
        <v>184</v>
      </c>
      <c r="K110" s="132">
        <f t="shared" si="30"/>
        <v>184</v>
      </c>
      <c r="L110" s="132">
        <f t="shared" si="30"/>
        <v>184</v>
      </c>
      <c r="M110" s="132">
        <f t="shared" si="30"/>
        <v>184</v>
      </c>
      <c r="N110" s="132">
        <f t="shared" si="30"/>
        <v>184</v>
      </c>
      <c r="O110" s="132">
        <f t="shared" si="30"/>
        <v>184</v>
      </c>
      <c r="P110" s="132">
        <f t="shared" si="30"/>
        <v>184</v>
      </c>
      <c r="Q110" s="132">
        <f t="shared" si="30"/>
        <v>184</v>
      </c>
      <c r="R110" s="132">
        <f t="shared" si="30"/>
        <v>184</v>
      </c>
      <c r="S110" s="132">
        <f t="shared" si="30"/>
        <v>184</v>
      </c>
      <c r="T110" s="132">
        <f t="shared" si="30"/>
        <v>184</v>
      </c>
      <c r="U110" s="132">
        <f t="shared" si="30"/>
        <v>184</v>
      </c>
      <c r="V110" s="132">
        <f t="shared" si="30"/>
        <v>184</v>
      </c>
      <c r="W110" s="132">
        <f t="shared" si="30"/>
        <v>184</v>
      </c>
      <c r="X110" s="132">
        <f t="shared" si="30"/>
        <v>184</v>
      </c>
      <c r="Y110" s="132">
        <f t="shared" si="30"/>
        <v>184</v>
      </c>
      <c r="AA110" s="355">
        <f t="shared" si="28"/>
        <v>3680</v>
      </c>
      <c r="AB110" s="356">
        <f t="shared" si="20"/>
        <v>3680</v>
      </c>
    </row>
    <row r="111" spans="1:28" s="128" customFormat="1">
      <c r="AA111" s="355">
        <f t="shared" si="28"/>
        <v>0</v>
      </c>
      <c r="AB111" s="356">
        <f t="shared" si="20"/>
        <v>0</v>
      </c>
    </row>
    <row r="112" spans="1:28" s="128" customFormat="1">
      <c r="A112" s="103" t="s">
        <v>59</v>
      </c>
      <c r="AA112" s="355">
        <f t="shared" si="28"/>
        <v>0</v>
      </c>
      <c r="AB112" s="356">
        <f t="shared" si="20"/>
        <v>0</v>
      </c>
    </row>
    <row r="113" spans="1:28" s="128" customFormat="1">
      <c r="A113" s="104" t="s">
        <v>60</v>
      </c>
      <c r="D113" s="143">
        <f>D109</f>
        <v>39607.422199578985</v>
      </c>
      <c r="AA113" s="355">
        <f t="shared" si="28"/>
        <v>0</v>
      </c>
      <c r="AB113" s="356">
        <f t="shared" si="20"/>
        <v>0</v>
      </c>
    </row>
    <row r="114" spans="1:28" s="128" customFormat="1">
      <c r="A114" s="128" t="s">
        <v>61</v>
      </c>
      <c r="E114" s="144"/>
      <c r="F114" s="180">
        <v>0.2</v>
      </c>
      <c r="G114" s="180">
        <v>0.32</v>
      </c>
      <c r="H114" s="180">
        <v>0.192</v>
      </c>
      <c r="I114" s="180">
        <v>0.1152</v>
      </c>
      <c r="J114" s="180">
        <v>0.1152</v>
      </c>
      <c r="K114" s="180">
        <v>5.7599999999999998E-2</v>
      </c>
      <c r="L114" s="180">
        <v>0</v>
      </c>
      <c r="M114" s="180">
        <v>0</v>
      </c>
      <c r="N114" s="180">
        <v>0</v>
      </c>
      <c r="O114" s="180">
        <v>0</v>
      </c>
      <c r="P114" s="180">
        <v>0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45"/>
      <c r="AA114" s="355">
        <f t="shared" si="28"/>
        <v>0.99999999999999989</v>
      </c>
      <c r="AB114" s="356">
        <f t="shared" si="20"/>
        <v>0.99999999999999989</v>
      </c>
    </row>
    <row r="115" spans="1:28" s="128" customFormat="1">
      <c r="A115" s="128" t="s">
        <v>59</v>
      </c>
      <c r="F115" s="132">
        <f t="shared" ref="F115:Y115" si="31">$D$113*F114</f>
        <v>7921.4844399157973</v>
      </c>
      <c r="G115" s="132">
        <f t="shared" si="31"/>
        <v>12674.375103865275</v>
      </c>
      <c r="H115" s="132">
        <f t="shared" si="31"/>
        <v>7604.6250623191654</v>
      </c>
      <c r="I115" s="132">
        <f t="shared" si="31"/>
        <v>4562.7750373914987</v>
      </c>
      <c r="J115" s="132">
        <f t="shared" si="31"/>
        <v>4562.7750373914987</v>
      </c>
      <c r="K115" s="132">
        <f t="shared" si="31"/>
        <v>2281.3875186957493</v>
      </c>
      <c r="L115" s="132">
        <f t="shared" si="31"/>
        <v>0</v>
      </c>
      <c r="M115" s="132">
        <f t="shared" si="31"/>
        <v>0</v>
      </c>
      <c r="N115" s="132">
        <f t="shared" si="31"/>
        <v>0</v>
      </c>
      <c r="O115" s="132">
        <f t="shared" si="31"/>
        <v>0</v>
      </c>
      <c r="P115" s="132">
        <f t="shared" si="31"/>
        <v>0</v>
      </c>
      <c r="Q115" s="132">
        <f t="shared" si="31"/>
        <v>0</v>
      </c>
      <c r="R115" s="132">
        <f t="shared" si="31"/>
        <v>0</v>
      </c>
      <c r="S115" s="132">
        <f t="shared" si="31"/>
        <v>0</v>
      </c>
      <c r="T115" s="132">
        <f t="shared" si="31"/>
        <v>0</v>
      </c>
      <c r="U115" s="132">
        <f t="shared" si="31"/>
        <v>0</v>
      </c>
      <c r="V115" s="132">
        <f t="shared" si="31"/>
        <v>0</v>
      </c>
      <c r="W115" s="132">
        <f t="shared" si="31"/>
        <v>0</v>
      </c>
      <c r="X115" s="132">
        <f t="shared" si="31"/>
        <v>0</v>
      </c>
      <c r="Y115" s="132">
        <f t="shared" si="31"/>
        <v>0</v>
      </c>
      <c r="AA115" s="355">
        <f t="shared" si="28"/>
        <v>39607.422199578985</v>
      </c>
      <c r="AB115" s="356">
        <f t="shared" si="20"/>
        <v>39607.422199578985</v>
      </c>
    </row>
    <row r="116" spans="1:28" s="128" customFormat="1">
      <c r="A116" s="128" t="s">
        <v>138</v>
      </c>
      <c r="D116" s="143">
        <f>D110</f>
        <v>5507.8899943949673</v>
      </c>
      <c r="F116" s="132">
        <f>$D$116*F114</f>
        <v>1101.5779988789934</v>
      </c>
      <c r="G116" s="132">
        <f t="shared" ref="G116:Y116" si="32">$D$116*G114</f>
        <v>1762.5247982063895</v>
      </c>
      <c r="H116" s="132">
        <f t="shared" si="32"/>
        <v>1057.5148789238337</v>
      </c>
      <c r="I116" s="132">
        <f t="shared" si="32"/>
        <v>634.50892735430023</v>
      </c>
      <c r="J116" s="132">
        <f t="shared" si="32"/>
        <v>634.50892735430023</v>
      </c>
      <c r="K116" s="132">
        <f t="shared" si="32"/>
        <v>317.25446367715011</v>
      </c>
      <c r="L116" s="132">
        <f t="shared" si="32"/>
        <v>0</v>
      </c>
      <c r="M116" s="132">
        <f t="shared" si="32"/>
        <v>0</v>
      </c>
      <c r="N116" s="132">
        <f t="shared" si="32"/>
        <v>0</v>
      </c>
      <c r="O116" s="132">
        <f t="shared" si="32"/>
        <v>0</v>
      </c>
      <c r="P116" s="132">
        <f t="shared" si="32"/>
        <v>0</v>
      </c>
      <c r="Q116" s="132">
        <f t="shared" si="32"/>
        <v>0</v>
      </c>
      <c r="R116" s="132">
        <f t="shared" si="32"/>
        <v>0</v>
      </c>
      <c r="S116" s="132">
        <f t="shared" si="32"/>
        <v>0</v>
      </c>
      <c r="T116" s="132">
        <f t="shared" si="32"/>
        <v>0</v>
      </c>
      <c r="U116" s="132">
        <f t="shared" si="32"/>
        <v>0</v>
      </c>
      <c r="V116" s="132">
        <f t="shared" si="32"/>
        <v>0</v>
      </c>
      <c r="W116" s="132">
        <f t="shared" si="32"/>
        <v>0</v>
      </c>
      <c r="X116" s="132">
        <f t="shared" si="32"/>
        <v>0</v>
      </c>
      <c r="Y116" s="132">
        <f t="shared" si="32"/>
        <v>0</v>
      </c>
      <c r="AA116" s="355">
        <f t="shared" si="28"/>
        <v>5507.8899943949664</v>
      </c>
      <c r="AB116" s="356">
        <f t="shared" si="20"/>
        <v>5507.8899943949664</v>
      </c>
    </row>
    <row r="117" spans="1:28" s="128" customFormat="1">
      <c r="AA117" s="355">
        <f t="shared" si="28"/>
        <v>0</v>
      </c>
      <c r="AB117" s="356">
        <f t="shared" si="20"/>
        <v>0</v>
      </c>
    </row>
    <row r="118" spans="1:28" s="128" customFormat="1">
      <c r="AA118" s="355">
        <f t="shared" si="28"/>
        <v>0</v>
      </c>
      <c r="AB118" s="356">
        <f t="shared" si="20"/>
        <v>0</v>
      </c>
    </row>
    <row r="119" spans="1:28" s="128" customFormat="1" ht="13.5" thickBot="1">
      <c r="F119" s="99">
        <f>F107</f>
        <v>2001</v>
      </c>
      <c r="G119" s="99">
        <f t="shared" ref="G119:Y119" si="33">G107</f>
        <v>2002</v>
      </c>
      <c r="H119" s="99">
        <f t="shared" si="33"/>
        <v>2003</v>
      </c>
      <c r="I119" s="99">
        <f t="shared" si="33"/>
        <v>2004</v>
      </c>
      <c r="J119" s="99">
        <f t="shared" si="33"/>
        <v>2005</v>
      </c>
      <c r="K119" s="99">
        <f t="shared" si="33"/>
        <v>2006</v>
      </c>
      <c r="L119" s="99">
        <f t="shared" si="33"/>
        <v>2007</v>
      </c>
      <c r="M119" s="99">
        <f t="shared" si="33"/>
        <v>2008</v>
      </c>
      <c r="N119" s="99">
        <f t="shared" si="33"/>
        <v>2009</v>
      </c>
      <c r="O119" s="99">
        <f t="shared" si="33"/>
        <v>2010</v>
      </c>
      <c r="P119" s="99">
        <f t="shared" si="33"/>
        <v>2011</v>
      </c>
      <c r="Q119" s="99">
        <f t="shared" si="33"/>
        <v>2012</v>
      </c>
      <c r="R119" s="99">
        <f t="shared" si="33"/>
        <v>2013</v>
      </c>
      <c r="S119" s="99">
        <f t="shared" si="33"/>
        <v>2014</v>
      </c>
      <c r="T119" s="99">
        <f t="shared" si="33"/>
        <v>2015</v>
      </c>
      <c r="U119" s="99">
        <f t="shared" si="33"/>
        <v>2016</v>
      </c>
      <c r="V119" s="99">
        <f t="shared" si="33"/>
        <v>2017</v>
      </c>
      <c r="W119" s="99">
        <f t="shared" si="33"/>
        <v>2018</v>
      </c>
      <c r="X119" s="99">
        <f t="shared" si="33"/>
        <v>2019</v>
      </c>
      <c r="Y119" s="99">
        <f t="shared" si="33"/>
        <v>2020</v>
      </c>
      <c r="AA119" s="355">
        <f t="shared" si="28"/>
        <v>40210</v>
      </c>
      <c r="AB119" s="356">
        <f t="shared" si="20"/>
        <v>40210</v>
      </c>
    </row>
    <row r="120" spans="1:28" s="128" customFormat="1">
      <c r="A120" s="98" t="s">
        <v>62</v>
      </c>
      <c r="AA120" s="355">
        <f t="shared" si="28"/>
        <v>0</v>
      </c>
      <c r="AB120" s="356">
        <f t="shared" si="20"/>
        <v>0</v>
      </c>
    </row>
    <row r="121" spans="1:28" s="128" customFormat="1">
      <c r="A121" s="146" t="str">
        <f>A64</f>
        <v>EBITDA</v>
      </c>
      <c r="F121" s="132">
        <f>F39</f>
        <v>2512.1725854696392</v>
      </c>
      <c r="G121" s="132">
        <f t="shared" ref="G121:Y121" si="34">G39</f>
        <v>2401.0407350514829</v>
      </c>
      <c r="H121" s="132">
        <f t="shared" si="34"/>
        <v>2521.2891798268301</v>
      </c>
      <c r="I121" s="132">
        <f t="shared" si="34"/>
        <v>2643.9815470096846</v>
      </c>
      <c r="J121" s="132">
        <f>J39</f>
        <v>2768.8890526756632</v>
      </c>
      <c r="K121" s="132">
        <f t="shared" si="34"/>
        <v>2896.2123124335744</v>
      </c>
      <c r="L121" s="132">
        <f t="shared" si="34"/>
        <v>3022.9593110114597</v>
      </c>
      <c r="M121" s="132">
        <f t="shared" si="34"/>
        <v>3078.8883976717302</v>
      </c>
      <c r="N121" s="132">
        <f t="shared" si="34"/>
        <v>3176.7544504961998</v>
      </c>
      <c r="O121" s="132">
        <f t="shared" si="34"/>
        <v>3277.2597368062861</v>
      </c>
      <c r="P121" s="132">
        <f t="shared" si="34"/>
        <v>3384.3886780078856</v>
      </c>
      <c r="Q121" s="132">
        <f t="shared" si="34"/>
        <v>3494.4421624765314</v>
      </c>
      <c r="R121" s="132">
        <f t="shared" si="34"/>
        <v>3560.3665825227845</v>
      </c>
      <c r="S121" s="132">
        <f t="shared" si="34"/>
        <v>3675.1696241991467</v>
      </c>
      <c r="T121" s="132">
        <f t="shared" si="34"/>
        <v>3793.1831795514117</v>
      </c>
      <c r="U121" s="132">
        <f t="shared" si="34"/>
        <v>3914.4970707528519</v>
      </c>
      <c r="V121" s="132">
        <f t="shared" si="34"/>
        <v>4039.2036296398355</v>
      </c>
      <c r="W121" s="132">
        <f t="shared" si="34"/>
        <v>4167.3977801327628</v>
      </c>
      <c r="X121" s="132">
        <f t="shared" si="34"/>
        <v>4299.1770985768717</v>
      </c>
      <c r="Y121" s="132">
        <f t="shared" si="34"/>
        <v>4434.6418920692486</v>
      </c>
      <c r="AA121" s="355">
        <f t="shared" si="28"/>
        <v>67061.915006381882</v>
      </c>
      <c r="AB121" s="356">
        <f t="shared" si="20"/>
        <v>67061.915006381882</v>
      </c>
    </row>
    <row r="122" spans="1:28" s="128" customFormat="1">
      <c r="A122" s="128" t="s">
        <v>63</v>
      </c>
      <c r="F122" s="132">
        <f>-F115</f>
        <v>-7921.4844399157973</v>
      </c>
      <c r="G122" s="132">
        <f t="shared" ref="G122:Y122" si="35">-G115</f>
        <v>-12674.375103865275</v>
      </c>
      <c r="H122" s="132">
        <f t="shared" si="35"/>
        <v>-7604.6250623191654</v>
      </c>
      <c r="I122" s="132">
        <f t="shared" si="35"/>
        <v>-4562.7750373914987</v>
      </c>
      <c r="J122" s="132">
        <f t="shared" si="35"/>
        <v>-4562.7750373914987</v>
      </c>
      <c r="K122" s="132">
        <f t="shared" si="35"/>
        <v>-2281.3875186957493</v>
      </c>
      <c r="L122" s="132">
        <f t="shared" si="35"/>
        <v>0</v>
      </c>
      <c r="M122" s="132">
        <f t="shared" si="35"/>
        <v>0</v>
      </c>
      <c r="N122" s="132">
        <f t="shared" si="35"/>
        <v>0</v>
      </c>
      <c r="O122" s="132">
        <f t="shared" si="35"/>
        <v>0</v>
      </c>
      <c r="P122" s="132">
        <f t="shared" si="35"/>
        <v>0</v>
      </c>
      <c r="Q122" s="132">
        <f t="shared" si="35"/>
        <v>0</v>
      </c>
      <c r="R122" s="132">
        <f t="shared" si="35"/>
        <v>0</v>
      </c>
      <c r="S122" s="132">
        <f t="shared" si="35"/>
        <v>0</v>
      </c>
      <c r="T122" s="132">
        <f t="shared" si="35"/>
        <v>0</v>
      </c>
      <c r="U122" s="132">
        <f t="shared" si="35"/>
        <v>0</v>
      </c>
      <c r="V122" s="132">
        <f t="shared" si="35"/>
        <v>0</v>
      </c>
      <c r="W122" s="132">
        <f t="shared" si="35"/>
        <v>0</v>
      </c>
      <c r="X122" s="132">
        <f t="shared" si="35"/>
        <v>0</v>
      </c>
      <c r="Y122" s="132">
        <f t="shared" si="35"/>
        <v>0</v>
      </c>
      <c r="AA122" s="355">
        <f t="shared" si="28"/>
        <v>-39607.422199578985</v>
      </c>
      <c r="AB122" s="356">
        <f t="shared" si="20"/>
        <v>-39607.422199578985</v>
      </c>
    </row>
    <row r="123" spans="1:28" s="128" customFormat="1">
      <c r="A123" s="128" t="s">
        <v>64</v>
      </c>
      <c r="F123" s="147">
        <f>-F46</f>
        <v>0</v>
      </c>
      <c r="G123" s="147">
        <f t="shared" ref="G123:Y123" si="36">-G46</f>
        <v>0</v>
      </c>
      <c r="H123" s="147">
        <f t="shared" si="36"/>
        <v>0</v>
      </c>
      <c r="I123" s="147">
        <f t="shared" si="36"/>
        <v>0</v>
      </c>
      <c r="J123" s="147">
        <f t="shared" si="36"/>
        <v>0</v>
      </c>
      <c r="K123" s="147">
        <f t="shared" si="36"/>
        <v>0</v>
      </c>
      <c r="L123" s="147">
        <f t="shared" si="36"/>
        <v>0</v>
      </c>
      <c r="M123" s="147">
        <f t="shared" si="36"/>
        <v>0</v>
      </c>
      <c r="N123" s="147">
        <f t="shared" si="36"/>
        <v>0</v>
      </c>
      <c r="O123" s="147">
        <f t="shared" si="36"/>
        <v>0</v>
      </c>
      <c r="P123" s="147">
        <f t="shared" si="36"/>
        <v>0</v>
      </c>
      <c r="Q123" s="147">
        <f t="shared" si="36"/>
        <v>0</v>
      </c>
      <c r="R123" s="147">
        <f t="shared" si="36"/>
        <v>0</v>
      </c>
      <c r="S123" s="147">
        <f t="shared" si="36"/>
        <v>0</v>
      </c>
      <c r="T123" s="147">
        <f t="shared" si="36"/>
        <v>0</v>
      </c>
      <c r="U123" s="147">
        <f t="shared" si="36"/>
        <v>0</v>
      </c>
      <c r="V123" s="147">
        <f t="shared" si="36"/>
        <v>0</v>
      </c>
      <c r="W123" s="147">
        <f t="shared" si="36"/>
        <v>0</v>
      </c>
      <c r="X123" s="147">
        <f t="shared" si="36"/>
        <v>0</v>
      </c>
      <c r="Y123" s="147">
        <f t="shared" si="36"/>
        <v>0</v>
      </c>
      <c r="AA123" s="355">
        <f t="shared" si="28"/>
        <v>0</v>
      </c>
      <c r="AB123" s="356">
        <f t="shared" si="20"/>
        <v>0</v>
      </c>
    </row>
    <row r="124" spans="1:28" s="128" customFormat="1">
      <c r="A124" s="128" t="s">
        <v>65</v>
      </c>
      <c r="F124" s="132">
        <f>SUM(F121:F123)</f>
        <v>-5409.3118544461577</v>
      </c>
      <c r="G124" s="132">
        <f t="shared" ref="G124:Y124" si="37">SUM(G121:G123)</f>
        <v>-10273.334368813792</v>
      </c>
      <c r="H124" s="132">
        <f t="shared" si="37"/>
        <v>-5083.3358824923353</v>
      </c>
      <c r="I124" s="132">
        <f t="shared" si="37"/>
        <v>-1918.7934903818141</v>
      </c>
      <c r="J124" s="132">
        <f t="shared" si="37"/>
        <v>-1793.8859847158355</v>
      </c>
      <c r="K124" s="132">
        <f t="shared" si="37"/>
        <v>614.82479373782508</v>
      </c>
      <c r="L124" s="132">
        <f t="shared" si="37"/>
        <v>3022.9593110114597</v>
      </c>
      <c r="M124" s="132">
        <f t="shared" si="37"/>
        <v>3078.8883976717302</v>
      </c>
      <c r="N124" s="132">
        <f t="shared" si="37"/>
        <v>3176.7544504961998</v>
      </c>
      <c r="O124" s="132">
        <f t="shared" si="37"/>
        <v>3277.2597368062861</v>
      </c>
      <c r="P124" s="132">
        <f t="shared" si="37"/>
        <v>3384.3886780078856</v>
      </c>
      <c r="Q124" s="132">
        <f t="shared" si="37"/>
        <v>3494.4421624765314</v>
      </c>
      <c r="R124" s="132">
        <f t="shared" si="37"/>
        <v>3560.3665825227845</v>
      </c>
      <c r="S124" s="132">
        <f t="shared" si="37"/>
        <v>3675.1696241991467</v>
      </c>
      <c r="T124" s="132">
        <f t="shared" si="37"/>
        <v>3793.1831795514117</v>
      </c>
      <c r="U124" s="132">
        <f t="shared" si="37"/>
        <v>3914.4970707528519</v>
      </c>
      <c r="V124" s="132">
        <f t="shared" si="37"/>
        <v>4039.2036296398355</v>
      </c>
      <c r="W124" s="132">
        <f t="shared" si="37"/>
        <v>4167.3977801327628</v>
      </c>
      <c r="X124" s="132">
        <f t="shared" si="37"/>
        <v>4299.1770985768717</v>
      </c>
      <c r="Y124" s="132">
        <f t="shared" si="37"/>
        <v>4434.6418920692486</v>
      </c>
      <c r="AA124" s="355">
        <f t="shared" si="28"/>
        <v>27454.492806802897</v>
      </c>
      <c r="AB124" s="356">
        <f t="shared" si="20"/>
        <v>27454.492806802897</v>
      </c>
    </row>
    <row r="125" spans="1:28" s="128" customFormat="1">
      <c r="AA125" s="355">
        <f t="shared" si="28"/>
        <v>0</v>
      </c>
      <c r="AB125" s="356">
        <f t="shared" si="20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270.46559272230792</v>
      </c>
      <c r="G126" s="132">
        <f t="shared" ref="G126:Y126" si="38">-G124*$C$126</f>
        <v>513.66671844068958</v>
      </c>
      <c r="H126" s="132">
        <f t="shared" si="38"/>
        <v>254.16679412461679</v>
      </c>
      <c r="I126" s="132">
        <f t="shared" si="38"/>
        <v>95.939674519090715</v>
      </c>
      <c r="J126" s="132">
        <f t="shared" si="38"/>
        <v>89.694299235791789</v>
      </c>
      <c r="K126" s="132">
        <f t="shared" si="38"/>
        <v>-30.741239686891255</v>
      </c>
      <c r="L126" s="132">
        <f t="shared" si="38"/>
        <v>-151.14796555057299</v>
      </c>
      <c r="M126" s="132">
        <f t="shared" si="38"/>
        <v>-153.94441988358653</v>
      </c>
      <c r="N126" s="132">
        <f t="shared" si="38"/>
        <v>-158.83772252481</v>
      </c>
      <c r="O126" s="132">
        <f t="shared" si="38"/>
        <v>-163.86298684031431</v>
      </c>
      <c r="P126" s="132">
        <f t="shared" si="38"/>
        <v>-169.21943390039428</v>
      </c>
      <c r="Q126" s="132">
        <f t="shared" si="38"/>
        <v>-174.72210812382659</v>
      </c>
      <c r="R126" s="132">
        <f t="shared" si="38"/>
        <v>-178.01832912613924</v>
      </c>
      <c r="S126" s="132">
        <f t="shared" si="38"/>
        <v>-183.75848120995735</v>
      </c>
      <c r="T126" s="132">
        <f t="shared" si="38"/>
        <v>-189.6591589775706</v>
      </c>
      <c r="U126" s="132">
        <f t="shared" si="38"/>
        <v>-195.72485353764262</v>
      </c>
      <c r="V126" s="132">
        <f t="shared" si="38"/>
        <v>-201.96018148199178</v>
      </c>
      <c r="W126" s="132">
        <f t="shared" si="38"/>
        <v>-208.36988900663815</v>
      </c>
      <c r="X126" s="132">
        <f t="shared" si="38"/>
        <v>-214.95885492884361</v>
      </c>
      <c r="Y126" s="132">
        <f t="shared" si="38"/>
        <v>-221.73209460346243</v>
      </c>
      <c r="AA126" s="355">
        <f t="shared" si="28"/>
        <v>-1372.724640340145</v>
      </c>
      <c r="AB126" s="356">
        <f t="shared" si="20"/>
        <v>-1372.724640340145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1798.5961916033475</v>
      </c>
      <c r="G127" s="132">
        <f t="shared" ref="G127:Y127" si="39">-(G124+G126)*$C$127</f>
        <v>3415.8836776305861</v>
      </c>
      <c r="H127" s="132">
        <f t="shared" si="39"/>
        <v>1690.2091809287012</v>
      </c>
      <c r="I127" s="132">
        <f t="shared" si="39"/>
        <v>637.99883555195311</v>
      </c>
      <c r="J127" s="132">
        <f t="shared" si="39"/>
        <v>596.46708991801529</v>
      </c>
      <c r="K127" s="132">
        <f t="shared" si="39"/>
        <v>-204.42924391782682</v>
      </c>
      <c r="L127" s="132">
        <f t="shared" si="39"/>
        <v>-1005.1339709113103</v>
      </c>
      <c r="M127" s="132">
        <f t="shared" si="39"/>
        <v>-1023.7303922258501</v>
      </c>
      <c r="N127" s="132">
        <f t="shared" si="39"/>
        <v>-1056.2708547899863</v>
      </c>
      <c r="O127" s="132">
        <f t="shared" si="39"/>
        <v>-1089.6888624880901</v>
      </c>
      <c r="P127" s="132">
        <f t="shared" si="39"/>
        <v>-1125.3092354376217</v>
      </c>
      <c r="Q127" s="132">
        <f t="shared" si="39"/>
        <v>-1161.9020190234467</v>
      </c>
      <c r="R127" s="132">
        <f t="shared" si="39"/>
        <v>-1183.8218886888258</v>
      </c>
      <c r="S127" s="132">
        <f t="shared" si="39"/>
        <v>-1221.9939000462164</v>
      </c>
      <c r="T127" s="132">
        <f t="shared" si="39"/>
        <v>-1261.2334072008443</v>
      </c>
      <c r="U127" s="132">
        <f t="shared" si="39"/>
        <v>-1301.5702760253232</v>
      </c>
      <c r="V127" s="132">
        <f t="shared" si="39"/>
        <v>-1343.0352068552452</v>
      </c>
      <c r="W127" s="132">
        <f t="shared" si="39"/>
        <v>-1385.6597618941437</v>
      </c>
      <c r="X127" s="132">
        <f t="shared" si="39"/>
        <v>-1429.4763852768097</v>
      </c>
      <c r="Y127" s="132">
        <f t="shared" si="39"/>
        <v>-1474.5184291130251</v>
      </c>
      <c r="AA127" s="355">
        <f t="shared" si="28"/>
        <v>-9128.6188582619616</v>
      </c>
      <c r="AB127" s="356">
        <f t="shared" si="20"/>
        <v>-9128.6188582619616</v>
      </c>
    </row>
    <row r="128" spans="1:28" s="128" customFormat="1">
      <c r="AA128" s="355">
        <f t="shared" si="28"/>
        <v>0</v>
      </c>
      <c r="AB128" s="356">
        <f t="shared" si="20"/>
        <v>0</v>
      </c>
    </row>
    <row r="129" spans="1:28" s="128" customFormat="1">
      <c r="AA129" s="355">
        <f t="shared" si="28"/>
        <v>0</v>
      </c>
      <c r="AB129" s="356">
        <f t="shared" si="20"/>
        <v>0</v>
      </c>
    </row>
    <row r="130" spans="1:28" s="128" customFormat="1">
      <c r="AA130" s="355">
        <f t="shared" si="28"/>
        <v>0</v>
      </c>
      <c r="AB130" s="356">
        <f t="shared" si="20"/>
        <v>0</v>
      </c>
    </row>
    <row r="131" spans="1:28" s="128" customFormat="1">
      <c r="AA131" s="355">
        <f t="shared" si="28"/>
        <v>0</v>
      </c>
      <c r="AB131" s="356">
        <f t="shared" si="20"/>
        <v>0</v>
      </c>
    </row>
    <row r="132" spans="1:28" s="128" customFormat="1">
      <c r="AA132" s="355">
        <f t="shared" si="28"/>
        <v>0</v>
      </c>
      <c r="AB132" s="356">
        <f t="shared" si="20"/>
        <v>0</v>
      </c>
    </row>
    <row r="133" spans="1:28" s="128" customFormat="1">
      <c r="AA133" s="355">
        <f t="shared" si="28"/>
        <v>0</v>
      </c>
      <c r="AB133" s="356">
        <f t="shared" si="20"/>
        <v>0</v>
      </c>
    </row>
    <row r="134" spans="1:28" s="128" customFormat="1">
      <c r="AA134" s="355">
        <f t="shared" si="28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0">G119</f>
        <v>2002</v>
      </c>
      <c r="H135" s="99">
        <f t="shared" si="40"/>
        <v>2003</v>
      </c>
      <c r="I135" s="99">
        <f t="shared" si="40"/>
        <v>2004</v>
      </c>
      <c r="J135" s="99">
        <f t="shared" si="40"/>
        <v>2005</v>
      </c>
      <c r="K135" s="99">
        <f t="shared" si="40"/>
        <v>2006</v>
      </c>
      <c r="L135" s="99">
        <f t="shared" si="40"/>
        <v>2007</v>
      </c>
      <c r="M135" s="99">
        <f t="shared" si="40"/>
        <v>2008</v>
      </c>
      <c r="N135" s="99">
        <f t="shared" si="40"/>
        <v>2009</v>
      </c>
      <c r="O135" s="99">
        <f t="shared" si="40"/>
        <v>2010</v>
      </c>
      <c r="P135" s="99">
        <f t="shared" si="40"/>
        <v>2011</v>
      </c>
      <c r="Q135" s="99">
        <f t="shared" si="40"/>
        <v>2012</v>
      </c>
      <c r="R135" s="99">
        <f t="shared" si="40"/>
        <v>2013</v>
      </c>
      <c r="S135" s="99">
        <f t="shared" si="40"/>
        <v>2014</v>
      </c>
      <c r="T135" s="99">
        <f t="shared" si="40"/>
        <v>2015</v>
      </c>
      <c r="U135" s="99">
        <f t="shared" si="40"/>
        <v>2016</v>
      </c>
      <c r="V135" s="99">
        <f t="shared" si="40"/>
        <v>2017</v>
      </c>
      <c r="W135" s="99">
        <f t="shared" si="40"/>
        <v>2018</v>
      </c>
      <c r="X135" s="99">
        <f t="shared" si="40"/>
        <v>2019</v>
      </c>
      <c r="Y135" s="99">
        <f t="shared" si="40"/>
        <v>2020</v>
      </c>
      <c r="AA135" s="355">
        <f t="shared" si="28"/>
        <v>40210</v>
      </c>
      <c r="AB135" s="356">
        <f t="shared" ref="AB135:AB151" si="41">AA135</f>
        <v>40210</v>
      </c>
    </row>
    <row r="136" spans="1:28" s="128" customFormat="1">
      <c r="AA136" s="355">
        <f t="shared" si="28"/>
        <v>0</v>
      </c>
      <c r="AB136" s="356">
        <f t="shared" si="41"/>
        <v>0</v>
      </c>
    </row>
    <row r="137" spans="1:28" s="128" customFormat="1">
      <c r="A137" s="128" t="s">
        <v>78</v>
      </c>
      <c r="F137" s="181">
        <f>F46</f>
        <v>0</v>
      </c>
      <c r="G137" s="181">
        <f t="shared" ref="G137:Y137" si="42">G46</f>
        <v>0</v>
      </c>
      <c r="H137" s="181">
        <f t="shared" si="42"/>
        <v>0</v>
      </c>
      <c r="I137" s="181">
        <f t="shared" si="42"/>
        <v>0</v>
      </c>
      <c r="J137" s="181">
        <f t="shared" si="42"/>
        <v>0</v>
      </c>
      <c r="K137" s="181">
        <f t="shared" si="42"/>
        <v>0</v>
      </c>
      <c r="L137" s="181">
        <f t="shared" si="42"/>
        <v>0</v>
      </c>
      <c r="M137" s="181">
        <f t="shared" si="42"/>
        <v>0</v>
      </c>
      <c r="N137" s="181">
        <f t="shared" si="42"/>
        <v>0</v>
      </c>
      <c r="O137" s="181">
        <f t="shared" si="42"/>
        <v>0</v>
      </c>
      <c r="P137" s="181">
        <f t="shared" si="42"/>
        <v>0</v>
      </c>
      <c r="Q137" s="181">
        <f t="shared" si="42"/>
        <v>0</v>
      </c>
      <c r="R137" s="181">
        <f t="shared" si="42"/>
        <v>0</v>
      </c>
      <c r="S137" s="181">
        <f t="shared" si="42"/>
        <v>0</v>
      </c>
      <c r="T137" s="181">
        <f t="shared" si="42"/>
        <v>0</v>
      </c>
      <c r="U137" s="181">
        <f t="shared" si="42"/>
        <v>0</v>
      </c>
      <c r="V137" s="181">
        <f t="shared" si="42"/>
        <v>0</v>
      </c>
      <c r="W137" s="181">
        <f t="shared" si="42"/>
        <v>0</v>
      </c>
      <c r="X137" s="181">
        <f t="shared" si="42"/>
        <v>0</v>
      </c>
      <c r="Y137" s="181">
        <f t="shared" si="42"/>
        <v>0</v>
      </c>
      <c r="AA137" s="355">
        <f t="shared" si="28"/>
        <v>0</v>
      </c>
      <c r="AB137" s="356">
        <f t="shared" si="41"/>
        <v>0</v>
      </c>
    </row>
    <row r="138" spans="1:28" s="128" customFormat="1">
      <c r="A138" s="128" t="s">
        <v>67</v>
      </c>
      <c r="F138" s="147">
        <f t="shared" ref="F138:Y138" si="43">SUM(F33:F35)</f>
        <v>43.328144000000002</v>
      </c>
      <c r="G138" s="147">
        <f t="shared" si="43"/>
        <v>44.541332032</v>
      </c>
      <c r="H138" s="147">
        <f t="shared" si="43"/>
        <v>45.788489328895999</v>
      </c>
      <c r="I138" s="147">
        <f t="shared" si="43"/>
        <v>47.02477854077619</v>
      </c>
      <c r="J138" s="147">
        <f t="shared" si="43"/>
        <v>48.29444756137714</v>
      </c>
      <c r="K138" s="147">
        <f t="shared" si="43"/>
        <v>49.59839764553432</v>
      </c>
      <c r="L138" s="147">
        <f t="shared" si="43"/>
        <v>50.937554381963743</v>
      </c>
      <c r="M138" s="147">
        <f t="shared" si="43"/>
        <v>52.312868350276759</v>
      </c>
      <c r="N138" s="147">
        <f t="shared" si="43"/>
        <v>53.725315795734225</v>
      </c>
      <c r="O138" s="147">
        <f t="shared" si="43"/>
        <v>55.175899322219045</v>
      </c>
      <c r="P138" s="147">
        <f t="shared" si="43"/>
        <v>56.665648603918953</v>
      </c>
      <c r="Q138" s="147">
        <f t="shared" si="43"/>
        <v>58.252286764828682</v>
      </c>
      <c r="R138" s="147">
        <f t="shared" si="43"/>
        <v>59.883350794243889</v>
      </c>
      <c r="S138" s="147">
        <f t="shared" si="43"/>
        <v>61.560084616482719</v>
      </c>
      <c r="T138" s="147">
        <f t="shared" si="43"/>
        <v>63.283766985744236</v>
      </c>
      <c r="U138" s="147">
        <f t="shared" si="43"/>
        <v>65.055712461345081</v>
      </c>
      <c r="V138" s="147">
        <f t="shared" si="43"/>
        <v>66.877272410262748</v>
      </c>
      <c r="W138" s="147">
        <f t="shared" si="43"/>
        <v>68.7498360377501</v>
      </c>
      <c r="X138" s="147">
        <f t="shared" si="43"/>
        <v>70.674831446807104</v>
      </c>
      <c r="Y138" s="147">
        <f t="shared" si="43"/>
        <v>72.653726727317704</v>
      </c>
      <c r="AA138" s="355">
        <f t="shared" si="28"/>
        <v>1134.3837438074788</v>
      </c>
      <c r="AB138" s="356">
        <f t="shared" si="41"/>
        <v>1134.3837438074788</v>
      </c>
    </row>
    <row r="139" spans="1:28" s="128" customFormat="1">
      <c r="A139" s="128" t="s">
        <v>68</v>
      </c>
      <c r="F139" s="132">
        <f>F137+F138</f>
        <v>43.328144000000002</v>
      </c>
      <c r="G139" s="132">
        <f t="shared" ref="G139:Y139" si="44">G137+G138</f>
        <v>44.541332032</v>
      </c>
      <c r="H139" s="132">
        <f t="shared" si="44"/>
        <v>45.788489328895999</v>
      </c>
      <c r="I139" s="132">
        <f t="shared" si="44"/>
        <v>47.02477854077619</v>
      </c>
      <c r="J139" s="132">
        <f t="shared" si="44"/>
        <v>48.29444756137714</v>
      </c>
      <c r="K139" s="132">
        <f t="shared" si="44"/>
        <v>49.59839764553432</v>
      </c>
      <c r="L139" s="132">
        <f t="shared" si="44"/>
        <v>50.937554381963743</v>
      </c>
      <c r="M139" s="132">
        <f t="shared" si="44"/>
        <v>52.312868350276759</v>
      </c>
      <c r="N139" s="132">
        <f t="shared" si="44"/>
        <v>53.725315795734225</v>
      </c>
      <c r="O139" s="132">
        <f t="shared" si="44"/>
        <v>55.175899322219045</v>
      </c>
      <c r="P139" s="132">
        <f t="shared" si="44"/>
        <v>56.665648603918953</v>
      </c>
      <c r="Q139" s="132">
        <f t="shared" si="44"/>
        <v>58.252286764828682</v>
      </c>
      <c r="R139" s="132">
        <f t="shared" si="44"/>
        <v>59.883350794243889</v>
      </c>
      <c r="S139" s="132">
        <f t="shared" si="44"/>
        <v>61.560084616482719</v>
      </c>
      <c r="T139" s="132">
        <f t="shared" si="44"/>
        <v>63.283766985744236</v>
      </c>
      <c r="U139" s="132">
        <f t="shared" si="44"/>
        <v>65.055712461345081</v>
      </c>
      <c r="V139" s="132">
        <f t="shared" si="44"/>
        <v>66.877272410262748</v>
      </c>
      <c r="W139" s="132">
        <f t="shared" si="44"/>
        <v>68.7498360377501</v>
      </c>
      <c r="X139" s="132">
        <f t="shared" si="44"/>
        <v>70.674831446807104</v>
      </c>
      <c r="Y139" s="132">
        <f t="shared" si="44"/>
        <v>72.653726727317704</v>
      </c>
      <c r="AA139" s="355">
        <f t="shared" si="28"/>
        <v>1134.3837438074788</v>
      </c>
      <c r="AB139" s="356">
        <f t="shared" si="41"/>
        <v>1134.3837438074788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2.1664072000000001</v>
      </c>
      <c r="G140" s="132">
        <f t="shared" ref="G140:Y140" si="45">G139*$C$140</f>
        <v>2.2270666016000003</v>
      </c>
      <c r="H140" s="132">
        <f t="shared" si="45"/>
        <v>2.2894244664448</v>
      </c>
      <c r="I140" s="132">
        <f t="shared" si="45"/>
        <v>2.3512389270388097</v>
      </c>
      <c r="J140" s="132">
        <f t="shared" si="45"/>
        <v>2.4147223780688574</v>
      </c>
      <c r="K140" s="132">
        <f t="shared" si="45"/>
        <v>2.4799198822767163</v>
      </c>
      <c r="L140" s="132">
        <f t="shared" si="45"/>
        <v>2.5468777190981875</v>
      </c>
      <c r="M140" s="132">
        <f t="shared" si="45"/>
        <v>2.6156434175138381</v>
      </c>
      <c r="N140" s="132">
        <f t="shared" si="45"/>
        <v>2.6862657897867113</v>
      </c>
      <c r="O140" s="132">
        <f t="shared" si="45"/>
        <v>2.7587949661109525</v>
      </c>
      <c r="P140" s="132">
        <f t="shared" si="45"/>
        <v>2.8332824301959478</v>
      </c>
      <c r="Q140" s="132">
        <f t="shared" si="45"/>
        <v>2.9126143382414345</v>
      </c>
      <c r="R140" s="132">
        <f t="shared" si="45"/>
        <v>2.9941675397121945</v>
      </c>
      <c r="S140" s="132">
        <f t="shared" si="45"/>
        <v>3.0780042308241362</v>
      </c>
      <c r="T140" s="132">
        <f t="shared" si="45"/>
        <v>3.1641883492872118</v>
      </c>
      <c r="U140" s="132">
        <f t="shared" si="45"/>
        <v>3.2527856230672541</v>
      </c>
      <c r="V140" s="132">
        <f t="shared" si="45"/>
        <v>3.3438636205131376</v>
      </c>
      <c r="W140" s="132">
        <f t="shared" si="45"/>
        <v>3.4374918018875054</v>
      </c>
      <c r="X140" s="132">
        <f t="shared" si="45"/>
        <v>3.5337415723403556</v>
      </c>
      <c r="Y140" s="132">
        <f t="shared" si="45"/>
        <v>3.6326863363658854</v>
      </c>
      <c r="AA140" s="355">
        <f t="shared" si="28"/>
        <v>56.719187190373923</v>
      </c>
      <c r="AB140" s="356">
        <f t="shared" si="41"/>
        <v>56.719187190373923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14.406607879999999</v>
      </c>
      <c r="G141" s="147">
        <f t="shared" ref="G141:Y141" si="46">(G139-G140)*$C$141</f>
        <v>14.809992900639999</v>
      </c>
      <c r="H141" s="147">
        <f t="shared" si="46"/>
        <v>15.224672701857919</v>
      </c>
      <c r="I141" s="147">
        <f t="shared" si="46"/>
        <v>15.635738864808083</v>
      </c>
      <c r="J141" s="147">
        <f t="shared" si="46"/>
        <v>16.057903814157896</v>
      </c>
      <c r="K141" s="147">
        <f t="shared" si="46"/>
        <v>16.491467217140158</v>
      </c>
      <c r="L141" s="147">
        <f t="shared" si="46"/>
        <v>16.936736832002943</v>
      </c>
      <c r="M141" s="147">
        <f t="shared" si="46"/>
        <v>17.39402872646702</v>
      </c>
      <c r="N141" s="147">
        <f t="shared" si="46"/>
        <v>17.863667502081629</v>
      </c>
      <c r="O141" s="147">
        <f t="shared" si="46"/>
        <v>18.34598652463783</v>
      </c>
      <c r="P141" s="147">
        <f t="shared" si="46"/>
        <v>18.841328160803048</v>
      </c>
      <c r="Q141" s="147">
        <f t="shared" si="46"/>
        <v>19.368885349305536</v>
      </c>
      <c r="R141" s="147">
        <f t="shared" si="46"/>
        <v>19.911214139086091</v>
      </c>
      <c r="S141" s="147">
        <f t="shared" si="46"/>
        <v>20.468728134980502</v>
      </c>
      <c r="T141" s="147">
        <f t="shared" si="46"/>
        <v>21.041852522759957</v>
      </c>
      <c r="U141" s="147">
        <f t="shared" si="46"/>
        <v>21.631024393397237</v>
      </c>
      <c r="V141" s="147">
        <f t="shared" si="46"/>
        <v>22.236693076412362</v>
      </c>
      <c r="W141" s="147">
        <f t="shared" si="46"/>
        <v>22.859320482551908</v>
      </c>
      <c r="X141" s="147">
        <f t="shared" si="46"/>
        <v>23.499381456063357</v>
      </c>
      <c r="Y141" s="147">
        <f t="shared" si="46"/>
        <v>24.157364136833138</v>
      </c>
      <c r="AA141" s="355">
        <f t="shared" si="28"/>
        <v>377.18259481598659</v>
      </c>
      <c r="AB141" s="356">
        <f t="shared" si="41"/>
        <v>377.18259481598659</v>
      </c>
    </row>
    <row r="142" spans="1:28" s="128" customFormat="1">
      <c r="A142" s="128" t="s">
        <v>71</v>
      </c>
      <c r="F142" s="132">
        <f>F139-F140-F141</f>
        <v>26.755128920000001</v>
      </c>
      <c r="G142" s="132">
        <f t="shared" ref="G142:Y142" si="47">G139-G140-G141</f>
        <v>27.504272529760001</v>
      </c>
      <c r="H142" s="132">
        <f t="shared" si="47"/>
        <v>28.27439216059328</v>
      </c>
      <c r="I142" s="132">
        <f t="shared" si="47"/>
        <v>29.0378007489293</v>
      </c>
      <c r="J142" s="132">
        <f t="shared" si="47"/>
        <v>29.821821369150385</v>
      </c>
      <c r="K142" s="132">
        <f t="shared" si="47"/>
        <v>30.627010546117443</v>
      </c>
      <c r="L142" s="132">
        <f t="shared" si="47"/>
        <v>31.453939830862616</v>
      </c>
      <c r="M142" s="132">
        <f t="shared" si="47"/>
        <v>32.303196206295901</v>
      </c>
      <c r="N142" s="132">
        <f t="shared" si="47"/>
        <v>33.17538250386589</v>
      </c>
      <c r="O142" s="132">
        <f t="shared" si="47"/>
        <v>34.071117831470261</v>
      </c>
      <c r="P142" s="132">
        <f t="shared" si="47"/>
        <v>34.991038012919958</v>
      </c>
      <c r="Q142" s="132">
        <f t="shared" si="47"/>
        <v>35.970787077281713</v>
      </c>
      <c r="R142" s="132">
        <f t="shared" si="47"/>
        <v>36.977969115445603</v>
      </c>
      <c r="S142" s="132">
        <f t="shared" si="47"/>
        <v>38.013352250678082</v>
      </c>
      <c r="T142" s="132">
        <f t="shared" si="47"/>
        <v>39.077726113697068</v>
      </c>
      <c r="U142" s="132">
        <f t="shared" si="47"/>
        <v>40.171902444880587</v>
      </c>
      <c r="V142" s="132">
        <f t="shared" si="47"/>
        <v>41.29671571333725</v>
      </c>
      <c r="W142" s="132">
        <f t="shared" si="47"/>
        <v>42.453023753310688</v>
      </c>
      <c r="X142" s="132">
        <f t="shared" si="47"/>
        <v>43.641708418403383</v>
      </c>
      <c r="Y142" s="132">
        <f t="shared" si="47"/>
        <v>44.863676254118687</v>
      </c>
      <c r="AA142" s="355">
        <f t="shared" si="28"/>
        <v>700.48196180111813</v>
      </c>
      <c r="AB142" s="356">
        <f t="shared" si="41"/>
        <v>700.48196180111813</v>
      </c>
    </row>
    <row r="143" spans="1:28" s="128" customFormat="1">
      <c r="AA143" s="355">
        <f t="shared" si="28"/>
        <v>0</v>
      </c>
      <c r="AB143" s="356">
        <f t="shared" si="41"/>
        <v>0</v>
      </c>
    </row>
    <row r="144" spans="1:28" s="128" customFormat="1">
      <c r="A144" s="146" t="str">
        <f>A76</f>
        <v>Net Income to FPLE</v>
      </c>
      <c r="F144" s="149">
        <f>F76</f>
        <v>2181.3065715285338</v>
      </c>
      <c r="G144" s="149">
        <f t="shared" ref="G144:Y144" si="48">G76</f>
        <v>2112.6826538953228</v>
      </c>
      <c r="H144" s="149">
        <f t="shared" si="48"/>
        <v>2262.9960685441538</v>
      </c>
      <c r="I144" s="149">
        <f t="shared" si="48"/>
        <v>2338.7586052795668</v>
      </c>
      <c r="J144" s="149">
        <f t="shared" si="48"/>
        <v>2491.9489900283625</v>
      </c>
      <c r="K144" s="149">
        <f t="shared" si="48"/>
        <v>2646.6311029289272</v>
      </c>
      <c r="L144" s="149">
        <f t="shared" si="48"/>
        <v>2724.897374550771</v>
      </c>
      <c r="M144" s="149">
        <f t="shared" si="48"/>
        <v>2365.7168944883451</v>
      </c>
      <c r="N144" s="149">
        <f t="shared" si="48"/>
        <v>1146.5458731814033</v>
      </c>
      <c r="O144" s="149">
        <f t="shared" si="48"/>
        <v>1208.6078874778818</v>
      </c>
      <c r="P144" s="149">
        <f t="shared" si="48"/>
        <v>1274.7600086698694</v>
      </c>
      <c r="Q144" s="149">
        <f t="shared" si="48"/>
        <v>1342.7180353292581</v>
      </c>
      <c r="R144" s="149">
        <f t="shared" si="48"/>
        <v>1383.4263647078196</v>
      </c>
      <c r="S144" s="149">
        <f t="shared" si="48"/>
        <v>1454.3172429429733</v>
      </c>
      <c r="T144" s="149">
        <f t="shared" si="48"/>
        <v>1527.1906133729967</v>
      </c>
      <c r="U144" s="149">
        <f t="shared" si="48"/>
        <v>1602.101941189886</v>
      </c>
      <c r="V144" s="149">
        <f t="shared" si="48"/>
        <v>1679.1082413025986</v>
      </c>
      <c r="W144" s="149">
        <f t="shared" si="48"/>
        <v>1758.2681292319812</v>
      </c>
      <c r="X144" s="149">
        <f t="shared" si="48"/>
        <v>1839.6418583712184</v>
      </c>
      <c r="Y144" s="149">
        <f t="shared" si="48"/>
        <v>1923.2913683527611</v>
      </c>
      <c r="AA144" s="355">
        <f t="shared" si="28"/>
        <v>37264.915825374628</v>
      </c>
      <c r="AB144" s="356">
        <f t="shared" si="41"/>
        <v>37264.915825374628</v>
      </c>
    </row>
    <row r="145" spans="1:28" s="128" customFormat="1">
      <c r="A145" s="103" t="s">
        <v>79</v>
      </c>
      <c r="F145" s="142">
        <f>F142+F144</f>
        <v>2208.0617004485339</v>
      </c>
      <c r="G145" s="142">
        <f t="shared" ref="G145:Y145" si="49">G142+G144</f>
        <v>2140.1869264250827</v>
      </c>
      <c r="H145" s="142">
        <f t="shared" si="49"/>
        <v>2291.2704607047472</v>
      </c>
      <c r="I145" s="142">
        <f t="shared" si="49"/>
        <v>2367.7964060284962</v>
      </c>
      <c r="J145" s="142">
        <f t="shared" si="49"/>
        <v>2521.7708113975127</v>
      </c>
      <c r="K145" s="142">
        <f t="shared" si="49"/>
        <v>2677.2581134750449</v>
      </c>
      <c r="L145" s="142">
        <f t="shared" si="49"/>
        <v>2756.3513143816335</v>
      </c>
      <c r="M145" s="142">
        <f t="shared" si="49"/>
        <v>2398.0200906946411</v>
      </c>
      <c r="N145" s="142">
        <f t="shared" si="49"/>
        <v>1179.7212556852692</v>
      </c>
      <c r="O145" s="142">
        <f t="shared" si="49"/>
        <v>1242.6790053093521</v>
      </c>
      <c r="P145" s="142">
        <f t="shared" si="49"/>
        <v>1309.7510466827894</v>
      </c>
      <c r="Q145" s="142">
        <f t="shared" si="49"/>
        <v>1378.6888224065399</v>
      </c>
      <c r="R145" s="142">
        <f t="shared" si="49"/>
        <v>1420.4043338232652</v>
      </c>
      <c r="S145" s="142">
        <f t="shared" si="49"/>
        <v>1492.3305951936513</v>
      </c>
      <c r="T145" s="142">
        <f t="shared" si="49"/>
        <v>1566.2683394866938</v>
      </c>
      <c r="U145" s="142">
        <f t="shared" si="49"/>
        <v>1642.2738436347665</v>
      </c>
      <c r="V145" s="142">
        <f t="shared" si="49"/>
        <v>1720.4049570159359</v>
      </c>
      <c r="W145" s="142">
        <f t="shared" si="49"/>
        <v>1800.7211529852918</v>
      </c>
      <c r="X145" s="142">
        <f t="shared" si="49"/>
        <v>1883.2835667896218</v>
      </c>
      <c r="Y145" s="142">
        <f t="shared" si="49"/>
        <v>1968.1550446068798</v>
      </c>
      <c r="AA145" s="355">
        <f t="shared" si="28"/>
        <v>37965.397787175752</v>
      </c>
      <c r="AB145" s="356">
        <f t="shared" si="41"/>
        <v>37965.397787175752</v>
      </c>
    </row>
    <row r="146" spans="1:28" s="128" customFormat="1">
      <c r="AA146" s="355">
        <f t="shared" si="28"/>
        <v>0</v>
      </c>
      <c r="AB146" s="356">
        <f t="shared" si="41"/>
        <v>0</v>
      </c>
    </row>
    <row r="147" spans="1:28" s="128" customFormat="1">
      <c r="AA147" s="355">
        <f t="shared" si="28"/>
        <v>0</v>
      </c>
      <c r="AB147" s="356">
        <f t="shared" si="41"/>
        <v>0</v>
      </c>
    </row>
    <row r="148" spans="1:28" s="128" customFormat="1">
      <c r="AA148" s="355">
        <f t="shared" si="28"/>
        <v>0</v>
      </c>
      <c r="AB148" s="356">
        <f t="shared" si="41"/>
        <v>0</v>
      </c>
    </row>
    <row r="149" spans="1:28" s="128" customFormat="1">
      <c r="A149" s="105" t="s">
        <v>110</v>
      </c>
      <c r="AA149" s="355">
        <f t="shared" si="28"/>
        <v>0</v>
      </c>
      <c r="AB149" s="356">
        <f t="shared" si="41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26.755128920000001</v>
      </c>
      <c r="G150" s="129">
        <f t="shared" ref="G150:Y150" si="50">G142</f>
        <v>27.504272529760001</v>
      </c>
      <c r="H150" s="129">
        <f t="shared" si="50"/>
        <v>28.27439216059328</v>
      </c>
      <c r="I150" s="129">
        <f t="shared" si="50"/>
        <v>29.0378007489293</v>
      </c>
      <c r="J150" s="129">
        <f t="shared" si="50"/>
        <v>29.821821369150385</v>
      </c>
      <c r="K150" s="129">
        <f t="shared" si="50"/>
        <v>30.627010546117443</v>
      </c>
      <c r="L150" s="129">
        <f t="shared" si="50"/>
        <v>31.453939830862616</v>
      </c>
      <c r="M150" s="129">
        <f t="shared" si="50"/>
        <v>32.303196206295901</v>
      </c>
      <c r="N150" s="129">
        <f t="shared" si="50"/>
        <v>33.17538250386589</v>
      </c>
      <c r="O150" s="129">
        <f t="shared" si="50"/>
        <v>34.071117831470261</v>
      </c>
      <c r="P150" s="129">
        <f t="shared" si="50"/>
        <v>34.991038012919958</v>
      </c>
      <c r="Q150" s="129">
        <f t="shared" si="50"/>
        <v>35.970787077281713</v>
      </c>
      <c r="R150" s="129">
        <f t="shared" si="50"/>
        <v>36.977969115445603</v>
      </c>
      <c r="S150" s="129">
        <f t="shared" si="50"/>
        <v>38.013352250678082</v>
      </c>
      <c r="T150" s="129">
        <f t="shared" si="50"/>
        <v>39.077726113697068</v>
      </c>
      <c r="U150" s="129">
        <f t="shared" si="50"/>
        <v>40.171902444880587</v>
      </c>
      <c r="V150" s="129">
        <f t="shared" si="50"/>
        <v>41.29671571333725</v>
      </c>
      <c r="W150" s="129">
        <f t="shared" si="50"/>
        <v>42.453023753310688</v>
      </c>
      <c r="X150" s="129">
        <f t="shared" si="50"/>
        <v>43.641708418403383</v>
      </c>
      <c r="Y150" s="129">
        <f t="shared" si="50"/>
        <v>44.863676254118687</v>
      </c>
      <c r="AA150" s="355">
        <f t="shared" si="28"/>
        <v>700.48196180111813</v>
      </c>
      <c r="AB150" s="356">
        <f t="shared" si="41"/>
        <v>700.48196180111813</v>
      </c>
    </row>
    <row r="151" spans="1:28" s="128" customFormat="1">
      <c r="A151" s="128" t="s">
        <v>111</v>
      </c>
      <c r="F151" s="182">
        <v>0</v>
      </c>
      <c r="G151" s="182">
        <v>0</v>
      </c>
      <c r="H151" s="182">
        <v>0</v>
      </c>
      <c r="I151" s="182">
        <v>0</v>
      </c>
      <c r="J151" s="182">
        <v>0</v>
      </c>
      <c r="K151" s="182">
        <v>0</v>
      </c>
      <c r="L151" s="182">
        <v>0</v>
      </c>
      <c r="M151" s="182">
        <v>0</v>
      </c>
      <c r="N151" s="182">
        <v>0</v>
      </c>
      <c r="O151" s="182">
        <v>0</v>
      </c>
      <c r="P151" s="182">
        <v>0</v>
      </c>
      <c r="Q151" s="182">
        <v>0</v>
      </c>
      <c r="R151" s="182">
        <v>0</v>
      </c>
      <c r="S151" s="182">
        <v>0</v>
      </c>
      <c r="T151" s="182">
        <v>0</v>
      </c>
      <c r="U151" s="182">
        <v>0</v>
      </c>
      <c r="V151" s="182">
        <v>0</v>
      </c>
      <c r="W151" s="182">
        <v>0</v>
      </c>
      <c r="X151" s="182">
        <v>0</v>
      </c>
      <c r="Y151" s="182">
        <v>0</v>
      </c>
      <c r="AA151" s="355">
        <f t="shared" si="28"/>
        <v>0</v>
      </c>
      <c r="AB151" s="356">
        <f t="shared" si="41"/>
        <v>0</v>
      </c>
    </row>
    <row r="152" spans="1:28" s="128" customFormat="1">
      <c r="F152" s="129">
        <f>F150+F151</f>
        <v>26.755128920000001</v>
      </c>
      <c r="G152" s="129">
        <f t="shared" ref="G152:Y152" si="51">G150+G151</f>
        <v>27.504272529760001</v>
      </c>
      <c r="H152" s="129">
        <f t="shared" si="51"/>
        <v>28.27439216059328</v>
      </c>
      <c r="I152" s="129">
        <f t="shared" si="51"/>
        <v>29.0378007489293</v>
      </c>
      <c r="J152" s="129">
        <f t="shared" si="51"/>
        <v>29.821821369150385</v>
      </c>
      <c r="K152" s="129">
        <f t="shared" si="51"/>
        <v>30.627010546117443</v>
      </c>
      <c r="L152" s="129">
        <f t="shared" si="51"/>
        <v>31.453939830862616</v>
      </c>
      <c r="M152" s="129">
        <f t="shared" si="51"/>
        <v>32.303196206295901</v>
      </c>
      <c r="N152" s="129">
        <f t="shared" si="51"/>
        <v>33.17538250386589</v>
      </c>
      <c r="O152" s="129">
        <f t="shared" si="51"/>
        <v>34.071117831470261</v>
      </c>
      <c r="P152" s="129">
        <f t="shared" si="51"/>
        <v>34.991038012919958</v>
      </c>
      <c r="Q152" s="129">
        <f t="shared" si="51"/>
        <v>35.970787077281713</v>
      </c>
      <c r="R152" s="129">
        <f t="shared" si="51"/>
        <v>36.977969115445603</v>
      </c>
      <c r="S152" s="129">
        <f t="shared" si="51"/>
        <v>38.013352250678082</v>
      </c>
      <c r="T152" s="129">
        <f t="shared" si="51"/>
        <v>39.077726113697068</v>
      </c>
      <c r="U152" s="129">
        <f t="shared" si="51"/>
        <v>40.171902444880587</v>
      </c>
      <c r="V152" s="129">
        <f t="shared" si="51"/>
        <v>41.29671571333725</v>
      </c>
      <c r="W152" s="129">
        <f t="shared" si="51"/>
        <v>42.453023753310688</v>
      </c>
      <c r="X152" s="129">
        <f t="shared" si="51"/>
        <v>43.641708418403383</v>
      </c>
      <c r="Y152" s="129">
        <f t="shared" si="51"/>
        <v>44.863676254118687</v>
      </c>
      <c r="AA152" s="355">
        <f t="shared" si="28"/>
        <v>700.48196180111813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296.49658246708447</v>
      </c>
    </row>
    <row r="156" spans="1:28" s="128" customFormat="1" ht="13.5" thickBot="1">
      <c r="A156" s="128" t="s">
        <v>48</v>
      </c>
      <c r="C156" s="152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44008.24688842109</v>
      </c>
    </row>
    <row r="161" spans="1:25" s="128" customFormat="1">
      <c r="A161" s="108" t="s">
        <v>74</v>
      </c>
      <c r="B161" s="109"/>
      <c r="C161" s="109"/>
      <c r="D161" s="183">
        <v>0</v>
      </c>
      <c r="F161" s="150"/>
    </row>
    <row r="162" spans="1:25" s="128" customFormat="1">
      <c r="A162" s="108" t="s">
        <v>75</v>
      </c>
      <c r="B162" s="109"/>
      <c r="C162" s="109"/>
      <c r="D162" s="111">
        <f>C155-D161</f>
        <v>296.49658246708447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44304.743470888177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 t="s">
        <v>156</v>
      </c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 t="s">
        <v>157</v>
      </c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 t="s">
        <v>158</v>
      </c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 t="s">
        <v>159</v>
      </c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6" t="s">
        <v>160</v>
      </c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6" t="s">
        <v>185</v>
      </c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 t="s">
        <v>193</v>
      </c>
      <c r="B175" s="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6" t="s">
        <v>186</v>
      </c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 t="s">
        <v>189</v>
      </c>
      <c r="B177" s="6"/>
      <c r="C177" s="415">
        <f>E57</f>
        <v>0.36773569701879594</v>
      </c>
      <c r="D177" s="31" t="s">
        <v>190</v>
      </c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 t="s">
        <v>179</v>
      </c>
      <c r="B178" s="17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 t="s">
        <v>163</v>
      </c>
      <c r="B179" s="1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6" t="s">
        <v>183</v>
      </c>
      <c r="B180" s="1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6" t="s">
        <v>172</v>
      </c>
      <c r="B181" s="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6" t="s">
        <v>171</v>
      </c>
      <c r="B182" s="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 t="s">
        <v>210</v>
      </c>
      <c r="B183" s="17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outlineLevel="1">
      <c r="A184" s="17"/>
      <c r="B184" s="6"/>
      <c r="C184" s="6"/>
      <c r="D184" s="31"/>
      <c r="E184" s="6"/>
      <c r="F184" s="6"/>
      <c r="G184" s="31"/>
      <c r="H184" s="6"/>
      <c r="I184" s="6"/>
      <c r="J184" s="6"/>
      <c r="K184" s="6"/>
      <c r="L184" s="6"/>
      <c r="M184" s="6"/>
      <c r="N184" s="6"/>
      <c r="O184" s="6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6"/>
      <c r="B185" s="6"/>
      <c r="C185" s="33"/>
      <c r="D185" s="31"/>
      <c r="E185" s="31"/>
      <c r="F185" s="31"/>
      <c r="G185" s="184"/>
      <c r="H185" s="185"/>
      <c r="I185" s="185"/>
      <c r="J185" s="185"/>
      <c r="K185" s="185"/>
      <c r="L185" s="185"/>
      <c r="M185" s="185"/>
      <c r="N185" s="185"/>
      <c r="O185" s="185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3.5" outlineLevel="1">
      <c r="A186" s="97"/>
      <c r="B186" s="36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17"/>
      <c r="B187" s="36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17"/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36"/>
      <c r="B189" s="6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36"/>
      <c r="B190" s="1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36"/>
      <c r="B191" s="1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1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17"/>
      <c r="B194" s="1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6"/>
      <c r="B195" s="6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38"/>
      <c r="B196" s="6"/>
      <c r="C196" s="6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40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39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8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40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" customHeight="1" outlineLevel="1">
      <c r="A219" s="40"/>
      <c r="B219" s="6"/>
      <c r="C219" s="6"/>
      <c r="D219" s="6"/>
      <c r="E219" s="27"/>
      <c r="F219" s="27"/>
      <c r="G219" s="2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4.25" customHeight="1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outlineLevel="1">
      <c r="A223" s="40"/>
      <c r="B223" s="6"/>
      <c r="C223" s="6"/>
      <c r="D223" s="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outlineLevel="1">
      <c r="A224" s="42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27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6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17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6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6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3"/>
      <c r="B236" s="3"/>
      <c r="C236" s="3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outlineLevel="1">
      <c r="A237" s="40"/>
      <c r="B237" s="6"/>
      <c r="C237" s="6"/>
      <c r="D237" s="6"/>
      <c r="E237" s="27"/>
      <c r="F237" s="27"/>
      <c r="G237" s="2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outlineLevel="1">
      <c r="A238" s="39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8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27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40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39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20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27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40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27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40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39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40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39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8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8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40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9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39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8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40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6"/>
      <c r="B279" s="6"/>
      <c r="C279" s="6"/>
      <c r="D279" s="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outlineLevel="1">
      <c r="A280" s="6"/>
      <c r="B280" s="6"/>
      <c r="C280" s="6"/>
      <c r="D280" s="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6"/>
      <c r="B281" s="6"/>
      <c r="C281" s="6"/>
      <c r="D281" s="6"/>
      <c r="E281" s="6"/>
      <c r="F281" s="6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3"/>
      <c r="B282" s="3"/>
      <c r="C282" s="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outlineLevel="1">
      <c r="A283" s="17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17"/>
      <c r="B284" s="43"/>
      <c r="C284" s="4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17"/>
      <c r="B287" s="17"/>
      <c r="C287" s="17"/>
      <c r="D287" s="1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44"/>
      <c r="B288" s="17"/>
      <c r="C288" s="17"/>
      <c r="D288" s="17"/>
      <c r="E288" s="45"/>
      <c r="F288" s="45"/>
      <c r="G288" s="45"/>
      <c r="H288" s="45"/>
      <c r="I288" s="45"/>
      <c r="J288" s="45"/>
      <c r="K288" s="45"/>
      <c r="L288" s="45"/>
      <c r="M288" s="6"/>
      <c r="N288" s="4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17"/>
      <c r="C289" s="17"/>
      <c r="D289" s="17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44"/>
      <c r="C290" s="44"/>
      <c r="D290" s="44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3"/>
      <c r="C292" s="3"/>
      <c r="D292" s="3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6"/>
      <c r="B293" s="6"/>
      <c r="C293" s="6"/>
      <c r="D293" s="6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17"/>
      <c r="B294" s="17"/>
      <c r="C294" s="17"/>
      <c r="D294" s="17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44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44"/>
      <c r="C304" s="44"/>
      <c r="D304" s="44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17"/>
      <c r="B306" s="17"/>
      <c r="C306" s="17"/>
      <c r="D306" s="17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17"/>
      <c r="B309" s="17"/>
      <c r="C309" s="17"/>
      <c r="D309" s="17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17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6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46"/>
      <c r="C312" s="46"/>
      <c r="D312" s="46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17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44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17"/>
      <c r="B315" s="17"/>
      <c r="C315" s="17"/>
      <c r="D315" s="17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6"/>
      <c r="B316" s="6"/>
      <c r="C316" s="6"/>
      <c r="D316" s="6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17"/>
      <c r="B317" s="17"/>
      <c r="C317" s="17"/>
      <c r="D317" s="17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44"/>
      <c r="B318" s="44"/>
      <c r="C318" s="44"/>
      <c r="D318" s="44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6"/>
      <c r="C323" s="6"/>
      <c r="D323" s="6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17"/>
      <c r="B324" s="17"/>
      <c r="C324" s="17"/>
      <c r="D324" s="17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17"/>
      <c r="B325" s="17"/>
      <c r="C325" s="17"/>
      <c r="D325" s="17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6"/>
      <c r="B326" s="6"/>
      <c r="C326" s="6"/>
      <c r="D326" s="6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47"/>
      <c r="C327" s="47"/>
      <c r="D327" s="6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43"/>
      <c r="C328" s="43"/>
      <c r="D328" s="43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48"/>
      <c r="C330" s="48"/>
      <c r="D330" s="6"/>
      <c r="E330" s="6"/>
      <c r="F330" s="6"/>
      <c r="G330" s="20"/>
      <c r="H330" s="20"/>
      <c r="I330" s="20"/>
      <c r="J330" s="20"/>
      <c r="K330" s="20"/>
      <c r="L330" s="2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6"/>
      <c r="C331" s="6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s="187" customFormat="1" outlineLevel="1">
      <c r="A339" s="186"/>
    </row>
    <row r="340" spans="1:25" outlineLevel="1">
      <c r="A340" s="1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outlineLevel="1">
      <c r="A341" s="17"/>
      <c r="B341" s="6"/>
      <c r="C341" s="6"/>
      <c r="D341" s="6"/>
      <c r="E341" s="6"/>
      <c r="F341" s="6"/>
      <c r="G341" s="51"/>
      <c r="H341" s="51"/>
      <c r="I341" s="51"/>
      <c r="J341" s="51"/>
      <c r="K341" s="51"/>
      <c r="L341" s="5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7"/>
      <c r="B342" s="6"/>
      <c r="C342" s="6"/>
      <c r="D342" s="6"/>
      <c r="E342" s="6"/>
      <c r="F342" s="6"/>
      <c r="G342" s="51"/>
      <c r="H342" s="51"/>
      <c r="I342" s="51"/>
      <c r="J342" s="51"/>
      <c r="K342" s="51"/>
      <c r="L342" s="5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6"/>
      <c r="B343" s="52"/>
      <c r="C343" s="52"/>
      <c r="D343" s="52"/>
      <c r="E343" s="6"/>
      <c r="F343" s="6"/>
      <c r="G343" s="53"/>
      <c r="H343" s="53"/>
      <c r="I343" s="53"/>
      <c r="J343" s="53"/>
      <c r="K343" s="53"/>
      <c r="L343" s="5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7"/>
      <c r="B344" s="56"/>
      <c r="C344" s="56"/>
      <c r="D344" s="5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18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88"/>
      <c r="B346" s="6"/>
      <c r="C346" s="6"/>
      <c r="D346" s="6"/>
      <c r="E346" s="6"/>
      <c r="F346" s="6"/>
      <c r="G346" s="20"/>
      <c r="H346" s="20"/>
      <c r="I346" s="20"/>
      <c r="J346" s="20"/>
      <c r="K346" s="20"/>
      <c r="L346" s="2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88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88"/>
      <c r="B350" s="6"/>
      <c r="C350" s="6"/>
      <c r="D350" s="6"/>
      <c r="E350" s="6"/>
      <c r="F350" s="6"/>
      <c r="G350" s="51"/>
      <c r="H350" s="51"/>
      <c r="I350" s="51"/>
      <c r="J350" s="51"/>
      <c r="K350" s="51"/>
      <c r="L350" s="5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7"/>
      <c r="B351" s="6"/>
      <c r="C351" s="6"/>
      <c r="D351" s="6"/>
      <c r="E351" s="6"/>
      <c r="F351" s="6"/>
      <c r="G351" s="56"/>
      <c r="H351" s="56"/>
      <c r="I351" s="56"/>
      <c r="J351" s="56"/>
      <c r="K351" s="56"/>
      <c r="L351" s="5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88"/>
      <c r="B352" s="14"/>
      <c r="C352" s="14"/>
      <c r="D352" s="14"/>
      <c r="E352" s="6"/>
      <c r="F352" s="6"/>
      <c r="G352" s="189"/>
      <c r="H352" s="189"/>
      <c r="I352" s="189"/>
      <c r="J352" s="189"/>
      <c r="K352" s="189"/>
      <c r="L352" s="18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88"/>
      <c r="B353" s="6"/>
      <c r="C353" s="6"/>
      <c r="D353" s="6"/>
      <c r="E353" s="6"/>
      <c r="F353" s="6"/>
      <c r="G353" s="189"/>
      <c r="H353" s="189"/>
      <c r="I353" s="189"/>
      <c r="J353" s="189"/>
      <c r="K353" s="189"/>
      <c r="L353" s="18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188"/>
      <c r="B354" s="6"/>
      <c r="C354" s="6"/>
      <c r="D354" s="6"/>
      <c r="E354" s="6"/>
      <c r="F354" s="6"/>
      <c r="G354" s="189"/>
      <c r="H354" s="189"/>
      <c r="I354" s="189"/>
      <c r="J354" s="189"/>
      <c r="K354" s="189"/>
      <c r="L354" s="18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188"/>
      <c r="B355" s="6"/>
      <c r="C355" s="6"/>
      <c r="D355" s="6"/>
      <c r="E355" s="6"/>
      <c r="F355" s="6"/>
      <c r="G355" s="189"/>
      <c r="H355" s="189"/>
      <c r="I355" s="189"/>
      <c r="J355" s="189"/>
      <c r="K355" s="189"/>
      <c r="L355" s="18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188"/>
      <c r="B356" s="6"/>
      <c r="C356" s="6"/>
      <c r="D356" s="6"/>
      <c r="E356" s="6"/>
      <c r="F356" s="6"/>
      <c r="G356" s="56"/>
      <c r="H356" s="56"/>
      <c r="I356" s="56"/>
      <c r="J356" s="56"/>
      <c r="K356" s="56"/>
      <c r="L356" s="5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6"/>
      <c r="B358" s="6"/>
      <c r="C358" s="6"/>
      <c r="D358" s="6"/>
      <c r="E358" s="6"/>
      <c r="F358" s="6"/>
      <c r="G358" s="20"/>
      <c r="H358" s="20"/>
      <c r="I358" s="20"/>
      <c r="J358" s="20"/>
      <c r="K358" s="20"/>
      <c r="L358" s="2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20"/>
      <c r="F361" s="20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51"/>
      <c r="H364" s="51"/>
      <c r="I364" s="51"/>
      <c r="J364" s="51"/>
      <c r="K364" s="51"/>
      <c r="L364" s="5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188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188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188"/>
      <c r="B367" s="6"/>
      <c r="C367" s="6"/>
      <c r="D367" s="6"/>
      <c r="E367" s="20"/>
      <c r="F367" s="20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6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17"/>
      <c r="B375" s="6"/>
      <c r="C375" s="6"/>
      <c r="D375" s="6"/>
      <c r="E375" s="59"/>
      <c r="F375" s="59"/>
      <c r="G375" s="59"/>
      <c r="H375" s="59"/>
      <c r="I375" s="59"/>
      <c r="J375" s="59"/>
      <c r="K375" s="59"/>
      <c r="L375" s="5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14"/>
      <c r="E376" s="20"/>
      <c r="F376" s="20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59"/>
      <c r="F377" s="59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6"/>
      <c r="E378" s="6"/>
      <c r="F378" s="6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45"/>
      <c r="H383" s="45"/>
      <c r="I383" s="45"/>
      <c r="J383" s="45"/>
      <c r="K383" s="45"/>
      <c r="L383" s="4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59"/>
      <c r="H384" s="59"/>
      <c r="I384" s="59"/>
      <c r="J384" s="59"/>
      <c r="K384" s="59"/>
      <c r="L384" s="5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30" outlineLevel="1">
      <c r="A385" s="6"/>
      <c r="B385" s="6"/>
      <c r="C385" s="6"/>
      <c r="D385" s="6"/>
      <c r="E385" s="6"/>
      <c r="F385" s="6"/>
      <c r="G385" s="45"/>
      <c r="H385" s="45"/>
      <c r="I385" s="45"/>
      <c r="J385" s="45"/>
      <c r="K385" s="45"/>
      <c r="L385" s="4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30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30" outlineLevel="1">
      <c r="A387" s="6"/>
      <c r="B387" s="6"/>
      <c r="C387" s="6"/>
      <c r="D387" s="6"/>
      <c r="E387" s="6"/>
      <c r="F387" s="6"/>
      <c r="G387" s="45"/>
      <c r="H387" s="45"/>
      <c r="I387" s="45"/>
      <c r="J387" s="45"/>
      <c r="K387" s="45"/>
      <c r="L387" s="4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30" outlineLevel="1">
      <c r="A388" s="6"/>
      <c r="B388" s="6"/>
      <c r="C388" s="6"/>
      <c r="D388" s="6"/>
      <c r="E388" s="6"/>
      <c r="F388" s="6"/>
      <c r="G388" s="61"/>
      <c r="H388" s="61"/>
      <c r="I388" s="61"/>
      <c r="J388" s="61"/>
      <c r="K388" s="61"/>
      <c r="L388" s="6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30" outlineLevel="1">
      <c r="A389" s="6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30" hidden="1" outlineLevel="2">
      <c r="A390" s="17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30" hidden="1" outlineLevel="2">
      <c r="A391" s="17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30" hidden="1" outlineLevel="2">
      <c r="A392" s="6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30" hidden="1" outlineLevel="2">
      <c r="A393" s="17"/>
      <c r="B393" s="9"/>
      <c r="C393" s="9"/>
      <c r="D393" s="9"/>
      <c r="E393" s="10"/>
      <c r="F393" s="10"/>
      <c r="G393" s="10"/>
      <c r="H393" s="9"/>
      <c r="I393" s="9"/>
      <c r="J393" s="10"/>
      <c r="K393" s="10"/>
      <c r="L393" s="9"/>
      <c r="M393" s="10"/>
      <c r="N393" s="10"/>
      <c r="O393" s="10"/>
      <c r="P393" s="9"/>
      <c r="Q393" s="10"/>
      <c r="R393" s="10"/>
      <c r="S393" s="6"/>
      <c r="T393" s="6"/>
      <c r="U393" s="6"/>
      <c r="V393" s="6"/>
      <c r="W393" s="6"/>
      <c r="X393" s="10"/>
      <c r="Y393" s="6"/>
    </row>
    <row r="394" spans="1:30" hidden="1" outlineLevel="2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30" hidden="1" outlineLevel="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30" hidden="1" outlineLevel="2">
      <c r="A396" s="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6"/>
      <c r="T396" s="6"/>
      <c r="U396" s="6"/>
      <c r="V396" s="6"/>
      <c r="W396" s="6"/>
      <c r="X396" s="45"/>
      <c r="Y396" s="6"/>
    </row>
    <row r="397" spans="1:30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30" hidden="1" outlineLevel="2">
      <c r="A398" s="6"/>
      <c r="B398" s="59"/>
      <c r="C398" s="59"/>
      <c r="D398" s="59"/>
      <c r="E398" s="59"/>
      <c r="F398" s="59"/>
      <c r="G398" s="59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30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30" hidden="1" outlineLevel="2">
      <c r="A400" s="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45"/>
      <c r="Z400" s="45"/>
      <c r="AA400" s="45"/>
      <c r="AB400" s="45"/>
      <c r="AC400" s="45"/>
      <c r="AD400" s="45"/>
    </row>
    <row r="401" spans="1:25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6"/>
    </row>
    <row r="403" spans="1:25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idden="1" outlineLevel="2">
      <c r="A404" s="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6"/>
      <c r="T404" s="6"/>
      <c r="U404" s="6"/>
      <c r="V404" s="6"/>
      <c r="W404" s="6"/>
      <c r="X404" s="45"/>
      <c r="Y404" s="45"/>
    </row>
    <row r="405" spans="1:25" hidden="1" outlineLevel="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idden="1" outlineLevel="2">
      <c r="A406" s="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6"/>
      <c r="T406" s="6"/>
      <c r="U406" s="6"/>
      <c r="V406" s="6"/>
      <c r="W406" s="6"/>
      <c r="X406" s="45"/>
      <c r="Y406" s="45"/>
    </row>
    <row r="407" spans="1:25" hidden="1" outlineLevel="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1" collapsed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1">
      <c r="A411" s="3"/>
      <c r="B411" s="3"/>
      <c r="C411" s="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outlineLevel="1">
      <c r="A412" s="17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outlineLevel="1">
      <c r="A413" s="17"/>
      <c r="B413" s="43"/>
      <c r="C413" s="4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outlineLevel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outlineLevel="1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outlineLevel="1">
      <c r="A416" s="17"/>
      <c r="B416" s="17"/>
      <c r="C416" s="1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>
      <c r="A417" s="44"/>
      <c r="B417" s="17"/>
      <c r="C417" s="17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outlineLevel="1">
      <c r="A418" s="44"/>
      <c r="B418" s="17"/>
      <c r="C418" s="17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3"/>
      <c r="C421" s="3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6"/>
      <c r="B422" s="6"/>
      <c r="C422" s="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17"/>
      <c r="B423" s="17"/>
      <c r="C423" s="17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44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17"/>
      <c r="B435" s="17"/>
      <c r="C435" s="17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6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17"/>
      <c r="B439" s="17"/>
      <c r="C439" s="17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6"/>
      <c r="B440" s="6"/>
      <c r="C440" s="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17"/>
      <c r="B441" s="17"/>
      <c r="C441" s="17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6"/>
      <c r="C445" s="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17"/>
      <c r="B446" s="17"/>
      <c r="C446" s="17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17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44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3"/>
      <c r="B453" s="46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17"/>
      <c r="B454" s="17"/>
      <c r="C454" s="17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6"/>
      <c r="B455" s="6"/>
      <c r="C455" s="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43"/>
      <c r="C456" s="43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3"/>
      <c r="B461" s="3"/>
      <c r="C461" s="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17"/>
      <c r="B462" s="17"/>
      <c r="C462" s="1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17"/>
      <c r="B463" s="43"/>
      <c r="C463" s="4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6"/>
      <c r="T465" s="6"/>
      <c r="U465" s="6"/>
      <c r="V465" s="6"/>
      <c r="W465" s="6"/>
      <c r="X465" s="6"/>
      <c r="Y465" s="6"/>
    </row>
    <row r="466" spans="1:25" outlineLevel="1">
      <c r="A466" s="17"/>
      <c r="B466" s="17"/>
      <c r="C466" s="17"/>
      <c r="D466" s="1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outlineLevel="1">
      <c r="A467" s="44"/>
      <c r="B467" s="17"/>
      <c r="C467" s="17"/>
      <c r="D467" s="17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17"/>
      <c r="C468" s="17"/>
      <c r="D468" s="17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44"/>
      <c r="C469" s="44"/>
      <c r="D469" s="44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44"/>
      <c r="C470" s="44"/>
      <c r="D470" s="44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3"/>
      <c r="C471" s="3"/>
      <c r="D471" s="3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3"/>
      <c r="C472" s="3"/>
      <c r="D472" s="3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17"/>
      <c r="B473" s="17"/>
      <c r="C473" s="17"/>
      <c r="D473" s="17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17"/>
      <c r="C474" s="17"/>
      <c r="D474" s="17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44"/>
      <c r="C484" s="44"/>
      <c r="D484" s="44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44"/>
      <c r="C485" s="44"/>
      <c r="D485" s="44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17"/>
      <c r="B486" s="17"/>
      <c r="C486" s="17"/>
      <c r="D486" s="17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6"/>
      <c r="B487" s="17"/>
      <c r="C487" s="17"/>
      <c r="D487" s="17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44"/>
      <c r="B488" s="44"/>
      <c r="C488" s="44"/>
      <c r="D488" s="44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17"/>
      <c r="B489" s="17"/>
      <c r="C489" s="17"/>
      <c r="D489" s="17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44"/>
      <c r="B490" s="46"/>
      <c r="C490" s="46"/>
      <c r="D490" s="46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43"/>
      <c r="C494" s="43"/>
      <c r="D494" s="43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6"/>
      <c r="T498" s="6"/>
      <c r="U498" s="6"/>
      <c r="V498" s="6"/>
      <c r="W498" s="6"/>
      <c r="X498" s="6"/>
      <c r="Y498" s="6"/>
    </row>
    <row r="499" spans="1:25" outlineLevel="1">
      <c r="A499" s="6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</row>
    <row r="500" spans="1:25" outlineLevel="1">
      <c r="A500" s="6"/>
      <c r="B500" s="45"/>
      <c r="C500" s="45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spans="1:25" outlineLevel="1">
      <c r="A501" s="6"/>
      <c r="B501" s="43"/>
      <c r="C501" s="43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3"/>
      <c r="C502" s="43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6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17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6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6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17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17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6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6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outlineLevel="1">
      <c r="A514" s="6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outlineLevel="1">
      <c r="A515" s="6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outlineLevel="1">
      <c r="A516" s="6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spans="1:25" outlineLevel="1">
      <c r="A517" s="6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6"/>
      <c r="T517" s="6"/>
      <c r="U517" s="6"/>
      <c r="V517" s="6"/>
      <c r="W517" s="6"/>
      <c r="X517" s="6"/>
      <c r="Y517" s="6"/>
    </row>
    <row r="518" spans="1:25" outlineLevel="1">
      <c r="A518" s="17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6"/>
      <c r="F522" s="6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6"/>
      <c r="T522" s="6"/>
      <c r="U522" s="6"/>
      <c r="V522" s="6"/>
      <c r="W522" s="6"/>
      <c r="X522" s="6"/>
      <c r="Y522" s="6"/>
    </row>
    <row r="523" spans="1:25" outlineLevel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outlineLevel="1">
      <c r="A529" s="6"/>
      <c r="B529" s="6"/>
      <c r="C529" s="6"/>
      <c r="D529" s="6"/>
      <c r="E529" s="6"/>
      <c r="F529" s="6"/>
      <c r="G529" s="3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outlineLevel="1">
      <c r="A530" s="17"/>
      <c r="B530" s="6"/>
      <c r="C530" s="6"/>
      <c r="D530" s="6"/>
      <c r="E530" s="6"/>
      <c r="F530" s="6"/>
      <c r="G530" s="31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6"/>
      <c r="T530" s="6"/>
      <c r="U530" s="6"/>
      <c r="V530" s="6"/>
      <c r="W530" s="6"/>
      <c r="X530" s="6"/>
      <c r="Y530" s="6"/>
    </row>
    <row r="531" spans="1:25" outlineLevel="1">
      <c r="A531" s="6"/>
      <c r="B531" s="6"/>
      <c r="C531" s="6"/>
      <c r="D531" s="6"/>
      <c r="E531" s="6"/>
      <c r="F531" s="6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188"/>
      <c r="B535" s="6"/>
      <c r="C535" s="6"/>
      <c r="D535" s="6"/>
      <c r="E535" s="6"/>
      <c r="F535" s="6"/>
      <c r="G535" s="3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6"/>
      <c r="T535" s="6"/>
      <c r="U535" s="6"/>
      <c r="V535" s="6"/>
      <c r="W535" s="6"/>
      <c r="X535" s="6"/>
      <c r="Y535" s="6"/>
    </row>
    <row r="536" spans="1:25" outlineLevel="1">
      <c r="A536" s="188"/>
      <c r="B536" s="6"/>
      <c r="C536" s="6"/>
      <c r="D536" s="6"/>
      <c r="E536" s="6"/>
      <c r="F536" s="6"/>
      <c r="G536" s="3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6"/>
      <c r="T536" s="6"/>
      <c r="U536" s="6"/>
      <c r="V536" s="6"/>
      <c r="W536" s="6"/>
      <c r="X536" s="6"/>
      <c r="Y536" s="6"/>
    </row>
    <row r="537" spans="1:25" outlineLevel="1">
      <c r="A537" s="17"/>
      <c r="B537" s="6"/>
      <c r="C537" s="6"/>
      <c r="D537" s="6"/>
      <c r="E537" s="6"/>
      <c r="F537" s="6"/>
      <c r="G537" s="3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outlineLevel="1">
      <c r="A538" s="6"/>
      <c r="B538" s="6"/>
      <c r="C538" s="6"/>
      <c r="D538" s="6"/>
      <c r="E538" s="6"/>
      <c r="F538" s="6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3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17"/>
      <c r="B540" s="6"/>
      <c r="C540" s="6"/>
      <c r="D540" s="6"/>
      <c r="E540" s="6"/>
      <c r="F540" s="6"/>
      <c r="G540" s="31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6"/>
      <c r="T540" s="6"/>
      <c r="U540" s="6"/>
      <c r="V540" s="6"/>
      <c r="W540" s="6"/>
      <c r="X540" s="6"/>
      <c r="Y540" s="6"/>
    </row>
    <row r="541" spans="1:25" outlineLevel="1">
      <c r="A541" s="6"/>
      <c r="B541" s="14"/>
      <c r="C541" s="14"/>
      <c r="D541" s="6"/>
      <c r="E541" s="6"/>
      <c r="F541" s="6"/>
      <c r="G541" s="3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6"/>
      <c r="T541" s="6"/>
      <c r="U541" s="6"/>
      <c r="V541" s="6"/>
      <c r="W541" s="6"/>
      <c r="X541" s="6"/>
      <c r="Y541" s="6"/>
    </row>
    <row r="542" spans="1:25" outlineLevel="1">
      <c r="A542" s="17"/>
      <c r="B542" s="6"/>
      <c r="C542" s="6"/>
      <c r="D542" s="6"/>
      <c r="E542" s="6"/>
      <c r="F542" s="6"/>
      <c r="G542" s="3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outlineLevel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s="67" customFormat="1" outlineLevel="1">
      <c r="A545" s="66"/>
      <c r="B545" s="66"/>
      <c r="C545" s="66"/>
      <c r="D545" s="66"/>
      <c r="E545" s="66"/>
      <c r="F545" s="66"/>
      <c r="G545" s="66"/>
    </row>
    <row r="546" spans="1:25" s="67" customFormat="1" outlineLevel="1">
      <c r="A546" s="66"/>
      <c r="B546" s="66"/>
      <c r="C546" s="66"/>
      <c r="D546" s="66"/>
      <c r="E546" s="66"/>
      <c r="F546" s="68"/>
      <c r="G546" s="69"/>
      <c r="H546" s="66"/>
      <c r="I546" s="70"/>
    </row>
    <row r="547" spans="1:25" s="67" customFormat="1" outlineLevel="1">
      <c r="A547" s="66"/>
      <c r="B547" s="69"/>
      <c r="C547" s="69"/>
      <c r="D547" s="69"/>
      <c r="E547" s="69"/>
      <c r="F547" s="71"/>
      <c r="G547" s="47"/>
      <c r="H547" s="47"/>
      <c r="I547" s="70"/>
    </row>
    <row r="548" spans="1:25" s="67" customFormat="1" outlineLevel="1">
      <c r="A548" s="66"/>
      <c r="B548" s="47"/>
      <c r="C548" s="47"/>
      <c r="D548" s="47"/>
      <c r="E548" s="47"/>
      <c r="F548" s="47"/>
      <c r="G548" s="70"/>
      <c r="H548" s="47"/>
      <c r="I548" s="71"/>
    </row>
    <row r="549" spans="1:25" s="67" customFormat="1" outlineLevel="1">
      <c r="A549" s="72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 spans="1:25" s="67" customFormat="1" outlineLevel="1">
      <c r="A550" s="40"/>
      <c r="B550" s="66"/>
      <c r="C550" s="66"/>
      <c r="D550" s="66"/>
      <c r="E550" s="66"/>
      <c r="F550" s="66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s="67" customFormat="1" outlineLevel="1">
      <c r="A551" s="39"/>
      <c r="B551" s="66"/>
      <c r="C551" s="66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74"/>
      <c r="C552" s="74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155"/>
      <c r="C553" s="155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8"/>
      <c r="B554" s="72"/>
      <c r="C554" s="72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27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40"/>
      <c r="B556" s="66"/>
      <c r="C556" s="66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76"/>
      <c r="B557" s="77"/>
      <c r="C557" s="7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42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40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39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39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40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39"/>
      <c r="B575" s="77"/>
      <c r="C575" s="7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 spans="1:25" s="67" customFormat="1" outlineLevel="1">
      <c r="A576" s="39"/>
      <c r="B576" s="80"/>
      <c r="C576" s="80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ht="13.9" customHeight="1" outlineLevel="1">
      <c r="A577" s="38"/>
      <c r="B577" s="80"/>
      <c r="C577" s="80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outlineLevel="1">
      <c r="A578" s="39"/>
      <c r="B578" s="74"/>
      <c r="C578" s="74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8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74"/>
      <c r="C581" s="74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74"/>
      <c r="C582" s="74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74"/>
      <c r="C583" s="74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40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40"/>
      <c r="B585" s="66"/>
      <c r="C585" s="66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39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39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82"/>
      <c r="C592" s="8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39"/>
      <c r="B593" s="82"/>
      <c r="C593" s="8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8"/>
      <c r="B594" s="80"/>
      <c r="C594" s="80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40"/>
      <c r="B595" s="66"/>
      <c r="C595" s="66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80"/>
      <c r="C598" s="80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outlineLevel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83"/>
      <c r="B606" s="6"/>
      <c r="C606" s="6"/>
      <c r="D606" s="6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3"/>
      <c r="B608" s="3"/>
      <c r="C608" s="3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idden="1" outlineLevel="2">
      <c r="A609" s="1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44"/>
      <c r="B610" s="6"/>
      <c r="C610" s="6"/>
      <c r="D610" s="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6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17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44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6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44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6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17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44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outlineLevel="1" collapsed="1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6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6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17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>
      <c r="A643" s="6"/>
      <c r="B643" s="6"/>
      <c r="C643" s="6"/>
      <c r="D643" s="6"/>
      <c r="E643" s="6"/>
      <c r="F643" s="6"/>
      <c r="G643" s="6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858"/>
  <sheetViews>
    <sheetView topLeftCell="A86" zoomScale="75" zoomScaleNormal="75" workbookViewId="0">
      <selection activeCell="A177" sqref="A177:C177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91</v>
      </c>
      <c r="C1" s="418">
        <v>28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>
        <f>[7]ASSUME2!F$35</f>
        <v>3670.9667854619702</v>
      </c>
      <c r="F10" s="163">
        <f>[7]ASSUME2!G$35</f>
        <v>3670.9667854619702</v>
      </c>
      <c r="G10" s="163">
        <f>[7]ASSUME2!H$35</f>
        <v>3670.9667854619702</v>
      </c>
      <c r="H10" s="163">
        <f>[7]ASSUME2!I$35</f>
        <v>3670.9667854619702</v>
      </c>
      <c r="I10" s="163">
        <f>[7]ASSUME2!J$35</f>
        <v>3670.9667854619702</v>
      </c>
      <c r="J10" s="163">
        <f>[7]ASSUME2!K$35</f>
        <v>3670.9667854619702</v>
      </c>
      <c r="K10" s="163">
        <f>[7]ASSUME2!L$35</f>
        <v>3670.9667854619702</v>
      </c>
      <c r="L10" s="163">
        <f>[7]ASSUME2!M$35</f>
        <v>3670.9667854619702</v>
      </c>
      <c r="M10" s="163">
        <f>[7]ASSUME2!N$35</f>
        <v>3670.9667854619702</v>
      </c>
      <c r="N10" s="163">
        <f>[7]ASSUME2!O$35</f>
        <v>3670.9667854619702</v>
      </c>
      <c r="O10" s="163">
        <f>[7]ASSUME2!P$35</f>
        <v>3670.9667854619702</v>
      </c>
      <c r="P10" s="163">
        <f>[7]ASSUME2!Q$35</f>
        <v>3670.9667854619702</v>
      </c>
      <c r="Q10" s="163">
        <f>[7]ASSUME2!R$35</f>
        <v>3670.9667854619702</v>
      </c>
      <c r="R10" s="163">
        <f>[7]ASSUME2!S$35</f>
        <v>3670.9667854619702</v>
      </c>
      <c r="S10" s="163">
        <f>[7]ASSUME2!T$35</f>
        <v>3670.9667854619702</v>
      </c>
      <c r="T10" s="163">
        <f>[7]ASSUME2!U$35</f>
        <v>3145.4366894851851</v>
      </c>
      <c r="U10" s="163">
        <f>[7]ASSUME2!V$35</f>
        <v>61.326747271944015</v>
      </c>
      <c r="V10" s="163">
        <f>[7]ASSUME2!W$35</f>
        <v>0</v>
      </c>
      <c r="W10" s="163">
        <f>[7]ASSUME2!X$35</f>
        <v>0</v>
      </c>
      <c r="X10" s="163">
        <f>[7]ASSUME2!Y$35</f>
        <v>0</v>
      </c>
      <c r="Y10" s="163">
        <f>[7]ASSUME2!Z$35</f>
        <v>0</v>
      </c>
      <c r="AA10" s="355">
        <f t="shared" ref="AA10:AA38" si="1">SUM(F10:Y10)</f>
        <v>54600.298433224707</v>
      </c>
      <c r="AB10" s="356">
        <f>AA10*$C$60</f>
        <v>27300.149216612353</v>
      </c>
    </row>
    <row r="11" spans="1:28">
      <c r="A11" s="4" t="s">
        <v>8</v>
      </c>
      <c r="B11" s="9"/>
      <c r="C11" s="9"/>
      <c r="D11" s="86">
        <v>1</v>
      </c>
      <c r="E11" s="163">
        <f>[7]ASSUME2!F$36</f>
        <v>5897.1771012570371</v>
      </c>
      <c r="F11" s="163">
        <f>[7]ASSUME2!G$36</f>
        <v>5716.3961435057472</v>
      </c>
      <c r="G11" s="163">
        <f>[7]ASSUME2!H$36</f>
        <v>5539.4873773973986</v>
      </c>
      <c r="H11" s="163">
        <f>[7]ASSUME2!I$36</f>
        <v>5733.6275785143134</v>
      </c>
      <c r="I11" s="163">
        <f>[7]ASSUME2!J$36</f>
        <v>5934.0126100762009</v>
      </c>
      <c r="J11" s="163">
        <f>[7]ASSUME2!K$36</f>
        <v>6140.8333759796124</v>
      </c>
      <c r="K11" s="163">
        <f>[7]ASSUME2!L$36</f>
        <v>6354.2864222968956</v>
      </c>
      <c r="L11" s="163">
        <f>[7]ASSUME2!M$36</f>
        <v>6399.1116936862609</v>
      </c>
      <c r="M11" s="163">
        <f>[7]ASSUME2!N$36</f>
        <v>6442.206799631158</v>
      </c>
      <c r="N11" s="163">
        <f>[7]ASSUME2!O$36</f>
        <v>6483.4572160647449</v>
      </c>
      <c r="O11" s="163">
        <f>[7]ASSUME2!P$36</f>
        <v>6522.7437740702435</v>
      </c>
      <c r="P11" s="163">
        <f>[7]ASSUME2!Q$36</f>
        <v>6659.2024722344167</v>
      </c>
      <c r="Q11" s="163">
        <f>[7]ASSUME2!R$36</f>
        <v>6798.4073904480074</v>
      </c>
      <c r="R11" s="163">
        <f>[7]ASSUME2!S$36</f>
        <v>6940.4105530271327</v>
      </c>
      <c r="S11" s="163">
        <f>[7]ASSUME2!T$36</f>
        <v>7085.2648691161812</v>
      </c>
      <c r="T11" s="163">
        <f>[7]ASSUME2!U$36</f>
        <v>7144.8328686362729</v>
      </c>
      <c r="U11" s="163">
        <f>[7]ASSUME2!V$36</f>
        <v>7202.9509775891702</v>
      </c>
      <c r="V11" s="163">
        <f>[7]ASSUME2!W$36</f>
        <v>7202.9509775891702</v>
      </c>
      <c r="W11" s="163">
        <f>[7]ASSUME2!X$36</f>
        <v>7314.3940456363507</v>
      </c>
      <c r="X11" s="163">
        <f>[7]ASSUME2!Y$36</f>
        <v>7497.2538967772571</v>
      </c>
      <c r="Y11" s="163">
        <f>[7]ASSUME2!Z$36</f>
        <v>7684.6852441966885</v>
      </c>
      <c r="AA11" s="355">
        <f t="shared" si="1"/>
        <v>132796.5162864732</v>
      </c>
      <c r="AB11" s="356">
        <f t="shared" ref="AB11:AB74" si="2">AA11*$C$60</f>
        <v>66398.258143236599</v>
      </c>
    </row>
    <row r="12" spans="1:28">
      <c r="A12" s="4" t="s">
        <v>9</v>
      </c>
      <c r="B12" s="9"/>
      <c r="C12" s="9"/>
      <c r="D12" s="86">
        <v>1</v>
      </c>
      <c r="E12" s="163">
        <v>0</v>
      </c>
      <c r="F12" s="163">
        <v>0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  <c r="M12" s="163">
        <v>0</v>
      </c>
      <c r="N12" s="163">
        <v>0</v>
      </c>
      <c r="O12" s="163">
        <v>0</v>
      </c>
      <c r="P12" s="163">
        <v>0</v>
      </c>
      <c r="Q12" s="163">
        <v>0</v>
      </c>
      <c r="R12" s="163">
        <v>0</v>
      </c>
      <c r="S12" s="163">
        <v>0</v>
      </c>
      <c r="T12" s="163">
        <v>0</v>
      </c>
      <c r="U12" s="163">
        <v>0</v>
      </c>
      <c r="V12" s="163">
        <v>0</v>
      </c>
      <c r="W12" s="163">
        <v>0</v>
      </c>
      <c r="X12" s="163">
        <v>0</v>
      </c>
      <c r="Y12" s="163">
        <v>0</v>
      </c>
      <c r="AA12" s="355">
        <f t="shared" si="1"/>
        <v>0</v>
      </c>
      <c r="AB12" s="356">
        <f t="shared" si="2"/>
        <v>0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>
        <v>0</v>
      </c>
      <c r="F16" s="163">
        <v>0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  <c r="M16" s="163">
        <v>0</v>
      </c>
      <c r="N16" s="163">
        <v>0</v>
      </c>
      <c r="O16" s="163">
        <v>0</v>
      </c>
      <c r="P16" s="163">
        <v>0</v>
      </c>
      <c r="Q16" s="163">
        <v>0</v>
      </c>
      <c r="R16" s="163">
        <v>0</v>
      </c>
      <c r="S16" s="163">
        <v>0</v>
      </c>
      <c r="T16" s="163">
        <v>0</v>
      </c>
      <c r="U16" s="163">
        <v>0</v>
      </c>
      <c r="V16" s="163">
        <v>0</v>
      </c>
      <c r="W16" s="163">
        <v>0</v>
      </c>
      <c r="X16" s="163">
        <v>0</v>
      </c>
      <c r="Y16" s="163">
        <v>0</v>
      </c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>
        <v>0</v>
      </c>
      <c r="F17" s="163">
        <v>0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  <c r="M17" s="163">
        <v>0</v>
      </c>
      <c r="N17" s="163">
        <v>0</v>
      </c>
      <c r="O17" s="163">
        <v>0</v>
      </c>
      <c r="P17" s="163">
        <v>0</v>
      </c>
      <c r="Q17" s="163">
        <v>0</v>
      </c>
      <c r="R17" s="163">
        <v>0</v>
      </c>
      <c r="S17" s="163">
        <v>0</v>
      </c>
      <c r="T17" s="163">
        <v>0</v>
      </c>
      <c r="U17" s="163">
        <v>0</v>
      </c>
      <c r="V17" s="163">
        <v>0</v>
      </c>
      <c r="W17" s="163">
        <v>0</v>
      </c>
      <c r="X17" s="163">
        <v>0</v>
      </c>
      <c r="Y17" s="163">
        <v>0</v>
      </c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9568.1438867190082</v>
      </c>
      <c r="F20" s="86">
        <f t="shared" si="3"/>
        <v>9387.3629289677174</v>
      </c>
      <c r="G20" s="86">
        <f t="shared" si="3"/>
        <v>9210.4541628593688</v>
      </c>
      <c r="H20" s="86">
        <f t="shared" si="3"/>
        <v>9404.5943639762845</v>
      </c>
      <c r="I20" s="86">
        <f t="shared" si="3"/>
        <v>9604.979395538172</v>
      </c>
      <c r="J20" s="86">
        <f t="shared" si="3"/>
        <v>9811.8001614415825</v>
      </c>
      <c r="K20" s="86">
        <f t="shared" si="3"/>
        <v>10025.253207758866</v>
      </c>
      <c r="L20" s="86">
        <f t="shared" si="3"/>
        <v>10070.078479148231</v>
      </c>
      <c r="M20" s="86">
        <f t="shared" si="3"/>
        <v>10113.173585093129</v>
      </c>
      <c r="N20" s="86">
        <f t="shared" si="3"/>
        <v>10154.424001526715</v>
      </c>
      <c r="O20" s="86">
        <f t="shared" si="3"/>
        <v>10193.710559532214</v>
      </c>
      <c r="P20" s="86">
        <f t="shared" si="3"/>
        <v>10330.169257696387</v>
      </c>
      <c r="Q20" s="86">
        <f t="shared" si="3"/>
        <v>10469.374175909978</v>
      </c>
      <c r="R20" s="86">
        <f t="shared" si="3"/>
        <v>10611.377338489103</v>
      </c>
      <c r="S20" s="86">
        <f t="shared" si="3"/>
        <v>10756.23165457815</v>
      </c>
      <c r="T20" s="86">
        <f t="shared" si="3"/>
        <v>10290.269558121458</v>
      </c>
      <c r="U20" s="86">
        <f t="shared" si="3"/>
        <v>7264.2777248611146</v>
      </c>
      <c r="V20" s="86">
        <f t="shared" si="3"/>
        <v>7202.9509775891702</v>
      </c>
      <c r="W20" s="86">
        <f t="shared" si="3"/>
        <v>7314.3940456363507</v>
      </c>
      <c r="X20" s="86">
        <f t="shared" si="3"/>
        <v>7497.2538967772571</v>
      </c>
      <c r="Y20" s="86">
        <f t="shared" si="3"/>
        <v>7684.6852441966885</v>
      </c>
      <c r="AA20" s="355">
        <f t="shared" si="1"/>
        <v>187396.81471969793</v>
      </c>
      <c r="AB20" s="356">
        <f t="shared" si="2"/>
        <v>93698.407359848963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43.40250770659194</v>
      </c>
      <c r="F23" s="417">
        <f>F25/$C$1</f>
        <v>47.189738492558284</v>
      </c>
      <c r="G23" s="417">
        <f>G25/$C$1</f>
        <v>48.335807940605676</v>
      </c>
      <c r="H23" s="417">
        <f>H25/$C$1</f>
        <v>49.361076612418266</v>
      </c>
      <c r="I23" s="417">
        <f t="shared" ref="I23:Y23" si="4">I25/$C$1</f>
        <v>51.096393184520089</v>
      </c>
      <c r="J23" s="417">
        <f t="shared" si="4"/>
        <v>51.487835497845026</v>
      </c>
      <c r="K23" s="417">
        <f t="shared" si="4"/>
        <v>55.467298543661393</v>
      </c>
      <c r="L23" s="417">
        <f t="shared" si="4"/>
        <v>54.158994768313264</v>
      </c>
      <c r="M23" s="417">
        <f t="shared" si="4"/>
        <v>54.351927060914235</v>
      </c>
      <c r="N23" s="417">
        <f t="shared" si="4"/>
        <v>55.265205792620527</v>
      </c>
      <c r="O23" s="417">
        <f t="shared" si="4"/>
        <v>56.87978016680453</v>
      </c>
      <c r="P23" s="417">
        <f t="shared" si="4"/>
        <v>60.158720992377845</v>
      </c>
      <c r="Q23" s="417">
        <f t="shared" si="4"/>
        <v>58.454872958320827</v>
      </c>
      <c r="R23" s="417">
        <f t="shared" si="4"/>
        <v>60.319997897559297</v>
      </c>
      <c r="S23" s="417">
        <f t="shared" si="4"/>
        <v>60.840018179335274</v>
      </c>
      <c r="T23" s="417">
        <f t="shared" si="4"/>
        <v>62.164465304683901</v>
      </c>
      <c r="U23" s="417">
        <f t="shared" si="4"/>
        <v>60.730636798225433</v>
      </c>
      <c r="V23" s="417">
        <f t="shared" si="4"/>
        <v>58.150317130126673</v>
      </c>
      <c r="W23" s="417">
        <f t="shared" si="4"/>
        <v>59.444896541999967</v>
      </c>
      <c r="X23" s="417">
        <f t="shared" si="4"/>
        <v>61.569974283291529</v>
      </c>
      <c r="Y23" s="417">
        <f t="shared" si="4"/>
        <v>62.357251537272944</v>
      </c>
      <c r="AA23" s="355">
        <f t="shared" si="1"/>
        <v>1127.7852096834552</v>
      </c>
      <c r="AB23" s="356">
        <f t="shared" si="2"/>
        <v>563.89260484172758</v>
      </c>
    </row>
    <row r="24" spans="1:28">
      <c r="A24" s="4" t="s">
        <v>36</v>
      </c>
      <c r="D24" s="86">
        <v>0</v>
      </c>
      <c r="E24" s="163">
        <v>0</v>
      </c>
      <c r="F24" s="163">
        <v>0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  <c r="M24" s="163">
        <v>0</v>
      </c>
      <c r="N24" s="163">
        <v>0</v>
      </c>
      <c r="O24" s="163">
        <v>0</v>
      </c>
      <c r="P24" s="163">
        <v>0</v>
      </c>
      <c r="Q24" s="163">
        <v>0</v>
      </c>
      <c r="R24" s="163">
        <v>0</v>
      </c>
      <c r="S24" s="163">
        <v>0</v>
      </c>
      <c r="T24" s="163">
        <v>0</v>
      </c>
      <c r="U24" s="163">
        <v>0</v>
      </c>
      <c r="V24" s="163">
        <v>0</v>
      </c>
      <c r="W24" s="163">
        <v>0</v>
      </c>
      <c r="X24" s="163">
        <v>0</v>
      </c>
      <c r="Y24" s="163">
        <v>0</v>
      </c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[7]FINANCIALS!F$14+[7]FINANCIALS!F$17</f>
        <v>1215.2702157845742</v>
      </c>
      <c r="F25" s="163">
        <f>[7]FINANCIALS!G$14+[7]FINANCIALS!G$17</f>
        <v>1321.312677791632</v>
      </c>
      <c r="G25" s="163">
        <f>[7]FINANCIALS!H$14+[7]FINANCIALS!H$17</f>
        <v>1353.402622336959</v>
      </c>
      <c r="H25" s="163">
        <f>[7]FINANCIALS!I$14+[7]FINANCIALS!I$17</f>
        <v>1382.1101451477114</v>
      </c>
      <c r="I25" s="163">
        <f>[7]FINANCIALS!J$14+[7]FINANCIALS!J$17</f>
        <v>1430.6990091665625</v>
      </c>
      <c r="J25" s="163">
        <f>[7]FINANCIALS!K$14+[7]FINANCIALS!K$17</f>
        <v>1441.6593939396607</v>
      </c>
      <c r="K25" s="163">
        <f>[7]FINANCIALS!L$14+[7]FINANCIALS!L$17</f>
        <v>1553.084359222519</v>
      </c>
      <c r="L25" s="163">
        <f>[7]FINANCIALS!M$14+[7]FINANCIALS!M$17</f>
        <v>1516.4518535127713</v>
      </c>
      <c r="M25" s="163">
        <f>[7]FINANCIALS!N$14+[7]FINANCIALS!N$17</f>
        <v>1521.8539577055985</v>
      </c>
      <c r="N25" s="163">
        <f>[7]FINANCIALS!O$14+[7]FINANCIALS!O$17</f>
        <v>1547.4257621933748</v>
      </c>
      <c r="O25" s="163">
        <f>[7]FINANCIALS!P$14+[7]FINANCIALS!P$17</f>
        <v>1592.6338446705267</v>
      </c>
      <c r="P25" s="163">
        <f>[7]FINANCIALS!Q$14+[7]FINANCIALS!Q$17</f>
        <v>1684.4441877865797</v>
      </c>
      <c r="Q25" s="163">
        <f>[7]FINANCIALS!R$14+[7]FINANCIALS!R$17</f>
        <v>1636.7364428329831</v>
      </c>
      <c r="R25" s="163">
        <f>[7]FINANCIALS!S$14+[7]FINANCIALS!S$17</f>
        <v>1688.9599411316603</v>
      </c>
      <c r="S25" s="163">
        <f>[7]FINANCIALS!T$14+[7]FINANCIALS!T$17</f>
        <v>1703.5205090213876</v>
      </c>
      <c r="T25" s="163">
        <f>[7]FINANCIALS!U$14+[7]FINANCIALS!U$17</f>
        <v>1740.6050285311492</v>
      </c>
      <c r="U25" s="163">
        <f>[7]FINANCIALS!V$14+[7]FINANCIALS!V$17</f>
        <v>1700.4578303503122</v>
      </c>
      <c r="V25" s="163">
        <f>[7]FINANCIALS!W$14+[7]FINANCIALS!W$17</f>
        <v>1628.2088796435469</v>
      </c>
      <c r="W25" s="163">
        <f>[7]FINANCIALS!X$14+[7]FINANCIALS!X$17</f>
        <v>1664.457103175999</v>
      </c>
      <c r="X25" s="163">
        <f>[7]FINANCIALS!Y$14+[7]FINANCIALS!Y$17</f>
        <v>1723.9592799321629</v>
      </c>
      <c r="Y25" s="163">
        <f>[7]FINANCIALS!Z$14+[7]FINANCIALS!Z$17</f>
        <v>1746.0030430436425</v>
      </c>
      <c r="AA25" s="355">
        <f t="shared" si="1"/>
        <v>31577.985871136731</v>
      </c>
      <c r="AB25" s="356">
        <f t="shared" si="2"/>
        <v>15788.992935568365</v>
      </c>
    </row>
    <row r="26" spans="1:28">
      <c r="A26" s="4" t="s">
        <v>16</v>
      </c>
      <c r="D26" s="86">
        <v>0</v>
      </c>
      <c r="E26" s="163">
        <v>0</v>
      </c>
      <c r="F26" s="163">
        <v>0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163">
        <v>0</v>
      </c>
      <c r="N26" s="163">
        <v>0</v>
      </c>
      <c r="O26" s="163">
        <v>0</v>
      </c>
      <c r="P26" s="163">
        <v>0</v>
      </c>
      <c r="Q26" s="163">
        <v>0</v>
      </c>
      <c r="R26" s="163">
        <v>0</v>
      </c>
      <c r="S26" s="163">
        <v>0</v>
      </c>
      <c r="T26" s="163">
        <v>0</v>
      </c>
      <c r="U26" s="163">
        <v>0</v>
      </c>
      <c r="V26" s="163">
        <v>0</v>
      </c>
      <c r="W26" s="163">
        <v>0</v>
      </c>
      <c r="X26" s="163">
        <v>0</v>
      </c>
      <c r="Y26" s="163">
        <v>0</v>
      </c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>
        <v>0</v>
      </c>
      <c r="F27" s="163">
        <v>0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163">
        <v>0</v>
      </c>
      <c r="N27" s="163">
        <v>0</v>
      </c>
      <c r="O27" s="163">
        <v>0</v>
      </c>
      <c r="P27" s="163">
        <v>0</v>
      </c>
      <c r="Q27" s="163">
        <v>0</v>
      </c>
      <c r="R27" s="163">
        <v>0</v>
      </c>
      <c r="S27" s="163">
        <v>0</v>
      </c>
      <c r="T27" s="163">
        <v>0</v>
      </c>
      <c r="U27" s="163">
        <v>0</v>
      </c>
      <c r="V27" s="163">
        <v>0</v>
      </c>
      <c r="W27" s="163">
        <v>0</v>
      </c>
      <c r="X27" s="163">
        <v>0</v>
      </c>
      <c r="Y27" s="163">
        <v>0</v>
      </c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>
        <f>[7]FINANCIALS!F$19</f>
        <v>103.3815</v>
      </c>
      <c r="F28" s="163">
        <f>[7]FINANCIALS!G$19</f>
        <v>105.9660375</v>
      </c>
      <c r="G28" s="163">
        <f>[7]FINANCIALS!H$19</f>
        <v>108.61518843749998</v>
      </c>
      <c r="H28" s="163">
        <f>[7]FINANCIALS!I$19</f>
        <v>111.33056814843748</v>
      </c>
      <c r="I28" s="163">
        <f>[7]FINANCIALS!J$19</f>
        <v>114.11383235214841</v>
      </c>
      <c r="J28" s="163">
        <f>[7]FINANCIALS!K$19</f>
        <v>116.9666781609521</v>
      </c>
      <c r="K28" s="163">
        <f>[7]FINANCIALS!L$19</f>
        <v>119.89084511497589</v>
      </c>
      <c r="L28" s="163">
        <f>[7]FINANCIALS!M$19</f>
        <v>122.88811624285026</v>
      </c>
      <c r="M28" s="163">
        <f>[7]FINANCIALS!N$19</f>
        <v>125.9603191489215</v>
      </c>
      <c r="N28" s="163">
        <f>[7]FINANCIALS!O$19</f>
        <v>129.10932712764455</v>
      </c>
      <c r="O28" s="163">
        <f>[7]FINANCIALS!P$19</f>
        <v>132.33706030583565</v>
      </c>
      <c r="P28" s="163">
        <f>[7]FINANCIALS!Q$19</f>
        <v>135.64548681348154</v>
      </c>
      <c r="Q28" s="163">
        <f>[7]FINANCIALS!R$19</f>
        <v>139.03662398381854</v>
      </c>
      <c r="R28" s="163">
        <f>[7]FINANCIALS!S$19</f>
        <v>142.512539583414</v>
      </c>
      <c r="S28" s="163">
        <f>[7]FINANCIALS!T$19</f>
        <v>146.07535307299932</v>
      </c>
      <c r="T28" s="163">
        <f>[7]FINANCIALS!U$19</f>
        <v>149.72723689982431</v>
      </c>
      <c r="U28" s="163">
        <f>[7]FINANCIALS!V$19</f>
        <v>153.47041782231989</v>
      </c>
      <c r="V28" s="163">
        <f>[7]FINANCIALS!W$19</f>
        <v>157.30717826787787</v>
      </c>
      <c r="W28" s="163">
        <f>[7]FINANCIALS!X$19</f>
        <v>161.23985772457479</v>
      </c>
      <c r="X28" s="163">
        <f>[7]FINANCIALS!Y$19</f>
        <v>165.27085416768915</v>
      </c>
      <c r="Y28" s="163">
        <f>[7]FINANCIALS!Z$19</f>
        <v>169.40262552188136</v>
      </c>
      <c r="AA28" s="355">
        <f t="shared" si="1"/>
        <v>2706.8661463971471</v>
      </c>
      <c r="AB28" s="356">
        <f t="shared" si="2"/>
        <v>1353.4330731985735</v>
      </c>
    </row>
    <row r="29" spans="1:28">
      <c r="A29" s="4" t="s">
        <v>3</v>
      </c>
      <c r="D29" s="86">
        <v>0</v>
      </c>
      <c r="E29" s="163">
        <f>[7]FINANCIALS!F$20+[7]FINANCIALS!F$22</f>
        <v>78.796874999999986</v>
      </c>
      <c r="F29" s="163">
        <f>[7]FINANCIALS!G$20+[7]FINANCIALS!G$22</f>
        <v>80.766796874999997</v>
      </c>
      <c r="G29" s="163">
        <f>[7]FINANCIALS!H$20+[7]FINANCIALS!H$22</f>
        <v>82.785966796874987</v>
      </c>
      <c r="H29" s="163">
        <f>[7]FINANCIALS!I$20+[7]FINANCIALS!I$22</f>
        <v>84.855615966796847</v>
      </c>
      <c r="I29" s="163">
        <f>[7]FINANCIALS!J$20+[7]FINANCIALS!J$22</f>
        <v>86.977006365966758</v>
      </c>
      <c r="J29" s="163">
        <f>[7]FINANCIALS!K$20+[7]FINANCIALS!K$22</f>
        <v>89.151431525115925</v>
      </c>
      <c r="K29" s="163">
        <f>[7]FINANCIALS!L$20+[7]FINANCIALS!L$22</f>
        <v>91.380217313243804</v>
      </c>
      <c r="L29" s="163">
        <f>[7]FINANCIALS!M$20+[7]FINANCIALS!M$22</f>
        <v>93.664722746074887</v>
      </c>
      <c r="M29" s="163">
        <f>[7]FINANCIALS!N$20+[7]FINANCIALS!N$22</f>
        <v>96.006340814726741</v>
      </c>
      <c r="N29" s="163">
        <f>[7]FINANCIALS!O$20+[7]FINANCIALS!O$22</f>
        <v>98.406499335094907</v>
      </c>
      <c r="O29" s="163">
        <f>[7]FINANCIALS!P$20+[7]FINANCIALS!P$22</f>
        <v>100.86666181847228</v>
      </c>
      <c r="P29" s="163">
        <f>[7]FINANCIALS!Q$20+[7]FINANCIALS!Q$22</f>
        <v>103.38832836393409</v>
      </c>
      <c r="Q29" s="163">
        <f>[7]FINANCIALS!R$20+[7]FINANCIALS!R$22</f>
        <v>105.97303657303242</v>
      </c>
      <c r="R29" s="163">
        <f>[7]FINANCIALS!S$20+[7]FINANCIALS!S$22</f>
        <v>108.62236248735823</v>
      </c>
      <c r="S29" s="163">
        <f>[7]FINANCIALS!T$20+[7]FINANCIALS!T$22</f>
        <v>37.112640516514055</v>
      </c>
      <c r="T29" s="163">
        <f>[7]FINANCIALS!U$20+[7]FINANCIALS!U$22</f>
        <v>38.040456529426905</v>
      </c>
      <c r="U29" s="163">
        <f>[7]FINANCIALS!V$20+[7]FINANCIALS!V$22</f>
        <v>38.991467942662574</v>
      </c>
      <c r="V29" s="163">
        <f>[7]FINANCIALS!W$20+[7]FINANCIALS!W$22</f>
        <v>39.966254641229135</v>
      </c>
      <c r="W29" s="163">
        <f>[7]FINANCIALS!X$20+[7]FINANCIALS!X$22</f>
        <v>40.965411007259853</v>
      </c>
      <c r="X29" s="163">
        <f>[7]FINANCIALS!Y$20+[7]FINANCIALS!Y$22</f>
        <v>41.989546282441346</v>
      </c>
      <c r="Y29" s="163">
        <f>[7]FINANCIALS!Z$20+[7]FINANCIALS!Z$22</f>
        <v>43.039284939502373</v>
      </c>
      <c r="AA29" s="355">
        <f t="shared" si="1"/>
        <v>1502.9500488407282</v>
      </c>
      <c r="AB29" s="356">
        <f t="shared" si="2"/>
        <v>751.47502442036409</v>
      </c>
    </row>
    <row r="30" spans="1:28">
      <c r="A30" s="4" t="s">
        <v>38</v>
      </c>
      <c r="D30" s="86">
        <v>0</v>
      </c>
      <c r="E30" s="163">
        <f>[7]FINANCIALS!F$18</f>
        <v>16.053549999999998</v>
      </c>
      <c r="F30" s="163">
        <f>[7]FINANCIALS!G$18</f>
        <v>16.454888749999999</v>
      </c>
      <c r="G30" s="163">
        <f>[7]FINANCIALS!H$18</f>
        <v>16.866260968749994</v>
      </c>
      <c r="H30" s="163">
        <f>[7]FINANCIALS!I$18</f>
        <v>17.287917492968745</v>
      </c>
      <c r="I30" s="163">
        <f>[7]FINANCIALS!J$18</f>
        <v>17.72011543029296</v>
      </c>
      <c r="J30" s="163">
        <f>[7]FINANCIALS!K$18</f>
        <v>18.163118316050284</v>
      </c>
      <c r="K30" s="163">
        <f>[7]FINANCIALS!L$18</f>
        <v>18.617196273951539</v>
      </c>
      <c r="L30" s="163">
        <f>[7]FINANCIALS!M$18</f>
        <v>19.082626180800325</v>
      </c>
      <c r="M30" s="163">
        <f>[7]FINANCIALS!N$18</f>
        <v>19.559691835320329</v>
      </c>
      <c r="N30" s="163">
        <f>[7]FINANCIALS!O$18</f>
        <v>20.048684131203338</v>
      </c>
      <c r="O30" s="163">
        <f>[7]FINANCIALS!P$18</f>
        <v>20.549901234483418</v>
      </c>
      <c r="P30" s="163">
        <f>[7]FINANCIALS!Q$18</f>
        <v>21.063648765345505</v>
      </c>
      <c r="Q30" s="163">
        <f>[7]FINANCIALS!R$18</f>
        <v>21.590239984479137</v>
      </c>
      <c r="R30" s="163">
        <f>[7]FINANCIALS!S$18</f>
        <v>22.129995984091114</v>
      </c>
      <c r="S30" s="163">
        <f>[7]FINANCIALS!T$18</f>
        <v>22.683245883693392</v>
      </c>
      <c r="T30" s="163">
        <f>[7]FINANCIALS!U$18</f>
        <v>23.250327030785723</v>
      </c>
      <c r="U30" s="163">
        <f>[7]FINANCIALS!V$18</f>
        <v>23.831585206555363</v>
      </c>
      <c r="V30" s="163">
        <f>[7]FINANCIALS!W$18</f>
        <v>24.427374836719245</v>
      </c>
      <c r="W30" s="163">
        <f>[7]FINANCIALS!X$18</f>
        <v>25.038059207637222</v>
      </c>
      <c r="X30" s="163">
        <f>[7]FINANCIALS!Y$18</f>
        <v>25.664010687828149</v>
      </c>
      <c r="Y30" s="163">
        <f>[7]FINANCIALS!Z$18</f>
        <v>26.305610955023852</v>
      </c>
      <c r="AA30" s="355">
        <f t="shared" si="1"/>
        <v>420.33449915597964</v>
      </c>
      <c r="AB30" s="356">
        <f t="shared" si="2"/>
        <v>210.16724957798982</v>
      </c>
    </row>
    <row r="31" spans="1:28">
      <c r="A31" s="4" t="s">
        <v>33</v>
      </c>
      <c r="D31" s="86">
        <v>0</v>
      </c>
      <c r="E31" s="163">
        <f>[7]FINANCIALS!F$15+[7]FINANCIALS!F$16</f>
        <v>460.29556585828755</v>
      </c>
      <c r="F31" s="163">
        <f>[7]FINANCIALS!G$15+[7]FINANCIALS!G$16</f>
        <v>406.67182707552416</v>
      </c>
      <c r="G31" s="163">
        <f>[7]FINANCIALS!H$15+[7]FINANCIALS!H$16</f>
        <v>358.51752774399682</v>
      </c>
      <c r="H31" s="163">
        <f>[7]FINANCIALS!I$15+[7]FINANCIALS!I$16</f>
        <v>310.38104004725477</v>
      </c>
      <c r="I31" s="163">
        <f>[7]FINANCIALS!J$15+[7]FINANCIALS!J$16</f>
        <v>267.71467981217626</v>
      </c>
      <c r="J31" s="163">
        <f>[7]FINANCIALS!K$15+[7]FINANCIALS!K$16</f>
        <v>241.42273813851367</v>
      </c>
      <c r="K31" s="163">
        <f>[7]FINANCIALS!L$15+[7]FINANCIALS!L$16</f>
        <v>220.60163903096472</v>
      </c>
      <c r="L31" s="163">
        <f>[7]FINANCIALS!M$15+[7]FINANCIALS!M$16</f>
        <v>216.15568753381851</v>
      </c>
      <c r="M31" s="163">
        <f>[7]FINANCIALS!N$15+[7]FINANCIALS!N$16</f>
        <v>217.18132186822797</v>
      </c>
      <c r="N31" s="163">
        <f>[7]FINANCIALS!O$15+[7]FINANCIALS!O$16</f>
        <v>218.22695607215843</v>
      </c>
      <c r="O31" s="163">
        <f>[7]FINANCIALS!P$15+[7]FINANCIALS!P$16</f>
        <v>219.29298014306551</v>
      </c>
      <c r="P31" s="163">
        <f>[7]FINANCIALS!Q$15+[7]FINANCIALS!Q$16</f>
        <v>220.37979168335528</v>
      </c>
      <c r="Q31" s="163">
        <f>[7]FINANCIALS!R$15+[7]FINANCIALS!R$16</f>
        <v>221.48779604868074</v>
      </c>
      <c r="R31" s="163">
        <f>[7]FINANCIALS!S$15+[7]FINANCIALS!S$16</f>
        <v>222.61740649913</v>
      </c>
      <c r="S31" s="163">
        <f>[7]FINANCIALS!T$15+[7]FINANCIALS!T$16</f>
        <v>223.76904435336303</v>
      </c>
      <c r="T31" s="163">
        <f>[7]FINANCIALS!U$15+[7]FINANCIALS!U$16</f>
        <v>224.94313914575361</v>
      </c>
      <c r="U31" s="163">
        <f>[7]FINANCIALS!V$15+[7]FINANCIALS!V$16</f>
        <v>226.14012878659582</v>
      </c>
      <c r="V31" s="163">
        <f>[7]FINANCIALS!W$15+[7]FINANCIALS!W$16</f>
        <v>227.36045972543445</v>
      </c>
      <c r="W31" s="163">
        <f>[7]FINANCIALS!X$15+[7]FINANCIALS!X$16</f>
        <v>228.60458711758042</v>
      </c>
      <c r="X31" s="163">
        <f>[7]FINANCIALS!Y$15+[7]FINANCIALS!Y$16</f>
        <v>229.87297499387324</v>
      </c>
      <c r="Y31" s="163">
        <f>[7]FINANCIALS!Z$15+[7]FINANCIALS!Z$16</f>
        <v>231.16609643375378</v>
      </c>
      <c r="AA31" s="355">
        <f t="shared" si="1"/>
        <v>4932.5078222532202</v>
      </c>
      <c r="AB31" s="356">
        <f t="shared" si="2"/>
        <v>2466.2539111266101</v>
      </c>
    </row>
    <row r="32" spans="1:28">
      <c r="A32" s="4" t="s">
        <v>34</v>
      </c>
      <c r="D32" s="86">
        <v>0</v>
      </c>
      <c r="E32" s="163">
        <v>0</v>
      </c>
      <c r="F32" s="163">
        <v>0</v>
      </c>
      <c r="G32" s="163">
        <v>0</v>
      </c>
      <c r="H32" s="163">
        <v>0</v>
      </c>
      <c r="I32" s="163">
        <v>0</v>
      </c>
      <c r="J32" s="163">
        <v>0</v>
      </c>
      <c r="K32" s="163">
        <v>0</v>
      </c>
      <c r="L32" s="163">
        <v>0</v>
      </c>
      <c r="M32" s="163">
        <v>0</v>
      </c>
      <c r="N32" s="163">
        <v>0</v>
      </c>
      <c r="O32" s="163">
        <v>0</v>
      </c>
      <c r="P32" s="163">
        <v>0</v>
      </c>
      <c r="Q32" s="163">
        <v>0</v>
      </c>
      <c r="R32" s="163">
        <v>0</v>
      </c>
      <c r="S32" s="163">
        <v>0</v>
      </c>
      <c r="T32" s="163">
        <v>0</v>
      </c>
      <c r="U32" s="163">
        <v>0</v>
      </c>
      <c r="V32" s="163">
        <v>0</v>
      </c>
      <c r="W32" s="163">
        <v>0</v>
      </c>
      <c r="X32" s="163">
        <v>0</v>
      </c>
      <c r="Y32" s="163">
        <v>0</v>
      </c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AA34" s="355">
        <f t="shared" si="1"/>
        <v>0</v>
      </c>
      <c r="AB34" s="356">
        <f t="shared" si="2"/>
        <v>0</v>
      </c>
    </row>
    <row r="35" spans="1:28">
      <c r="A35" s="4" t="s">
        <v>19</v>
      </c>
      <c r="B35" s="6"/>
      <c r="C35" s="6"/>
      <c r="D35" s="87">
        <v>0</v>
      </c>
      <c r="E35" s="166">
        <f>[7]FINANCIALS!F$23</f>
        <v>105.06249999999999</v>
      </c>
      <c r="F35" s="166">
        <f>[7]FINANCIALS!G$23</f>
        <v>107.68906249999999</v>
      </c>
      <c r="G35" s="166">
        <f>[7]FINANCIALS!H$23</f>
        <v>110.38128906249997</v>
      </c>
      <c r="H35" s="166">
        <f>[7]FINANCIALS!I$23</f>
        <v>113.14082128906247</v>
      </c>
      <c r="I35" s="166">
        <f>[7]FINANCIALS!J$23</f>
        <v>115.96934182128902</v>
      </c>
      <c r="J35" s="166">
        <f>[7]FINANCIALS!K$23</f>
        <v>118.86857536682123</v>
      </c>
      <c r="K35" s="166">
        <f>[7]FINANCIALS!L$23</f>
        <v>121.84028975099174</v>
      </c>
      <c r="L35" s="166">
        <f>[7]FINANCIALS!M$23</f>
        <v>124.88629699476652</v>
      </c>
      <c r="M35" s="166">
        <f>[7]FINANCIALS!N$23</f>
        <v>128.00845441963565</v>
      </c>
      <c r="N35" s="166">
        <f>[7]FINANCIALS!O$23</f>
        <v>131.20866578012655</v>
      </c>
      <c r="O35" s="166">
        <f>[7]FINANCIALS!P$23</f>
        <v>134.48888242462971</v>
      </c>
      <c r="P35" s="166">
        <f>[7]FINANCIALS!Q$23</f>
        <v>137.85110448524546</v>
      </c>
      <c r="Q35" s="166">
        <f>[7]FINANCIALS!R$23</f>
        <v>141.29738209737656</v>
      </c>
      <c r="R35" s="166">
        <f>[7]FINANCIALS!S$23</f>
        <v>144.82981664981097</v>
      </c>
      <c r="S35" s="166">
        <f>[7]FINANCIALS!T$23</f>
        <v>148.45056206605622</v>
      </c>
      <c r="T35" s="166">
        <f>[7]FINANCIALS!U$23</f>
        <v>152.16182611770762</v>
      </c>
      <c r="U35" s="166">
        <f>[7]FINANCIALS!V$23</f>
        <v>155.9658717706503</v>
      </c>
      <c r="V35" s="166">
        <f>[7]FINANCIALS!W$23</f>
        <v>159.86501856491654</v>
      </c>
      <c r="W35" s="166">
        <f>[7]FINANCIALS!X$23</f>
        <v>163.86164402903941</v>
      </c>
      <c r="X35" s="166">
        <f>[7]FINANCIALS!Y$23</f>
        <v>167.95818512976538</v>
      </c>
      <c r="Y35" s="166">
        <f>[7]FINANCIALS!Z$23</f>
        <v>172.15713975800949</v>
      </c>
      <c r="AA35" s="355">
        <f t="shared" si="1"/>
        <v>2750.8802300784009</v>
      </c>
      <c r="AB35" s="356">
        <f t="shared" si="2"/>
        <v>1375.4401150392005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1978.8602066428618</v>
      </c>
      <c r="F36" s="86">
        <f t="shared" si="5"/>
        <v>2038.8612904921563</v>
      </c>
      <c r="G36" s="86">
        <f t="shared" si="5"/>
        <v>2030.5688553465807</v>
      </c>
      <c r="H36" s="86">
        <f t="shared" si="5"/>
        <v>2019.1061080922318</v>
      </c>
      <c r="I36" s="86">
        <f t="shared" si="5"/>
        <v>2033.1939849484359</v>
      </c>
      <c r="J36" s="86">
        <f t="shared" si="5"/>
        <v>2026.231935447114</v>
      </c>
      <c r="K36" s="86">
        <f t="shared" si="5"/>
        <v>2125.4145467066464</v>
      </c>
      <c r="L36" s="86">
        <f t="shared" si="5"/>
        <v>2093.1293032110816</v>
      </c>
      <c r="M36" s="86">
        <f t="shared" si="5"/>
        <v>2108.5700857924312</v>
      </c>
      <c r="N36" s="86">
        <f t="shared" si="5"/>
        <v>2144.4258946396026</v>
      </c>
      <c r="O36" s="86">
        <f t="shared" si="5"/>
        <v>2200.1693305970134</v>
      </c>
      <c r="P36" s="86">
        <f t="shared" si="5"/>
        <v>2302.7725478979414</v>
      </c>
      <c r="Q36" s="86">
        <f t="shared" si="5"/>
        <v>2266.1215215203706</v>
      </c>
      <c r="R36" s="86">
        <f t="shared" si="5"/>
        <v>2329.6720623354649</v>
      </c>
      <c r="S36" s="86">
        <f t="shared" si="5"/>
        <v>2281.6113549140136</v>
      </c>
      <c r="T36" s="86">
        <f t="shared" si="5"/>
        <v>2328.7280142546474</v>
      </c>
      <c r="U36" s="86">
        <f t="shared" si="5"/>
        <v>2298.8573018790962</v>
      </c>
      <c r="V36" s="86">
        <f t="shared" si="5"/>
        <v>2237.1351656797242</v>
      </c>
      <c r="W36" s="86">
        <f t="shared" si="5"/>
        <v>2284.1666622620905</v>
      </c>
      <c r="X36" s="86">
        <f t="shared" si="5"/>
        <v>2354.7148511937598</v>
      </c>
      <c r="Y36" s="86">
        <f t="shared" si="5"/>
        <v>2388.0738006518136</v>
      </c>
      <c r="AA36" s="355">
        <f t="shared" si="1"/>
        <v>43891.524617862226</v>
      </c>
      <c r="AB36" s="356">
        <f t="shared" si="2"/>
        <v>21945.762308931113</v>
      </c>
    </row>
    <row r="37" spans="1:28" outlineLevel="1">
      <c r="A37" s="4"/>
      <c r="B37" s="92"/>
      <c r="C37" s="92"/>
      <c r="D37" s="86"/>
      <c r="E37" s="416">
        <f>E36/E20</f>
        <v>0.20681756358091608</v>
      </c>
      <c r="F37" s="416">
        <f t="shared" ref="F37:Y37" si="6">F36/F20</f>
        <v>0.21719212370074628</v>
      </c>
      <c r="G37" s="416">
        <f t="shared" si="6"/>
        <v>0.22046348849275357</v>
      </c>
      <c r="H37" s="416">
        <f t="shared" si="6"/>
        <v>0.2146935880431263</v>
      </c>
      <c r="I37" s="416">
        <f t="shared" si="6"/>
        <v>0.21168124378204509</v>
      </c>
      <c r="J37" s="416">
        <f t="shared" si="6"/>
        <v>0.20650970281781739</v>
      </c>
      <c r="K37" s="416">
        <f t="shared" si="6"/>
        <v>0.21200607133411054</v>
      </c>
      <c r="L37" s="416">
        <f t="shared" si="6"/>
        <v>0.2078563049478962</v>
      </c>
      <c r="M37" s="416">
        <f t="shared" si="6"/>
        <v>0.20849736910483516</v>
      </c>
      <c r="N37" s="416">
        <f t="shared" si="6"/>
        <v>0.21118144114498161</v>
      </c>
      <c r="O37" s="416">
        <f t="shared" si="6"/>
        <v>0.21583596255238177</v>
      </c>
      <c r="P37" s="416">
        <f t="shared" si="6"/>
        <v>0.22291721369253309</v>
      </c>
      <c r="Q37" s="416">
        <f t="shared" si="6"/>
        <v>0.21645243387467367</v>
      </c>
      <c r="R37" s="416">
        <f t="shared" si="6"/>
        <v>0.21954473844647715</v>
      </c>
      <c r="S37" s="416">
        <f t="shared" si="6"/>
        <v>0.21211995317550608</v>
      </c>
      <c r="T37" s="416">
        <f t="shared" si="6"/>
        <v>0.22630388845516006</v>
      </c>
      <c r="U37" s="416">
        <f t="shared" si="6"/>
        <v>0.31646054693249603</v>
      </c>
      <c r="V37" s="416">
        <f t="shared" si="6"/>
        <v>0.31058592133143936</v>
      </c>
      <c r="W37" s="416">
        <f t="shared" si="6"/>
        <v>0.31228378564384118</v>
      </c>
      <c r="X37" s="416">
        <f t="shared" si="6"/>
        <v>0.31407697853289313</v>
      </c>
      <c r="Y37" s="416">
        <f t="shared" si="6"/>
        <v>0.3107575293933133</v>
      </c>
      <c r="AA37" s="355">
        <f t="shared" si="1"/>
        <v>4.7874202853990262</v>
      </c>
      <c r="AB37" s="356">
        <f t="shared" si="2"/>
        <v>2.3937101426995131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7589.2836800761461</v>
      </c>
      <c r="F39" s="89">
        <f t="shared" si="7"/>
        <v>7348.5016384755609</v>
      </c>
      <c r="G39" s="89">
        <f t="shared" si="7"/>
        <v>7179.8853075127881</v>
      </c>
      <c r="H39" s="89">
        <f t="shared" si="7"/>
        <v>7385.4882558840527</v>
      </c>
      <c r="I39" s="89">
        <f t="shared" si="7"/>
        <v>7571.7854105897359</v>
      </c>
      <c r="J39" s="89">
        <f t="shared" si="7"/>
        <v>7785.5682259944688</v>
      </c>
      <c r="K39" s="89">
        <f t="shared" si="7"/>
        <v>7899.8386610522193</v>
      </c>
      <c r="L39" s="89">
        <f t="shared" si="7"/>
        <v>7976.9491759371494</v>
      </c>
      <c r="M39" s="89">
        <f t="shared" si="7"/>
        <v>8004.6034993006979</v>
      </c>
      <c r="N39" s="89">
        <f t="shared" si="7"/>
        <v>8009.998106887113</v>
      </c>
      <c r="O39" s="89">
        <f t="shared" si="7"/>
        <v>7993.5412289352007</v>
      </c>
      <c r="P39" s="89">
        <f t="shared" si="7"/>
        <v>8027.396709798446</v>
      </c>
      <c r="Q39" s="89">
        <f t="shared" si="7"/>
        <v>8203.2526543896074</v>
      </c>
      <c r="R39" s="89">
        <f t="shared" si="7"/>
        <v>8281.7052761536379</v>
      </c>
      <c r="S39" s="89">
        <f t="shared" si="7"/>
        <v>8474.6202996641368</v>
      </c>
      <c r="T39" s="89">
        <f t="shared" si="7"/>
        <v>7961.5415438668097</v>
      </c>
      <c r="U39" s="89">
        <f t="shared" si="7"/>
        <v>4965.4204229820189</v>
      </c>
      <c r="V39" s="89">
        <f t="shared" si="7"/>
        <v>4965.815811909446</v>
      </c>
      <c r="W39" s="89">
        <f t="shared" si="7"/>
        <v>5030.2273833742602</v>
      </c>
      <c r="X39" s="89">
        <f t="shared" si="7"/>
        <v>5142.5390455834968</v>
      </c>
      <c r="Y39" s="89">
        <f t="shared" si="7"/>
        <v>5296.6114435448744</v>
      </c>
      <c r="AA39" s="355">
        <f>SUM(F39:Y39)</f>
        <v>143505.29010183571</v>
      </c>
      <c r="AB39" s="356">
        <f t="shared" si="2"/>
        <v>71752.645050917854</v>
      </c>
    </row>
    <row r="40" spans="1:28" s="17" customFormat="1">
      <c r="A40" s="1"/>
      <c r="B40" s="1"/>
      <c r="C40" s="1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3400</v>
      </c>
      <c r="G41" s="86">
        <f t="shared" ref="G41:Y41" si="9">+G109</f>
        <v>3400</v>
      </c>
      <c r="H41" s="86">
        <f t="shared" si="9"/>
        <v>3400</v>
      </c>
      <c r="I41" s="86">
        <f t="shared" si="9"/>
        <v>3400</v>
      </c>
      <c r="J41" s="86">
        <f t="shared" si="9"/>
        <v>3400</v>
      </c>
      <c r="K41" s="86">
        <f t="shared" si="9"/>
        <v>3400</v>
      </c>
      <c r="L41" s="86">
        <f t="shared" si="9"/>
        <v>3400</v>
      </c>
      <c r="M41" s="86">
        <f t="shared" si="9"/>
        <v>3400</v>
      </c>
      <c r="N41" s="86">
        <f t="shared" si="9"/>
        <v>3400</v>
      </c>
      <c r="O41" s="86">
        <f t="shared" si="9"/>
        <v>3400</v>
      </c>
      <c r="P41" s="86">
        <f t="shared" si="9"/>
        <v>3400</v>
      </c>
      <c r="Q41" s="86">
        <f t="shared" si="9"/>
        <v>3400</v>
      </c>
      <c r="R41" s="86">
        <f t="shared" si="9"/>
        <v>3400</v>
      </c>
      <c r="S41" s="86">
        <f t="shared" si="9"/>
        <v>3400</v>
      </c>
      <c r="T41" s="86">
        <f t="shared" si="9"/>
        <v>3400</v>
      </c>
      <c r="U41" s="86">
        <f t="shared" si="9"/>
        <v>3400</v>
      </c>
      <c r="V41" s="86">
        <f t="shared" si="9"/>
        <v>3400</v>
      </c>
      <c r="W41" s="86">
        <f t="shared" si="9"/>
        <v>3400</v>
      </c>
      <c r="X41" s="86">
        <f t="shared" si="9"/>
        <v>3400</v>
      </c>
      <c r="Y41" s="86">
        <f t="shared" si="9"/>
        <v>3400</v>
      </c>
      <c r="AA41" s="355">
        <f t="shared" si="8"/>
        <v>68000</v>
      </c>
      <c r="AB41" s="356">
        <f t="shared" si="2"/>
        <v>34000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7589.2836800761461</v>
      </c>
      <c r="F44" s="89">
        <f t="shared" si="10"/>
        <v>3948.5016384755609</v>
      </c>
      <c r="G44" s="89">
        <f t="shared" si="10"/>
        <v>3779.8853075127881</v>
      </c>
      <c r="H44" s="89">
        <f t="shared" si="10"/>
        <v>3985.4882558840527</v>
      </c>
      <c r="I44" s="89">
        <f t="shared" si="10"/>
        <v>4171.7854105897359</v>
      </c>
      <c r="J44" s="89">
        <f t="shared" si="10"/>
        <v>4385.5682259944688</v>
      </c>
      <c r="K44" s="89">
        <f t="shared" si="10"/>
        <v>4499.8386610522193</v>
      </c>
      <c r="L44" s="89">
        <f t="shared" si="10"/>
        <v>4576.9491759371494</v>
      </c>
      <c r="M44" s="89">
        <f t="shared" si="10"/>
        <v>4604.6034993006979</v>
      </c>
      <c r="N44" s="89">
        <f t="shared" si="10"/>
        <v>4609.998106887113</v>
      </c>
      <c r="O44" s="89">
        <f t="shared" si="10"/>
        <v>4593.5412289352007</v>
      </c>
      <c r="P44" s="89">
        <f t="shared" si="10"/>
        <v>4627.396709798446</v>
      </c>
      <c r="Q44" s="89">
        <f t="shared" si="10"/>
        <v>4803.2526543896074</v>
      </c>
      <c r="R44" s="89">
        <f t="shared" si="10"/>
        <v>4881.7052761536379</v>
      </c>
      <c r="S44" s="89">
        <f t="shared" si="10"/>
        <v>5074.6202996641368</v>
      </c>
      <c r="T44" s="89">
        <f t="shared" si="10"/>
        <v>4561.5415438668097</v>
      </c>
      <c r="U44" s="89">
        <f t="shared" si="10"/>
        <v>1565.4204229820189</v>
      </c>
      <c r="V44" s="89">
        <f t="shared" si="10"/>
        <v>1565.815811909446</v>
      </c>
      <c r="W44" s="89">
        <f t="shared" si="10"/>
        <v>1630.2273833742602</v>
      </c>
      <c r="X44" s="89">
        <f t="shared" si="10"/>
        <v>1742.5390455834968</v>
      </c>
      <c r="Y44" s="89">
        <f t="shared" si="10"/>
        <v>1896.6114435448744</v>
      </c>
      <c r="AA44" s="355">
        <f t="shared" si="8"/>
        <v>75505.290101835722</v>
      </c>
      <c r="AB44" s="356">
        <f t="shared" si="2"/>
        <v>37752.645050917861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163">
        <f>[7]DEBT!E$63</f>
        <v>3362.8696449915892</v>
      </c>
      <c r="F46" s="163">
        <f>[7]DEBT!F$63</f>
        <v>3552.4897520869531</v>
      </c>
      <c r="G46" s="163">
        <f>[7]DEBT!G$63</f>
        <v>3419.7275944280414</v>
      </c>
      <c r="H46" s="163">
        <f>[7]DEBT!H$63</f>
        <v>3284.6952090822588</v>
      </c>
      <c r="I46" s="163">
        <f>[7]DEBT!I$63</f>
        <v>3134.2773323352994</v>
      </c>
      <c r="J46" s="163">
        <f>[7]DEBT!J$63</f>
        <v>2966.1762839473731</v>
      </c>
      <c r="K46" s="163">
        <f>[7]DEBT!K$63</f>
        <v>2780.1942843947613</v>
      </c>
      <c r="L46" s="163">
        <f>[7]DEBT!L$63</f>
        <v>2578.3740809037599</v>
      </c>
      <c r="M46" s="163">
        <f>[7]DEBT!M$63</f>
        <v>2361.831855939115</v>
      </c>
      <c r="N46" s="163">
        <f>[7]DEBT!N$63</f>
        <v>2128.0003808909228</v>
      </c>
      <c r="O46" s="163">
        <f>[7]DEBT!O$63</f>
        <v>1876.5635225468654</v>
      </c>
      <c r="P46" s="163">
        <f>[7]DEBT!P$63</f>
        <v>1605.9351463126261</v>
      </c>
      <c r="Q46" s="163">
        <f>[7]DEBT!Q$63</f>
        <v>1311.3613407268317</v>
      </c>
      <c r="R46" s="163">
        <f>[7]DEBT!R$63</f>
        <v>986.04622206887143</v>
      </c>
      <c r="S46" s="163">
        <f>[7]DEBT!S$63</f>
        <v>1203.4802596007044</v>
      </c>
      <c r="T46" s="163">
        <f>[7]DEBT!T$63</f>
        <v>282.48193740516564</v>
      </c>
      <c r="U46" s="163">
        <f>[7]DEBT!U$63</f>
        <v>0</v>
      </c>
      <c r="V46" s="163">
        <f>[7]DEBT!V$63</f>
        <v>0</v>
      </c>
      <c r="W46" s="163">
        <f>[7]DEBT!W$63</f>
        <v>0</v>
      </c>
      <c r="X46" s="163">
        <f>[7]DEBT!X$63</f>
        <v>0</v>
      </c>
      <c r="Y46" s="163">
        <f>[7]DEBT!Y$63</f>
        <v>0</v>
      </c>
      <c r="AA46" s="355">
        <f t="shared" si="8"/>
        <v>33471.635202669553</v>
      </c>
      <c r="AB46" s="356">
        <f t="shared" si="2"/>
        <v>16735.817601334777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4226.4140350845573</v>
      </c>
      <c r="F49" s="89">
        <f t="shared" si="11"/>
        <v>396.01188638860776</v>
      </c>
      <c r="G49" s="89">
        <f t="shared" si="11"/>
        <v>360.15771308474677</v>
      </c>
      <c r="H49" s="89">
        <f t="shared" si="11"/>
        <v>700.79304680179393</v>
      </c>
      <c r="I49" s="89">
        <f t="shared" si="11"/>
        <v>1037.5080782544364</v>
      </c>
      <c r="J49" s="89">
        <f t="shared" si="11"/>
        <v>1419.3919420470957</v>
      </c>
      <c r="K49" s="89">
        <f t="shared" si="11"/>
        <v>1719.644376657458</v>
      </c>
      <c r="L49" s="89">
        <f t="shared" si="11"/>
        <v>1998.5750950333895</v>
      </c>
      <c r="M49" s="89">
        <f t="shared" si="11"/>
        <v>2242.7716433615828</v>
      </c>
      <c r="N49" s="89">
        <f t="shared" si="11"/>
        <v>2481.9977259961902</v>
      </c>
      <c r="O49" s="89">
        <f t="shared" si="11"/>
        <v>2716.9777063883353</v>
      </c>
      <c r="P49" s="89">
        <f t="shared" si="11"/>
        <v>3021.4615634858201</v>
      </c>
      <c r="Q49" s="89">
        <f t="shared" si="11"/>
        <v>3491.8913136627757</v>
      </c>
      <c r="R49" s="89">
        <f t="shared" si="11"/>
        <v>3895.6590540847665</v>
      </c>
      <c r="S49" s="89">
        <f t="shared" si="11"/>
        <v>3871.1400400634325</v>
      </c>
      <c r="T49" s="89">
        <f t="shared" si="11"/>
        <v>4279.0596064616439</v>
      </c>
      <c r="U49" s="89">
        <f t="shared" si="11"/>
        <v>1565.4204229820189</v>
      </c>
      <c r="V49" s="89">
        <f t="shared" si="11"/>
        <v>1565.815811909446</v>
      </c>
      <c r="W49" s="89">
        <f t="shared" si="11"/>
        <v>1630.2273833742602</v>
      </c>
      <c r="X49" s="89">
        <f t="shared" si="11"/>
        <v>1742.5390455834968</v>
      </c>
      <c r="Y49" s="89">
        <f t="shared" si="11"/>
        <v>1896.6114435448744</v>
      </c>
      <c r="AA49" s="355">
        <f t="shared" si="8"/>
        <v>42033.654899166162</v>
      </c>
      <c r="AB49" s="356">
        <f t="shared" si="2"/>
        <v>21016.827449583081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8">
        <v>0.05</v>
      </c>
      <c r="D51" s="86"/>
      <c r="E51" s="86">
        <f t="shared" ref="E51:Y51" si="12">E49*-$C$51</f>
        <v>-211.32070175422788</v>
      </c>
      <c r="F51" s="86">
        <f t="shared" si="12"/>
        <v>-19.800594319430388</v>
      </c>
      <c r="G51" s="51">
        <f t="shared" si="12"/>
        <v>-18.007885654237338</v>
      </c>
      <c r="H51" s="86">
        <f t="shared" si="12"/>
        <v>-35.039652340089695</v>
      </c>
      <c r="I51" s="86">
        <f t="shared" si="12"/>
        <v>-51.875403912721822</v>
      </c>
      <c r="J51" s="86">
        <f t="shared" si="12"/>
        <v>-70.969597102354783</v>
      </c>
      <c r="K51" s="86">
        <f t="shared" si="12"/>
        <v>-85.982218832872903</v>
      </c>
      <c r="L51" s="86">
        <f t="shared" si="12"/>
        <v>-99.928754751669487</v>
      </c>
      <c r="M51" s="86">
        <f t="shared" si="12"/>
        <v>-112.13858216807915</v>
      </c>
      <c r="N51" s="86">
        <f t="shared" si="12"/>
        <v>-124.09988629980951</v>
      </c>
      <c r="O51" s="86">
        <f t="shared" si="12"/>
        <v>-135.84888531941678</v>
      </c>
      <c r="P51" s="86">
        <f t="shared" si="12"/>
        <v>-151.073078174291</v>
      </c>
      <c r="Q51" s="86">
        <f t="shared" si="12"/>
        <v>-174.5945656831388</v>
      </c>
      <c r="R51" s="86">
        <f t="shared" si="12"/>
        <v>-194.78295270423834</v>
      </c>
      <c r="S51" s="86">
        <f t="shared" si="12"/>
        <v>-193.55700200317165</v>
      </c>
      <c r="T51" s="86">
        <f t="shared" si="12"/>
        <v>-213.95298032308222</v>
      </c>
      <c r="U51" s="86">
        <f t="shared" si="12"/>
        <v>-78.271021149100946</v>
      </c>
      <c r="V51" s="86">
        <f t="shared" si="12"/>
        <v>-78.290790595472302</v>
      </c>
      <c r="W51" s="86">
        <f t="shared" si="12"/>
        <v>-81.511369168713017</v>
      </c>
      <c r="X51" s="86">
        <f t="shared" si="12"/>
        <v>-87.126952279174844</v>
      </c>
      <c r="Y51" s="86">
        <f t="shared" si="12"/>
        <v>-94.830572177243724</v>
      </c>
      <c r="AA51" s="355">
        <f t="shared" si="8"/>
        <v>-2101.6827449583088</v>
      </c>
      <c r="AB51" s="356">
        <f t="shared" si="2"/>
        <v>-1050.8413724791544</v>
      </c>
    </row>
    <row r="52" spans="1:28">
      <c r="A52" s="4" t="s">
        <v>27</v>
      </c>
      <c r="C52" s="168">
        <v>0.35</v>
      </c>
      <c r="D52" s="85"/>
      <c r="E52" s="85">
        <f>((E49+E51)*-$C$52)+E56</f>
        <v>1934.0838293453851</v>
      </c>
      <c r="F52" s="85">
        <f t="shared" ref="F52:Y52" si="13">((F49+F51)*-$C$52)+F56</f>
        <v>3207.6925437867885</v>
      </c>
      <c r="G52" s="85">
        <f t="shared" si="13"/>
        <v>3405.1344172998229</v>
      </c>
      <c r="H52" s="85">
        <f t="shared" si="13"/>
        <v>3291.8731688389048</v>
      </c>
      <c r="I52" s="85">
        <f t="shared" si="13"/>
        <v>3365.4357817704013</v>
      </c>
      <c r="J52" s="85">
        <f t="shared" si="13"/>
        <v>3238.4593970593419</v>
      </c>
      <c r="K52" s="85">
        <f t="shared" si="13"/>
        <v>3324.1458234408965</v>
      </c>
      <c r="L52" s="85">
        <f t="shared" si="13"/>
        <v>3231.4013595808992</v>
      </c>
      <c r="M52" s="85">
        <f t="shared" si="13"/>
        <v>3335.726368151275</v>
      </c>
      <c r="N52" s="85">
        <f t="shared" si="13"/>
        <v>-16.963339383370908</v>
      </c>
      <c r="O52" s="85">
        <f t="shared" si="13"/>
        <v>-903.39508737412143</v>
      </c>
      <c r="P52" s="85">
        <f t="shared" si="13"/>
        <v>-1004.6359698590352</v>
      </c>
      <c r="Q52" s="85">
        <f t="shared" si="13"/>
        <v>-1161.0538617928728</v>
      </c>
      <c r="R52" s="85">
        <f t="shared" si="13"/>
        <v>-1295.3066354831849</v>
      </c>
      <c r="S52" s="85">
        <f t="shared" si="13"/>
        <v>-1287.1540633210914</v>
      </c>
      <c r="T52" s="85">
        <f t="shared" si="13"/>
        <v>-1422.7873191484966</v>
      </c>
      <c r="U52" s="85">
        <f t="shared" si="13"/>
        <v>-520.5022906415212</v>
      </c>
      <c r="V52" s="85">
        <f t="shared" si="13"/>
        <v>-520.63375745989072</v>
      </c>
      <c r="W52" s="85">
        <f t="shared" si="13"/>
        <v>-542.05060497194154</v>
      </c>
      <c r="X52" s="85">
        <f t="shared" si="13"/>
        <v>-579.3942326565126</v>
      </c>
      <c r="Y52" s="85">
        <f t="shared" si="13"/>
        <v>-630.62330497867072</v>
      </c>
      <c r="AA52" s="355">
        <f t="shared" si="8"/>
        <v>16515.368392857617</v>
      </c>
      <c r="AB52" s="356">
        <f t="shared" si="2"/>
        <v>8257.6841964288087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5949.1771626757145</v>
      </c>
      <c r="F54" s="89">
        <f t="shared" si="14"/>
        <v>3583.903835855966</v>
      </c>
      <c r="G54" s="89">
        <f t="shared" si="14"/>
        <v>3747.2842447303324</v>
      </c>
      <c r="H54" s="89">
        <f t="shared" si="14"/>
        <v>3957.6265633006092</v>
      </c>
      <c r="I54" s="89">
        <f t="shared" si="14"/>
        <v>4351.0684561121161</v>
      </c>
      <c r="J54" s="89">
        <f t="shared" si="14"/>
        <v>4586.8817420040832</v>
      </c>
      <c r="K54" s="89">
        <f t="shared" si="14"/>
        <v>4957.8079812654814</v>
      </c>
      <c r="L54" s="89">
        <f t="shared" si="14"/>
        <v>5130.0476998626191</v>
      </c>
      <c r="M54" s="89">
        <f t="shared" si="14"/>
        <v>5466.3594293447786</v>
      </c>
      <c r="N54" s="89">
        <f t="shared" si="14"/>
        <v>2340.9345003130097</v>
      </c>
      <c r="O54" s="89">
        <f t="shared" si="14"/>
        <v>1677.7337336947971</v>
      </c>
      <c r="P54" s="89">
        <f t="shared" si="14"/>
        <v>1865.752515452494</v>
      </c>
      <c r="Q54" s="89">
        <f t="shared" si="14"/>
        <v>2156.2428861867643</v>
      </c>
      <c r="R54" s="89">
        <f t="shared" si="14"/>
        <v>2405.5694658973434</v>
      </c>
      <c r="S54" s="89">
        <f t="shared" si="14"/>
        <v>2390.4289747391695</v>
      </c>
      <c r="T54" s="89">
        <f t="shared" si="14"/>
        <v>2642.3193069900653</v>
      </c>
      <c r="U54" s="89">
        <f t="shared" si="14"/>
        <v>966.64711119139668</v>
      </c>
      <c r="V54" s="89">
        <f t="shared" si="14"/>
        <v>966.89126385408292</v>
      </c>
      <c r="W54" s="89">
        <f t="shared" si="14"/>
        <v>1006.6654092336057</v>
      </c>
      <c r="X54" s="89">
        <f t="shared" si="14"/>
        <v>1076.0178606478094</v>
      </c>
      <c r="Y54" s="89">
        <f t="shared" si="14"/>
        <v>1171.1575663889598</v>
      </c>
      <c r="AA54" s="355">
        <f t="shared" si="8"/>
        <v>56447.340547065483</v>
      </c>
      <c r="AB54" s="356">
        <f t="shared" si="2"/>
        <v>28223.670273532742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f>[7]TAX!F$48</f>
        <v>3339.3664960110004</v>
      </c>
      <c r="F56" s="169">
        <f>[7]TAX!G$48</f>
        <v>3339.3664960110004</v>
      </c>
      <c r="G56" s="169">
        <f>[7]TAX!H$48</f>
        <v>3524.8868569005012</v>
      </c>
      <c r="H56" s="169">
        <f>[7]TAX!I$48</f>
        <v>3524.8868569005012</v>
      </c>
      <c r="I56" s="169">
        <f>[7]TAX!J$48</f>
        <v>3710.4072177900011</v>
      </c>
      <c r="J56" s="169">
        <f>[7]TAX!K$48</f>
        <v>3710.4072177900011</v>
      </c>
      <c r="K56" s="169">
        <f>[7]TAX!L$48</f>
        <v>3895.9275786795015</v>
      </c>
      <c r="L56" s="169">
        <f>[7]TAX!M$48</f>
        <v>3895.9275786795015</v>
      </c>
      <c r="M56" s="169">
        <f>[7]TAX!N$48</f>
        <v>4081.4479395690009</v>
      </c>
      <c r="N56" s="169">
        <f>[7]TAX!O$48</f>
        <v>808.30090451036233</v>
      </c>
      <c r="O56" s="169">
        <f>[7]TAX!P$48</f>
        <v>0</v>
      </c>
      <c r="P56" s="169">
        <f>[7]TAX!Q$48</f>
        <v>0</v>
      </c>
      <c r="Q56" s="169">
        <f>[7]TAX!R$48</f>
        <v>0</v>
      </c>
      <c r="R56" s="169">
        <f>[7]TAX!S$48</f>
        <v>0</v>
      </c>
      <c r="S56" s="169">
        <f>[7]TAX!T$48</f>
        <v>0</v>
      </c>
      <c r="T56" s="169">
        <f>[7]TAX!U$48</f>
        <v>0</v>
      </c>
      <c r="U56" s="169">
        <f>[7]TAX!V$48</f>
        <v>0</v>
      </c>
      <c r="V56" s="169">
        <f>[7]TAX!W$48</f>
        <v>0</v>
      </c>
      <c r="W56" s="169">
        <f>[7]TAX!X$48</f>
        <v>0</v>
      </c>
      <c r="X56" s="169">
        <f>[7]TAX!Y$48</f>
        <v>0</v>
      </c>
      <c r="Y56" s="169">
        <f>[7]TAX!Z$48</f>
        <v>0</v>
      </c>
      <c r="AA56" s="355">
        <f t="shared" si="8"/>
        <v>30491.558646830366</v>
      </c>
      <c r="AB56" s="356">
        <f t="shared" si="2"/>
        <v>15245.779323415183</v>
      </c>
    </row>
    <row r="57" spans="1:28" outlineLevel="1">
      <c r="A57" s="12"/>
      <c r="D57" s="419" t="s">
        <v>181</v>
      </c>
      <c r="E57" s="420">
        <f>E56/(0.017*C1*8760)</f>
        <v>0.80085340547441586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0.5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7589.2836800761461</v>
      </c>
      <c r="F64" s="16">
        <f t="shared" si="16"/>
        <v>7348.5016384755609</v>
      </c>
      <c r="G64" s="20">
        <f t="shared" si="16"/>
        <v>7179.8853075127881</v>
      </c>
      <c r="H64" s="16">
        <f t="shared" si="16"/>
        <v>7385.4882558840527</v>
      </c>
      <c r="I64" s="16">
        <f t="shared" si="16"/>
        <v>7571.7854105897359</v>
      </c>
      <c r="J64" s="16">
        <f t="shared" si="16"/>
        <v>7785.5682259944688</v>
      </c>
      <c r="K64" s="16">
        <f t="shared" si="16"/>
        <v>7899.8386610522193</v>
      </c>
      <c r="L64" s="16">
        <f t="shared" si="16"/>
        <v>7976.9491759371494</v>
      </c>
      <c r="M64" s="16">
        <f t="shared" si="16"/>
        <v>8004.6034993006979</v>
      </c>
      <c r="N64" s="16">
        <f t="shared" si="16"/>
        <v>8009.998106887113</v>
      </c>
      <c r="O64" s="16">
        <f t="shared" si="16"/>
        <v>7993.5412289352007</v>
      </c>
      <c r="P64" s="16">
        <f t="shared" si="16"/>
        <v>8027.396709798446</v>
      </c>
      <c r="Q64" s="16">
        <f t="shared" si="16"/>
        <v>8203.2526543896074</v>
      </c>
      <c r="R64" s="16">
        <f t="shared" si="16"/>
        <v>8281.7052761536379</v>
      </c>
      <c r="S64" s="16">
        <f t="shared" si="16"/>
        <v>8474.6202996641368</v>
      </c>
      <c r="T64" s="16">
        <f t="shared" si="16"/>
        <v>7961.5415438668097</v>
      </c>
      <c r="U64" s="16">
        <f t="shared" si="16"/>
        <v>4965.4204229820189</v>
      </c>
      <c r="V64" s="16">
        <f t="shared" si="16"/>
        <v>4965.815811909446</v>
      </c>
      <c r="W64" s="16">
        <f t="shared" si="16"/>
        <v>5030.2273833742602</v>
      </c>
      <c r="X64" s="16">
        <f t="shared" si="16"/>
        <v>5142.5390455834968</v>
      </c>
      <c r="Y64" s="16">
        <f t="shared" si="16"/>
        <v>5296.6114435448744</v>
      </c>
      <c r="AA64" s="355">
        <f t="shared" si="8"/>
        <v>143505.29010183571</v>
      </c>
      <c r="AB64" s="356">
        <f t="shared" si="2"/>
        <v>71752.645050917854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190">
        <v>0</v>
      </c>
      <c r="F66" s="190">
        <f>-F46+[7]FINANCIALS!G$105</f>
        <v>-5323.9298336143947</v>
      </c>
      <c r="G66" s="190">
        <f>-G46+[7]FINANCIALS!H$105</f>
        <v>-5191.4883270329155</v>
      </c>
      <c r="H66" s="190">
        <f>-H46+[7]FINANCIALS!I$105</f>
        <v>-5238.1884268590647</v>
      </c>
      <c r="I66" s="190">
        <f>-I46+[7]FINANCIALS!J$105</f>
        <v>-5318.4613669829087</v>
      </c>
      <c r="J66" s="190">
        <f>-J46+[7]FINANCIALS!K$105</f>
        <v>-5395.6878664676615</v>
      </c>
      <c r="K66" s="190">
        <f>-K46+[7]FINANCIALS!L$105</f>
        <v>-5423.3348083734381</v>
      </c>
      <c r="L66" s="190">
        <f>-L46+[7]FINANCIALS!M$105</f>
        <v>-5421.352231888709</v>
      </c>
      <c r="M66" s="190">
        <f>-M46+[7]FINANCIALS!N$105</f>
        <v>-5392.2338434485209</v>
      </c>
      <c r="N66" s="190">
        <f>-N46+[7]FINANCIALS!O$105</f>
        <v>-5390.5724624980303</v>
      </c>
      <c r="O66" s="190">
        <f>-O46+[7]FINANCIALS!P$105</f>
        <v>-5379.7065618320339</v>
      </c>
      <c r="P66" s="190">
        <f>-P46+[7]FINANCIALS!Q$105</f>
        <v>-5399.6011858046695</v>
      </c>
      <c r="Q66" s="190">
        <f>-Q46+[7]FINANCIALS!R$105</f>
        <v>-5509.1182740627737</v>
      </c>
      <c r="R66" s="190">
        <f>-R46+[7]FINANCIALS!S$105</f>
        <v>-5567.4380080047813</v>
      </c>
      <c r="S66" s="190">
        <f>-S46+[7]FINANCIALS!T$105</f>
        <v>-5791.2749304019817</v>
      </c>
      <c r="T66" s="190">
        <f>-T46+[7]FINANCIALS!U$105</f>
        <v>-5386.247075397665</v>
      </c>
      <c r="U66" s="190">
        <f>-U46+[7]FINANCIALS!V$105</f>
        <v>0</v>
      </c>
      <c r="V66" s="190">
        <f>-V46+[7]FINANCIALS!W$105</f>
        <v>0</v>
      </c>
      <c r="W66" s="190">
        <f>-W46+[7]FINANCIALS!X$105</f>
        <v>0</v>
      </c>
      <c r="X66" s="190">
        <f>-X46+[7]FINANCIALS!Y$105</f>
        <v>0</v>
      </c>
      <c r="Y66" s="190">
        <f>-Y46+[7]FINANCIALS!Z$105</f>
        <v>0</v>
      </c>
      <c r="AA66" s="355">
        <f t="shared" si="8"/>
        <v>-81128.635202669553</v>
      </c>
      <c r="AB66" s="356">
        <f t="shared" si="2"/>
        <v>-40564.317601334777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416">
        <f>-F64/F66</f>
        <v>1.380277702399149</v>
      </c>
      <c r="G68" s="416">
        <f t="shared" ref="G68:Y68" si="17">-G64/G66</f>
        <v>1.3830109701154425</v>
      </c>
      <c r="H68" s="416">
        <f t="shared" si="17"/>
        <v>1.4099317653436452</v>
      </c>
      <c r="I68" s="416">
        <f t="shared" si="17"/>
        <v>1.4236796863084309</v>
      </c>
      <c r="J68" s="416">
        <f t="shared" si="17"/>
        <v>1.4429241310230507</v>
      </c>
      <c r="K68" s="416">
        <f t="shared" si="17"/>
        <v>1.456638570212399</v>
      </c>
      <c r="L68" s="416">
        <f t="shared" si="17"/>
        <v>1.4713947433661054</v>
      </c>
      <c r="M68" s="416">
        <f t="shared" si="17"/>
        <v>1.4844689106030082</v>
      </c>
      <c r="N68" s="416">
        <f t="shared" si="17"/>
        <v>1.4859271742680966</v>
      </c>
      <c r="O68" s="416">
        <f t="shared" si="17"/>
        <v>1.4858693754131149</v>
      </c>
      <c r="P68" s="416">
        <f t="shared" si="17"/>
        <v>1.4866647431114253</v>
      </c>
      <c r="Q68" s="416">
        <f t="shared" si="17"/>
        <v>1.4890318643204601</v>
      </c>
      <c r="R68" s="416">
        <f t="shared" si="17"/>
        <v>1.4875253688045242</v>
      </c>
      <c r="S68" s="416">
        <f t="shared" si="17"/>
        <v>1.4633427702034343</v>
      </c>
      <c r="T68" s="416">
        <f t="shared" si="17"/>
        <v>1.4781240875919179</v>
      </c>
      <c r="U68" s="416" t="e">
        <f t="shared" si="17"/>
        <v>#DIV/0!</v>
      </c>
      <c r="V68" s="416" t="e">
        <f t="shared" si="17"/>
        <v>#DIV/0!</v>
      </c>
      <c r="W68" s="416" t="e">
        <f t="shared" si="17"/>
        <v>#DIV/0!</v>
      </c>
      <c r="X68" s="416" t="e">
        <f t="shared" si="17"/>
        <v>#DIV/0!</v>
      </c>
      <c r="Y68" s="416" t="e">
        <f t="shared" si="17"/>
        <v>#DIV/0!</v>
      </c>
      <c r="AA68" s="355" t="e">
        <f t="shared" si="8"/>
        <v>#DIV/0!</v>
      </c>
      <c r="AB68" s="356" t="e">
        <f t="shared" si="2"/>
        <v>#DIV/0!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8">SUM(E64:E66)</f>
        <v>7589.2836800761461</v>
      </c>
      <c r="F69" s="91">
        <f t="shared" si="18"/>
        <v>2024.5718048611661</v>
      </c>
      <c r="G69" s="91">
        <f t="shared" si="18"/>
        <v>1988.3969804798726</v>
      </c>
      <c r="H69" s="91">
        <f t="shared" si="18"/>
        <v>2147.299829024988</v>
      </c>
      <c r="I69" s="91">
        <f t="shared" si="18"/>
        <v>2253.3240436068272</v>
      </c>
      <c r="J69" s="91">
        <f t="shared" si="18"/>
        <v>2389.8803595268073</v>
      </c>
      <c r="K69" s="91">
        <f t="shared" si="18"/>
        <v>2476.5038526787812</v>
      </c>
      <c r="L69" s="91">
        <f t="shared" si="18"/>
        <v>2555.5969440484405</v>
      </c>
      <c r="M69" s="91">
        <f t="shared" si="18"/>
        <v>2612.3696558521769</v>
      </c>
      <c r="N69" s="91">
        <f t="shared" si="18"/>
        <v>2619.4256443890827</v>
      </c>
      <c r="O69" s="91">
        <f t="shared" si="18"/>
        <v>2613.8346671031668</v>
      </c>
      <c r="P69" s="91">
        <f t="shared" si="18"/>
        <v>2627.7955239937764</v>
      </c>
      <c r="Q69" s="91">
        <f t="shared" si="18"/>
        <v>2694.1343803268337</v>
      </c>
      <c r="R69" s="91">
        <f t="shared" si="18"/>
        <v>2714.2672681488566</v>
      </c>
      <c r="S69" s="91">
        <f t="shared" si="18"/>
        <v>2683.3453692621551</v>
      </c>
      <c r="T69" s="91">
        <f t="shared" si="18"/>
        <v>2575.2944684691447</v>
      </c>
      <c r="U69" s="91">
        <f t="shared" si="18"/>
        <v>4965.4204229820189</v>
      </c>
      <c r="V69" s="91">
        <f t="shared" si="18"/>
        <v>4965.815811909446</v>
      </c>
      <c r="W69" s="91">
        <f t="shared" si="18"/>
        <v>5030.2273833742602</v>
      </c>
      <c r="X69" s="91">
        <f t="shared" si="18"/>
        <v>5142.5390455834968</v>
      </c>
      <c r="Y69" s="91">
        <f t="shared" si="18"/>
        <v>5296.6114435448744</v>
      </c>
      <c r="AA69" s="355">
        <f t="shared" si="8"/>
        <v>62376.654899166177</v>
      </c>
      <c r="AB69" s="356">
        <f t="shared" si="2"/>
        <v>31188.327449583088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9">F89</f>
        <v>6350.7754703569371</v>
      </c>
      <c r="G71" s="94">
        <f t="shared" si="19"/>
        <v>11046.139701786011</v>
      </c>
      <c r="H71" s="94">
        <f t="shared" si="19"/>
        <v>5922.0866758228703</v>
      </c>
      <c r="I71" s="94">
        <f t="shared" si="19"/>
        <v>2797.0371698024119</v>
      </c>
      <c r="J71" s="94">
        <f t="shared" si="19"/>
        <v>2650.9665919017198</v>
      </c>
      <c r="K71" s="94">
        <f t="shared" si="19"/>
        <v>288.92803079588924</v>
      </c>
      <c r="L71" s="94">
        <f t="shared" si="19"/>
        <v>-2064.9549738502715</v>
      </c>
      <c r="M71" s="94">
        <f t="shared" si="19"/>
        <v>-2158.3601535858052</v>
      </c>
      <c r="N71" s="94">
        <f t="shared" si="19"/>
        <v>-2249.8641301935427</v>
      </c>
      <c r="O71" s="94">
        <f t="shared" si="19"/>
        <v>-2339.7439726935381</v>
      </c>
      <c r="P71" s="94">
        <f t="shared" si="19"/>
        <v>-2456.2090480333259</v>
      </c>
      <c r="Q71" s="94">
        <f t="shared" si="19"/>
        <v>-2636.1484274760114</v>
      </c>
      <c r="R71" s="94">
        <f t="shared" si="19"/>
        <v>-2790.589588187423</v>
      </c>
      <c r="S71" s="94">
        <f t="shared" si="19"/>
        <v>-2781.2110653242626</v>
      </c>
      <c r="T71" s="94">
        <f t="shared" si="19"/>
        <v>-2937.2402994715785</v>
      </c>
      <c r="U71" s="94">
        <f t="shared" si="19"/>
        <v>-1899.2733117906221</v>
      </c>
      <c r="V71" s="94">
        <f t="shared" si="19"/>
        <v>-1899.4245480553629</v>
      </c>
      <c r="W71" s="94">
        <f t="shared" si="19"/>
        <v>-1924.0619741406545</v>
      </c>
      <c r="X71" s="94">
        <f t="shared" si="19"/>
        <v>-1967.0211849356876</v>
      </c>
      <c r="Y71" s="94">
        <f t="shared" si="19"/>
        <v>-2025.9538771559144</v>
      </c>
      <c r="AA71" s="355">
        <f t="shared" si="8"/>
        <v>-3074.1229144281624</v>
      </c>
      <c r="AB71" s="356">
        <f t="shared" si="2"/>
        <v>-1537.0614572140812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20">E69+E71</f>
        <v>7589.2836800761461</v>
      </c>
      <c r="F73" s="24">
        <f t="shared" si="20"/>
        <v>8375.3472752181042</v>
      </c>
      <c r="G73" s="24">
        <f t="shared" si="20"/>
        <v>13034.536682265883</v>
      </c>
      <c r="H73" s="24">
        <f t="shared" si="20"/>
        <v>8069.3865048478583</v>
      </c>
      <c r="I73" s="24">
        <f t="shared" si="20"/>
        <v>5050.3612134092391</v>
      </c>
      <c r="J73" s="24">
        <f t="shared" si="20"/>
        <v>5040.8469514285271</v>
      </c>
      <c r="K73" s="24">
        <f t="shared" si="20"/>
        <v>2765.4318834746705</v>
      </c>
      <c r="L73" s="24">
        <f t="shared" si="20"/>
        <v>490.64197019816902</v>
      </c>
      <c r="M73" s="24">
        <f t="shared" si="20"/>
        <v>454.00950226637178</v>
      </c>
      <c r="N73" s="24">
        <f t="shared" si="20"/>
        <v>369.56151419553998</v>
      </c>
      <c r="O73" s="24">
        <f t="shared" si="20"/>
        <v>274.09069440962867</v>
      </c>
      <c r="P73" s="24">
        <f t="shared" si="20"/>
        <v>171.58647596045057</v>
      </c>
      <c r="Q73" s="24">
        <f t="shared" si="20"/>
        <v>57.985952850822287</v>
      </c>
      <c r="R73" s="24">
        <f t="shared" si="20"/>
        <v>-76.322320038566431</v>
      </c>
      <c r="S73" s="24">
        <f t="shared" si="20"/>
        <v>-97.865696062107418</v>
      </c>
      <c r="T73" s="24">
        <f t="shared" si="20"/>
        <v>-361.94583100243381</v>
      </c>
      <c r="U73" s="24">
        <f t="shared" si="20"/>
        <v>3066.147111191397</v>
      </c>
      <c r="V73" s="24">
        <f t="shared" si="20"/>
        <v>3066.3912638540833</v>
      </c>
      <c r="W73" s="24">
        <f t="shared" si="20"/>
        <v>3106.1654092336057</v>
      </c>
      <c r="X73" s="24">
        <f t="shared" si="20"/>
        <v>3175.5178606478094</v>
      </c>
      <c r="Y73" s="24">
        <f t="shared" si="20"/>
        <v>3270.6575663889598</v>
      </c>
      <c r="AA73" s="355">
        <f t="shared" si="8"/>
        <v>59302.531984738016</v>
      </c>
      <c r="AB73" s="356">
        <f t="shared" si="2"/>
        <v>29651.265992369008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1">AA75*$C$60</f>
        <v>0</v>
      </c>
    </row>
    <row r="76" spans="1:28" ht="12.75" customHeight="1" outlineLevel="1">
      <c r="A76" s="13" t="s">
        <v>135</v>
      </c>
      <c r="B76" s="22"/>
      <c r="C76" s="159">
        <f>+C$60</f>
        <v>0.5</v>
      </c>
      <c r="D76" s="24"/>
      <c r="E76" s="24">
        <f t="shared" ref="E76:Y76" si="22">$C$76*E54</f>
        <v>2974.5885813378572</v>
      </c>
      <c r="F76" s="24">
        <f t="shared" si="22"/>
        <v>1791.951917927983</v>
      </c>
      <c r="G76" s="91">
        <f t="shared" si="22"/>
        <v>1873.6421223651662</v>
      </c>
      <c r="H76" s="24">
        <f t="shared" si="22"/>
        <v>1978.8132816503046</v>
      </c>
      <c r="I76" s="24">
        <f t="shared" si="22"/>
        <v>2175.5342280560581</v>
      </c>
      <c r="J76" s="24">
        <f t="shared" si="22"/>
        <v>2293.4408710020416</v>
      </c>
      <c r="K76" s="24">
        <f t="shared" si="22"/>
        <v>2478.9039906327407</v>
      </c>
      <c r="L76" s="24">
        <f t="shared" si="22"/>
        <v>2565.0238499313095</v>
      </c>
      <c r="M76" s="24">
        <f t="shared" si="22"/>
        <v>2733.1797146723893</v>
      </c>
      <c r="N76" s="24">
        <f t="shared" si="22"/>
        <v>1170.4672501565049</v>
      </c>
      <c r="O76" s="24">
        <f t="shared" si="22"/>
        <v>838.86686684739857</v>
      </c>
      <c r="P76" s="24">
        <f t="shared" si="22"/>
        <v>932.87625772624699</v>
      </c>
      <c r="Q76" s="24">
        <f t="shared" si="22"/>
        <v>1078.1214430933821</v>
      </c>
      <c r="R76" s="24">
        <f t="shared" si="22"/>
        <v>1202.7847329486717</v>
      </c>
      <c r="S76" s="24">
        <f t="shared" si="22"/>
        <v>1195.2144873695847</v>
      </c>
      <c r="T76" s="24">
        <f t="shared" si="22"/>
        <v>1321.1596534950327</v>
      </c>
      <c r="U76" s="24">
        <f t="shared" si="22"/>
        <v>483.32355559569834</v>
      </c>
      <c r="V76" s="24">
        <f t="shared" si="22"/>
        <v>483.44563192704146</v>
      </c>
      <c r="W76" s="24">
        <f t="shared" si="22"/>
        <v>503.33270461680286</v>
      </c>
      <c r="X76" s="24">
        <f t="shared" si="22"/>
        <v>538.00893032390468</v>
      </c>
      <c r="Y76" s="24">
        <f t="shared" si="22"/>
        <v>585.57878319447991</v>
      </c>
      <c r="AA76" s="355">
        <f t="shared" si="8"/>
        <v>28223.670273532742</v>
      </c>
      <c r="AB76" s="356">
        <f>AA76</f>
        <v>28223.670273532742</v>
      </c>
    </row>
    <row r="77" spans="1:28" outlineLevel="1">
      <c r="A77" s="13" t="s">
        <v>136</v>
      </c>
      <c r="B77" s="22"/>
      <c r="C77" s="159">
        <f>+C60</f>
        <v>0.5</v>
      </c>
      <c r="D77" s="24"/>
      <c r="E77" s="24">
        <f t="shared" ref="E77:Y77" si="23">$C$77*E73</f>
        <v>3794.641840038073</v>
      </c>
      <c r="F77" s="24">
        <f t="shared" si="23"/>
        <v>4187.6736376090521</v>
      </c>
      <c r="G77" s="91">
        <f t="shared" si="23"/>
        <v>6517.2683411329417</v>
      </c>
      <c r="H77" s="24">
        <f t="shared" si="23"/>
        <v>4034.6932524239292</v>
      </c>
      <c r="I77" s="24">
        <f t="shared" si="23"/>
        <v>2525.1806067046195</v>
      </c>
      <c r="J77" s="24">
        <f t="shared" si="23"/>
        <v>2520.4234757142635</v>
      </c>
      <c r="K77" s="24">
        <f t="shared" si="23"/>
        <v>1382.7159417373352</v>
      </c>
      <c r="L77" s="24">
        <f t="shared" si="23"/>
        <v>245.32098509908451</v>
      </c>
      <c r="M77" s="24">
        <f t="shared" si="23"/>
        <v>227.00475113318589</v>
      </c>
      <c r="N77" s="24">
        <f t="shared" si="23"/>
        <v>184.78075709776999</v>
      </c>
      <c r="O77" s="24">
        <f t="shared" si="23"/>
        <v>137.04534720481433</v>
      </c>
      <c r="P77" s="24">
        <f t="shared" si="23"/>
        <v>85.793237980225285</v>
      </c>
      <c r="Q77" s="24">
        <f t="shared" si="23"/>
        <v>28.992976425411143</v>
      </c>
      <c r="R77" s="24">
        <f t="shared" si="23"/>
        <v>-38.161160019283216</v>
      </c>
      <c r="S77" s="24">
        <f t="shared" si="23"/>
        <v>-48.932848031053709</v>
      </c>
      <c r="T77" s="24">
        <f t="shared" si="23"/>
        <v>-180.9729155012169</v>
      </c>
      <c r="U77" s="24">
        <f t="shared" si="23"/>
        <v>1533.0735555956985</v>
      </c>
      <c r="V77" s="24">
        <f t="shared" si="23"/>
        <v>1533.1956319270416</v>
      </c>
      <c r="W77" s="24">
        <f t="shared" si="23"/>
        <v>1553.0827046168029</v>
      </c>
      <c r="X77" s="24">
        <f t="shared" si="23"/>
        <v>1587.7589303239047</v>
      </c>
      <c r="Y77" s="24">
        <f t="shared" si="23"/>
        <v>1635.3287831944799</v>
      </c>
      <c r="AA77" s="355">
        <f t="shared" si="8"/>
        <v>29651.265992369008</v>
      </c>
      <c r="AB77" s="356">
        <f>AA77</f>
        <v>29651.265992369008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1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1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1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1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1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1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1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1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4">G62</f>
        <v>2002</v>
      </c>
      <c r="H86" s="99">
        <f t="shared" si="24"/>
        <v>2003</v>
      </c>
      <c r="I86" s="99">
        <f t="shared" si="24"/>
        <v>2004</v>
      </c>
      <c r="J86" s="99">
        <f t="shared" si="24"/>
        <v>2005</v>
      </c>
      <c r="K86" s="99">
        <f t="shared" si="24"/>
        <v>2006</v>
      </c>
      <c r="L86" s="99">
        <f t="shared" si="24"/>
        <v>2007</v>
      </c>
      <c r="M86" s="99">
        <f t="shared" si="24"/>
        <v>2008</v>
      </c>
      <c r="N86" s="99">
        <f t="shared" si="24"/>
        <v>2009</v>
      </c>
      <c r="O86" s="99">
        <f t="shared" si="24"/>
        <v>2010</v>
      </c>
      <c r="P86" s="99">
        <f t="shared" si="24"/>
        <v>2011</v>
      </c>
      <c r="Q86" s="99">
        <f t="shared" si="24"/>
        <v>2012</v>
      </c>
      <c r="R86" s="99">
        <f t="shared" si="24"/>
        <v>2013</v>
      </c>
      <c r="S86" s="99">
        <f t="shared" si="24"/>
        <v>2014</v>
      </c>
      <c r="T86" s="99">
        <f t="shared" si="24"/>
        <v>2015</v>
      </c>
      <c r="U86" s="99">
        <f t="shared" si="24"/>
        <v>2016</v>
      </c>
      <c r="V86" s="99">
        <f t="shared" si="24"/>
        <v>2017</v>
      </c>
      <c r="W86" s="99">
        <f t="shared" si="24"/>
        <v>2018</v>
      </c>
      <c r="X86" s="99">
        <f t="shared" si="24"/>
        <v>2019</v>
      </c>
      <c r="Y86" s="99">
        <f t="shared" si="24"/>
        <v>2020</v>
      </c>
      <c r="AA86" s="355">
        <f t="shared" si="8"/>
        <v>40210</v>
      </c>
      <c r="AB86" s="356">
        <f t="shared" si="21"/>
        <v>20105</v>
      </c>
    </row>
    <row r="87" spans="1:30" s="128" customFormat="1">
      <c r="AA87" s="355">
        <f t="shared" si="8"/>
        <v>0</v>
      </c>
      <c r="AB87" s="356">
        <f t="shared" si="21"/>
        <v>0</v>
      </c>
    </row>
    <row r="88" spans="1:30" s="128" customFormat="1">
      <c r="A88" s="11" t="s">
        <v>31</v>
      </c>
      <c r="F88" s="129">
        <f>F69</f>
        <v>2024.5718048611661</v>
      </c>
      <c r="G88" s="129">
        <f t="shared" ref="G88:Y88" si="25">G69</f>
        <v>1988.3969804798726</v>
      </c>
      <c r="H88" s="129">
        <f t="shared" si="25"/>
        <v>2147.299829024988</v>
      </c>
      <c r="I88" s="129">
        <f t="shared" si="25"/>
        <v>2253.3240436068272</v>
      </c>
      <c r="J88" s="129">
        <f t="shared" si="25"/>
        <v>2389.8803595268073</v>
      </c>
      <c r="K88" s="129">
        <f t="shared" si="25"/>
        <v>2476.5038526787812</v>
      </c>
      <c r="L88" s="129">
        <f t="shared" si="25"/>
        <v>2555.5969440484405</v>
      </c>
      <c r="M88" s="129">
        <f t="shared" si="25"/>
        <v>2612.3696558521769</v>
      </c>
      <c r="N88" s="129">
        <f t="shared" si="25"/>
        <v>2619.4256443890827</v>
      </c>
      <c r="O88" s="129">
        <f t="shared" si="25"/>
        <v>2613.8346671031668</v>
      </c>
      <c r="P88" s="129">
        <f t="shared" si="25"/>
        <v>2627.7955239937764</v>
      </c>
      <c r="Q88" s="129">
        <f t="shared" si="25"/>
        <v>2694.1343803268337</v>
      </c>
      <c r="R88" s="129">
        <f t="shared" si="25"/>
        <v>2714.2672681488566</v>
      </c>
      <c r="S88" s="129">
        <f t="shared" si="25"/>
        <v>2683.3453692621551</v>
      </c>
      <c r="T88" s="129">
        <f t="shared" si="25"/>
        <v>2575.2944684691447</v>
      </c>
      <c r="U88" s="129">
        <f t="shared" si="25"/>
        <v>4965.4204229820189</v>
      </c>
      <c r="V88" s="129">
        <f t="shared" si="25"/>
        <v>4965.815811909446</v>
      </c>
      <c r="W88" s="129">
        <f t="shared" si="25"/>
        <v>5030.2273833742602</v>
      </c>
      <c r="X88" s="129">
        <f t="shared" si="25"/>
        <v>5142.5390455834968</v>
      </c>
      <c r="Y88" s="129">
        <f t="shared" si="25"/>
        <v>5296.6114435448744</v>
      </c>
      <c r="AA88" s="355">
        <f t="shared" si="8"/>
        <v>62376.654899166177</v>
      </c>
      <c r="AB88" s="356">
        <f t="shared" si="21"/>
        <v>31188.327449583088</v>
      </c>
    </row>
    <row r="89" spans="1:30" s="128" customFormat="1">
      <c r="A89" s="128" t="s">
        <v>42</v>
      </c>
      <c r="F89" s="100">
        <f>F126+F127</f>
        <v>6350.7754703569371</v>
      </c>
      <c r="G89" s="100">
        <f t="shared" ref="G89:Y89" si="26">G126+G127</f>
        <v>11046.139701786011</v>
      </c>
      <c r="H89" s="100">
        <f t="shared" si="26"/>
        <v>5922.0866758228703</v>
      </c>
      <c r="I89" s="100">
        <f t="shared" si="26"/>
        <v>2797.0371698024119</v>
      </c>
      <c r="J89" s="100">
        <f t="shared" si="26"/>
        <v>2650.9665919017198</v>
      </c>
      <c r="K89" s="100">
        <f t="shared" si="26"/>
        <v>288.92803079588924</v>
      </c>
      <c r="L89" s="100">
        <f t="shared" si="26"/>
        <v>-2064.9549738502715</v>
      </c>
      <c r="M89" s="100">
        <f t="shared" si="26"/>
        <v>-2158.3601535858052</v>
      </c>
      <c r="N89" s="100">
        <f t="shared" si="26"/>
        <v>-2249.8641301935427</v>
      </c>
      <c r="O89" s="100">
        <f t="shared" si="26"/>
        <v>-2339.7439726935381</v>
      </c>
      <c r="P89" s="100">
        <f t="shared" si="26"/>
        <v>-2456.2090480333259</v>
      </c>
      <c r="Q89" s="100">
        <f t="shared" si="26"/>
        <v>-2636.1484274760114</v>
      </c>
      <c r="R89" s="100">
        <f t="shared" si="26"/>
        <v>-2790.589588187423</v>
      </c>
      <c r="S89" s="100">
        <f t="shared" si="26"/>
        <v>-2781.2110653242626</v>
      </c>
      <c r="T89" s="100">
        <f t="shared" si="26"/>
        <v>-2937.2402994715785</v>
      </c>
      <c r="U89" s="100">
        <f t="shared" si="26"/>
        <v>-1899.2733117906221</v>
      </c>
      <c r="V89" s="100">
        <f t="shared" si="26"/>
        <v>-1899.4245480553629</v>
      </c>
      <c r="W89" s="100">
        <f t="shared" si="26"/>
        <v>-1924.0619741406545</v>
      </c>
      <c r="X89" s="100">
        <f t="shared" si="26"/>
        <v>-1967.0211849356876</v>
      </c>
      <c r="Y89" s="100">
        <f t="shared" si="26"/>
        <v>-2025.9538771559144</v>
      </c>
      <c r="AA89" s="355">
        <f t="shared" si="8"/>
        <v>-3074.1229144281624</v>
      </c>
      <c r="AB89" s="356">
        <f t="shared" si="21"/>
        <v>-1537.0614572140812</v>
      </c>
    </row>
    <row r="90" spans="1:30" s="128" customFormat="1">
      <c r="A90" s="128" t="s">
        <v>109</v>
      </c>
      <c r="F90" s="100">
        <f>F56</f>
        <v>3339.3664960110004</v>
      </c>
      <c r="G90" s="100">
        <f t="shared" ref="G90:Y90" si="27">G56</f>
        <v>3524.8868569005012</v>
      </c>
      <c r="H90" s="100">
        <f t="shared" si="27"/>
        <v>3524.8868569005012</v>
      </c>
      <c r="I90" s="100">
        <f t="shared" si="27"/>
        <v>3710.4072177900011</v>
      </c>
      <c r="J90" s="100">
        <f t="shared" si="27"/>
        <v>3710.4072177900011</v>
      </c>
      <c r="K90" s="100">
        <f t="shared" si="27"/>
        <v>3895.9275786795015</v>
      </c>
      <c r="L90" s="100">
        <f t="shared" si="27"/>
        <v>3895.9275786795015</v>
      </c>
      <c r="M90" s="100">
        <f t="shared" si="27"/>
        <v>4081.4479395690009</v>
      </c>
      <c r="N90" s="100">
        <f t="shared" si="27"/>
        <v>808.30090451036233</v>
      </c>
      <c r="O90" s="100">
        <f t="shared" si="27"/>
        <v>0</v>
      </c>
      <c r="P90" s="100">
        <f t="shared" si="27"/>
        <v>0</v>
      </c>
      <c r="Q90" s="100">
        <f t="shared" si="27"/>
        <v>0</v>
      </c>
      <c r="R90" s="100">
        <f t="shared" si="27"/>
        <v>0</v>
      </c>
      <c r="S90" s="100">
        <f t="shared" si="27"/>
        <v>0</v>
      </c>
      <c r="T90" s="100">
        <f t="shared" si="27"/>
        <v>0</v>
      </c>
      <c r="U90" s="100">
        <f t="shared" si="27"/>
        <v>0</v>
      </c>
      <c r="V90" s="100">
        <f t="shared" si="27"/>
        <v>0</v>
      </c>
      <c r="W90" s="100">
        <f t="shared" si="27"/>
        <v>0</v>
      </c>
      <c r="X90" s="100">
        <f t="shared" si="27"/>
        <v>0</v>
      </c>
      <c r="Y90" s="100">
        <f t="shared" si="27"/>
        <v>0</v>
      </c>
      <c r="AA90" s="355">
        <f t="shared" si="8"/>
        <v>30491.558646830366</v>
      </c>
      <c r="AB90" s="356">
        <f t="shared" si="21"/>
        <v>15245.779323415183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f>Y99</f>
        <v>42372.891548358995</v>
      </c>
      <c r="AA91" s="355">
        <f t="shared" si="8"/>
        <v>42372.891548358995</v>
      </c>
      <c r="AB91" s="356">
        <f t="shared" si="21"/>
        <v>21186.445774179498</v>
      </c>
    </row>
    <row r="92" spans="1:30" s="128" customFormat="1">
      <c r="A92" s="128" t="s">
        <v>44</v>
      </c>
      <c r="E92" s="173">
        <v>-65672.702496740443</v>
      </c>
      <c r="F92" s="129">
        <f>SUM(F88:F91)</f>
        <v>11714.713771229104</v>
      </c>
      <c r="G92" s="129">
        <f t="shared" ref="G92:Y92" si="28">SUM(G88:G91)</f>
        <v>16559.423539166386</v>
      </c>
      <c r="H92" s="129">
        <f t="shared" si="28"/>
        <v>11594.273361748359</v>
      </c>
      <c r="I92" s="129">
        <f t="shared" si="28"/>
        <v>8760.7684311992398</v>
      </c>
      <c r="J92" s="129">
        <f t="shared" si="28"/>
        <v>8751.2541692185277</v>
      </c>
      <c r="K92" s="129">
        <f t="shared" si="28"/>
        <v>6661.3594621541724</v>
      </c>
      <c r="L92" s="129">
        <f t="shared" si="28"/>
        <v>4386.569548877671</v>
      </c>
      <c r="M92" s="129">
        <f t="shared" si="28"/>
        <v>4535.4574418353732</v>
      </c>
      <c r="N92" s="129">
        <f t="shared" si="28"/>
        <v>1177.8624187059022</v>
      </c>
      <c r="O92" s="129">
        <f t="shared" si="28"/>
        <v>274.09069440962867</v>
      </c>
      <c r="P92" s="129">
        <f t="shared" si="28"/>
        <v>171.58647596045057</v>
      </c>
      <c r="Q92" s="129">
        <f t="shared" si="28"/>
        <v>57.985952850822287</v>
      </c>
      <c r="R92" s="129">
        <f t="shared" si="28"/>
        <v>-76.322320038566431</v>
      </c>
      <c r="S92" s="129">
        <f t="shared" si="28"/>
        <v>-97.865696062107418</v>
      </c>
      <c r="T92" s="129">
        <f t="shared" si="28"/>
        <v>-361.94583100243381</v>
      </c>
      <c r="U92" s="129">
        <f t="shared" si="28"/>
        <v>3066.147111191397</v>
      </c>
      <c r="V92" s="129">
        <f t="shared" si="28"/>
        <v>3066.3912638540833</v>
      </c>
      <c r="W92" s="129">
        <f t="shared" si="28"/>
        <v>3106.1654092336057</v>
      </c>
      <c r="X92" s="129">
        <f t="shared" si="28"/>
        <v>3175.5178606478094</v>
      </c>
      <c r="Y92" s="129">
        <f t="shared" si="28"/>
        <v>45643.549114747955</v>
      </c>
      <c r="AA92" s="355">
        <f t="shared" si="8"/>
        <v>132166.98217992741</v>
      </c>
      <c r="AB92" s="356">
        <f t="shared" si="21"/>
        <v>66083.491089963703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1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1"/>
        <v>0</v>
      </c>
    </row>
    <row r="95" spans="1:30" s="128" customFormat="1" ht="13.5" thickBot="1">
      <c r="A95" s="128" t="s">
        <v>46</v>
      </c>
      <c r="E95" s="132">
        <f>NPV(C96,E92:Y92)</f>
        <v>0</v>
      </c>
      <c r="R95" s="133"/>
      <c r="U95" s="134" t="s">
        <v>47</v>
      </c>
      <c r="V95" s="135"/>
      <c r="W95" s="135"/>
      <c r="X95" s="135"/>
      <c r="Y95" s="136">
        <f>Y39</f>
        <v>5296.6114435448744</v>
      </c>
      <c r="AA95" s="355">
        <f t="shared" si="8"/>
        <v>5296.6114435448744</v>
      </c>
      <c r="AB95" s="356">
        <f t="shared" si="21"/>
        <v>2648.3057217724372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1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5296.6114435448744</v>
      </c>
      <c r="AA97" s="355">
        <f t="shared" si="8"/>
        <v>5296.6114435448744</v>
      </c>
      <c r="AB97" s="356">
        <f t="shared" si="21"/>
        <v>2648.3057217724372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1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42372.891548358995</v>
      </c>
      <c r="AA99" s="355">
        <f t="shared" si="8"/>
        <v>42372.891548358995</v>
      </c>
      <c r="AB99" s="356">
        <f t="shared" si="21"/>
        <v>21186.445774179498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1"/>
        <v>0</v>
      </c>
    </row>
    <row r="101" spans="1:28" s="128" customFormat="1">
      <c r="A101" s="128" t="s">
        <v>53</v>
      </c>
      <c r="D101" s="378">
        <f>[7]FINANCIALS!$F$72+[7]FINANCIALS!$F$66</f>
        <v>47657</v>
      </c>
      <c r="F101" s="409" t="s">
        <v>154</v>
      </c>
      <c r="G101" s="409"/>
      <c r="H101" s="410">
        <f>-AA66-AA46</f>
        <v>47657</v>
      </c>
      <c r="AA101" s="355">
        <f t="shared" si="8"/>
        <v>47657</v>
      </c>
      <c r="AB101" s="356">
        <f t="shared" si="21"/>
        <v>23828.5</v>
      </c>
    </row>
    <row r="102" spans="1:28" s="128" customFormat="1" ht="15">
      <c r="A102" s="128" t="s">
        <v>54</v>
      </c>
      <c r="D102" s="101">
        <f>-E92</f>
        <v>65672.702496740443</v>
      </c>
      <c r="AA102" s="355">
        <f t="shared" si="8"/>
        <v>0</v>
      </c>
      <c r="AB102" s="356">
        <f t="shared" si="21"/>
        <v>0</v>
      </c>
    </row>
    <row r="103" spans="1:28" s="128" customFormat="1">
      <c r="D103" s="142">
        <f>D101+D102</f>
        <v>113329.70249674044</v>
      </c>
      <c r="AA103" s="355">
        <f t="shared" si="8"/>
        <v>0</v>
      </c>
      <c r="AB103" s="356">
        <f t="shared" si="21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29">SUM(F104:Y104)</f>
        <v>0</v>
      </c>
      <c r="AB104" s="356">
        <f t="shared" si="21"/>
        <v>0</v>
      </c>
    </row>
    <row r="105" spans="1:28" s="128" customFormat="1">
      <c r="A105" s="128" t="s">
        <v>56</v>
      </c>
      <c r="D105" s="142">
        <f>D103*D104</f>
        <v>101996.73224706641</v>
      </c>
      <c r="AA105" s="355">
        <f t="shared" si="29"/>
        <v>0</v>
      </c>
      <c r="AB105" s="356">
        <f t="shared" si="21"/>
        <v>0</v>
      </c>
    </row>
    <row r="106" spans="1:28" s="128" customFormat="1">
      <c r="AA106" s="355">
        <f t="shared" si="29"/>
        <v>0</v>
      </c>
      <c r="AB106" s="356">
        <f t="shared" si="21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30">G107+1</f>
        <v>2003</v>
      </c>
      <c r="I107" s="99">
        <f t="shared" si="30"/>
        <v>2004</v>
      </c>
      <c r="J107" s="99">
        <f t="shared" si="30"/>
        <v>2005</v>
      </c>
      <c r="K107" s="99">
        <f t="shared" si="30"/>
        <v>2006</v>
      </c>
      <c r="L107" s="99">
        <f t="shared" si="30"/>
        <v>2007</v>
      </c>
      <c r="M107" s="99">
        <f t="shared" si="30"/>
        <v>2008</v>
      </c>
      <c r="N107" s="99">
        <f t="shared" si="30"/>
        <v>2009</v>
      </c>
      <c r="O107" s="99">
        <f t="shared" si="30"/>
        <v>2010</v>
      </c>
      <c r="P107" s="99">
        <f t="shared" si="30"/>
        <v>2011</v>
      </c>
      <c r="Q107" s="99">
        <f t="shared" si="30"/>
        <v>2012</v>
      </c>
      <c r="R107" s="99">
        <f t="shared" si="30"/>
        <v>2013</v>
      </c>
      <c r="S107" s="99">
        <f t="shared" si="30"/>
        <v>2014</v>
      </c>
      <c r="T107" s="99">
        <f t="shared" si="30"/>
        <v>2015</v>
      </c>
      <c r="U107" s="99">
        <f t="shared" si="30"/>
        <v>2016</v>
      </c>
      <c r="V107" s="99">
        <f t="shared" si="30"/>
        <v>2017</v>
      </c>
      <c r="W107" s="99">
        <f t="shared" si="30"/>
        <v>2018</v>
      </c>
      <c r="X107" s="99">
        <f t="shared" si="30"/>
        <v>2019</v>
      </c>
      <c r="Y107" s="99">
        <f t="shared" si="30"/>
        <v>2020</v>
      </c>
      <c r="AA107" s="355">
        <f t="shared" si="29"/>
        <v>40210</v>
      </c>
      <c r="AB107" s="356">
        <f t="shared" si="21"/>
        <v>20105</v>
      </c>
    </row>
    <row r="108" spans="1:28" s="128" customFormat="1">
      <c r="A108" s="103" t="s">
        <v>57</v>
      </c>
      <c r="AA108" s="355">
        <f t="shared" si="29"/>
        <v>0</v>
      </c>
      <c r="AB108" s="356">
        <f t="shared" si="21"/>
        <v>0</v>
      </c>
    </row>
    <row r="109" spans="1:28" s="128" customFormat="1">
      <c r="A109" s="128" t="s">
        <v>58</v>
      </c>
      <c r="B109" s="104">
        <v>30</v>
      </c>
      <c r="C109" s="128" t="s">
        <v>0</v>
      </c>
      <c r="D109" s="143">
        <f>D105</f>
        <v>101996.73224706641</v>
      </c>
      <c r="F109" s="132">
        <f>ROUND(D109/$B$109,0)</f>
        <v>3400</v>
      </c>
      <c r="G109" s="132">
        <f>F109</f>
        <v>3400</v>
      </c>
      <c r="H109" s="132">
        <f t="shared" ref="H109:Y110" si="31">G109</f>
        <v>3400</v>
      </c>
      <c r="I109" s="132">
        <f t="shared" si="31"/>
        <v>3400</v>
      </c>
      <c r="J109" s="132">
        <f t="shared" si="31"/>
        <v>3400</v>
      </c>
      <c r="K109" s="132">
        <f t="shared" si="31"/>
        <v>3400</v>
      </c>
      <c r="L109" s="132">
        <f t="shared" si="31"/>
        <v>3400</v>
      </c>
      <c r="M109" s="132">
        <f t="shared" si="31"/>
        <v>3400</v>
      </c>
      <c r="N109" s="132">
        <f t="shared" si="31"/>
        <v>3400</v>
      </c>
      <c r="O109" s="132">
        <f t="shared" si="31"/>
        <v>3400</v>
      </c>
      <c r="P109" s="132">
        <f t="shared" si="31"/>
        <v>3400</v>
      </c>
      <c r="Q109" s="132">
        <f t="shared" si="31"/>
        <v>3400</v>
      </c>
      <c r="R109" s="132">
        <f t="shared" si="31"/>
        <v>3400</v>
      </c>
      <c r="S109" s="132">
        <f t="shared" si="31"/>
        <v>3400</v>
      </c>
      <c r="T109" s="132">
        <f t="shared" si="31"/>
        <v>3400</v>
      </c>
      <c r="U109" s="132">
        <f t="shared" si="31"/>
        <v>3400</v>
      </c>
      <c r="V109" s="132">
        <f t="shared" si="31"/>
        <v>3400</v>
      </c>
      <c r="W109" s="132">
        <f t="shared" si="31"/>
        <v>3400</v>
      </c>
      <c r="X109" s="132">
        <f t="shared" si="31"/>
        <v>3400</v>
      </c>
      <c r="Y109" s="132">
        <f t="shared" si="31"/>
        <v>3400</v>
      </c>
      <c r="AA109" s="355">
        <f t="shared" si="29"/>
        <v>68000</v>
      </c>
      <c r="AB109" s="356">
        <f t="shared" si="21"/>
        <v>34000</v>
      </c>
    </row>
    <row r="110" spans="1:28" s="128" customFormat="1">
      <c r="A110" s="128" t="s">
        <v>138</v>
      </c>
      <c r="D110" s="143">
        <f>D104*'FPLE_Wind Summary'!J16</f>
        <v>10096.7933726141</v>
      </c>
      <c r="F110" s="132">
        <f>ROUND(D110/$B$109,0)</f>
        <v>337</v>
      </c>
      <c r="G110" s="132">
        <f>F110</f>
        <v>337</v>
      </c>
      <c r="H110" s="132">
        <f t="shared" si="31"/>
        <v>337</v>
      </c>
      <c r="I110" s="132">
        <f t="shared" si="31"/>
        <v>337</v>
      </c>
      <c r="J110" s="132">
        <f t="shared" si="31"/>
        <v>337</v>
      </c>
      <c r="K110" s="132">
        <f t="shared" si="31"/>
        <v>337</v>
      </c>
      <c r="L110" s="132">
        <f t="shared" si="31"/>
        <v>337</v>
      </c>
      <c r="M110" s="132">
        <f t="shared" si="31"/>
        <v>337</v>
      </c>
      <c r="N110" s="132">
        <f t="shared" si="31"/>
        <v>337</v>
      </c>
      <c r="O110" s="132">
        <f t="shared" si="31"/>
        <v>337</v>
      </c>
      <c r="P110" s="132">
        <f t="shared" si="31"/>
        <v>337</v>
      </c>
      <c r="Q110" s="132">
        <f t="shared" si="31"/>
        <v>337</v>
      </c>
      <c r="R110" s="132">
        <f t="shared" si="31"/>
        <v>337</v>
      </c>
      <c r="S110" s="132">
        <f t="shared" si="31"/>
        <v>337</v>
      </c>
      <c r="T110" s="132">
        <f t="shared" si="31"/>
        <v>337</v>
      </c>
      <c r="U110" s="132">
        <f t="shared" si="31"/>
        <v>337</v>
      </c>
      <c r="V110" s="132">
        <f t="shared" si="31"/>
        <v>337</v>
      </c>
      <c r="W110" s="132">
        <f t="shared" si="31"/>
        <v>337</v>
      </c>
      <c r="X110" s="132">
        <f t="shared" si="31"/>
        <v>337</v>
      </c>
      <c r="Y110" s="132">
        <f t="shared" si="31"/>
        <v>337</v>
      </c>
      <c r="AA110" s="355">
        <f t="shared" si="29"/>
        <v>6740</v>
      </c>
      <c r="AB110" s="356">
        <f t="shared" si="21"/>
        <v>3370</v>
      </c>
    </row>
    <row r="111" spans="1:28" s="128" customFormat="1">
      <c r="AA111" s="355">
        <f t="shared" si="29"/>
        <v>0</v>
      </c>
      <c r="AB111" s="356">
        <f t="shared" si="21"/>
        <v>0</v>
      </c>
    </row>
    <row r="112" spans="1:28" s="128" customFormat="1">
      <c r="A112" s="103" t="s">
        <v>59</v>
      </c>
      <c r="AA112" s="355">
        <f t="shared" si="29"/>
        <v>0</v>
      </c>
      <c r="AB112" s="356">
        <f t="shared" si="21"/>
        <v>0</v>
      </c>
    </row>
    <row r="113" spans="1:28" s="128" customFormat="1">
      <c r="A113" s="104" t="s">
        <v>60</v>
      </c>
      <c r="D113" s="143">
        <f>D109</f>
        <v>101996.73224706641</v>
      </c>
      <c r="AA113" s="355">
        <f t="shared" si="29"/>
        <v>0</v>
      </c>
      <c r="AB113" s="356">
        <f t="shared" si="21"/>
        <v>0</v>
      </c>
    </row>
    <row r="114" spans="1:28" s="128" customFormat="1">
      <c r="A114" s="128" t="s">
        <v>82</v>
      </c>
      <c r="E114" s="144"/>
      <c r="F114" s="191">
        <v>0.2</v>
      </c>
      <c r="G114" s="191">
        <v>0.32</v>
      </c>
      <c r="H114" s="191">
        <v>0.192</v>
      </c>
      <c r="I114" s="191">
        <v>0.1152</v>
      </c>
      <c r="J114" s="191">
        <v>0.1152</v>
      </c>
      <c r="K114" s="191">
        <v>5.7599999999999998E-2</v>
      </c>
      <c r="L114" s="191">
        <v>0</v>
      </c>
      <c r="M114" s="191">
        <v>0</v>
      </c>
      <c r="N114" s="191">
        <v>0</v>
      </c>
      <c r="O114" s="191">
        <v>0</v>
      </c>
      <c r="P114" s="191">
        <v>0</v>
      </c>
      <c r="Q114" s="191">
        <v>0</v>
      </c>
      <c r="R114" s="191">
        <v>0</v>
      </c>
      <c r="S114" s="191">
        <v>0</v>
      </c>
      <c r="T114" s="191">
        <v>0</v>
      </c>
      <c r="U114" s="191">
        <v>0</v>
      </c>
      <c r="V114" s="191">
        <v>0</v>
      </c>
      <c r="W114" s="191">
        <v>0</v>
      </c>
      <c r="X114" s="191">
        <v>0</v>
      </c>
      <c r="Y114" s="191">
        <v>0</v>
      </c>
      <c r="Z114" s="145"/>
      <c r="AA114" s="355">
        <f t="shared" si="29"/>
        <v>0.99999999999999989</v>
      </c>
      <c r="AB114" s="356">
        <f t="shared" si="21"/>
        <v>0.49999999999999994</v>
      </c>
    </row>
    <row r="115" spans="1:28" s="128" customFormat="1">
      <c r="A115" s="128" t="s">
        <v>59</v>
      </c>
      <c r="F115" s="132">
        <f t="shared" ref="F115:Y115" si="32">$D$113*F114</f>
        <v>20399.346449413282</v>
      </c>
      <c r="G115" s="132">
        <f t="shared" si="32"/>
        <v>32638.954319061249</v>
      </c>
      <c r="H115" s="132">
        <f t="shared" si="32"/>
        <v>19583.37259143675</v>
      </c>
      <c r="I115" s="132">
        <f t="shared" si="32"/>
        <v>11750.023554862049</v>
      </c>
      <c r="J115" s="132">
        <f t="shared" si="32"/>
        <v>11750.023554862049</v>
      </c>
      <c r="K115" s="132">
        <f t="shared" si="32"/>
        <v>5875.0117774310247</v>
      </c>
      <c r="L115" s="132">
        <f t="shared" si="32"/>
        <v>0</v>
      </c>
      <c r="M115" s="132">
        <f t="shared" si="32"/>
        <v>0</v>
      </c>
      <c r="N115" s="132">
        <f t="shared" si="32"/>
        <v>0</v>
      </c>
      <c r="O115" s="132">
        <f t="shared" si="32"/>
        <v>0</v>
      </c>
      <c r="P115" s="132">
        <f t="shared" si="32"/>
        <v>0</v>
      </c>
      <c r="Q115" s="132">
        <f t="shared" si="32"/>
        <v>0</v>
      </c>
      <c r="R115" s="132">
        <f t="shared" si="32"/>
        <v>0</v>
      </c>
      <c r="S115" s="132">
        <f t="shared" si="32"/>
        <v>0</v>
      </c>
      <c r="T115" s="132">
        <f t="shared" si="32"/>
        <v>0</v>
      </c>
      <c r="U115" s="132">
        <f t="shared" si="32"/>
        <v>0</v>
      </c>
      <c r="V115" s="132">
        <f t="shared" si="32"/>
        <v>0</v>
      </c>
      <c r="W115" s="132">
        <f t="shared" si="32"/>
        <v>0</v>
      </c>
      <c r="X115" s="132">
        <f t="shared" si="32"/>
        <v>0</v>
      </c>
      <c r="Y115" s="132">
        <f t="shared" si="32"/>
        <v>0</v>
      </c>
      <c r="AA115" s="355">
        <f t="shared" si="29"/>
        <v>101996.73224706641</v>
      </c>
      <c r="AB115" s="356">
        <f t="shared" si="21"/>
        <v>50998.366123533204</v>
      </c>
    </row>
    <row r="116" spans="1:28" s="128" customFormat="1">
      <c r="A116" s="128" t="s">
        <v>138</v>
      </c>
      <c r="D116" s="143">
        <f>D110</f>
        <v>10096.7933726141</v>
      </c>
      <c r="F116" s="132">
        <f t="shared" ref="F116:L116" si="33">$D$116*F114</f>
        <v>2019.3586745228201</v>
      </c>
      <c r="G116" s="132">
        <f t="shared" si="33"/>
        <v>3230.9738792365119</v>
      </c>
      <c r="H116" s="132">
        <f t="shared" si="33"/>
        <v>1938.5843275419072</v>
      </c>
      <c r="I116" s="132">
        <f t="shared" si="33"/>
        <v>1163.1505965251442</v>
      </c>
      <c r="J116" s="132">
        <f t="shared" si="33"/>
        <v>1163.1505965251442</v>
      </c>
      <c r="K116" s="132">
        <f t="shared" si="33"/>
        <v>581.57529826257212</v>
      </c>
      <c r="L116" s="132">
        <f t="shared" si="33"/>
        <v>0</v>
      </c>
      <c r="M116" s="132">
        <f t="shared" ref="M116:Y116" si="34">$D$116*M114</f>
        <v>0</v>
      </c>
      <c r="N116" s="132">
        <f t="shared" si="34"/>
        <v>0</v>
      </c>
      <c r="O116" s="132">
        <f t="shared" si="34"/>
        <v>0</v>
      </c>
      <c r="P116" s="132">
        <f t="shared" si="34"/>
        <v>0</v>
      </c>
      <c r="Q116" s="132">
        <f t="shared" si="34"/>
        <v>0</v>
      </c>
      <c r="R116" s="132">
        <f t="shared" si="34"/>
        <v>0</v>
      </c>
      <c r="S116" s="132">
        <f t="shared" si="34"/>
        <v>0</v>
      </c>
      <c r="T116" s="132">
        <f t="shared" si="34"/>
        <v>0</v>
      </c>
      <c r="U116" s="132">
        <f t="shared" si="34"/>
        <v>0</v>
      </c>
      <c r="V116" s="132">
        <f t="shared" si="34"/>
        <v>0</v>
      </c>
      <c r="W116" s="132">
        <f t="shared" si="34"/>
        <v>0</v>
      </c>
      <c r="X116" s="132">
        <f t="shared" si="34"/>
        <v>0</v>
      </c>
      <c r="Y116" s="132">
        <f t="shared" si="34"/>
        <v>0</v>
      </c>
      <c r="AA116" s="355">
        <f t="shared" si="29"/>
        <v>10096.7933726141</v>
      </c>
      <c r="AB116" s="356">
        <f t="shared" si="21"/>
        <v>5048.39668630705</v>
      </c>
    </row>
    <row r="117" spans="1:28" s="128" customFormat="1">
      <c r="AA117" s="355">
        <f t="shared" si="29"/>
        <v>0</v>
      </c>
      <c r="AB117" s="356">
        <f t="shared" si="21"/>
        <v>0</v>
      </c>
    </row>
    <row r="118" spans="1:28" s="128" customFormat="1">
      <c r="AA118" s="355">
        <f t="shared" si="29"/>
        <v>0</v>
      </c>
      <c r="AB118" s="356">
        <f t="shared" si="21"/>
        <v>0</v>
      </c>
    </row>
    <row r="119" spans="1:28" s="128" customFormat="1" ht="13.5" thickBot="1">
      <c r="F119" s="99">
        <f>F107</f>
        <v>2001</v>
      </c>
      <c r="G119" s="99">
        <f t="shared" ref="G119:Y119" si="35">G107</f>
        <v>2002</v>
      </c>
      <c r="H119" s="99">
        <f t="shared" si="35"/>
        <v>2003</v>
      </c>
      <c r="I119" s="99">
        <f t="shared" si="35"/>
        <v>2004</v>
      </c>
      <c r="J119" s="99">
        <f t="shared" si="35"/>
        <v>2005</v>
      </c>
      <c r="K119" s="99">
        <f t="shared" si="35"/>
        <v>2006</v>
      </c>
      <c r="L119" s="99">
        <f t="shared" si="35"/>
        <v>2007</v>
      </c>
      <c r="M119" s="99">
        <f t="shared" si="35"/>
        <v>2008</v>
      </c>
      <c r="N119" s="99">
        <f t="shared" si="35"/>
        <v>2009</v>
      </c>
      <c r="O119" s="99">
        <f t="shared" si="35"/>
        <v>2010</v>
      </c>
      <c r="P119" s="99">
        <f t="shared" si="35"/>
        <v>2011</v>
      </c>
      <c r="Q119" s="99">
        <f t="shared" si="35"/>
        <v>2012</v>
      </c>
      <c r="R119" s="99">
        <f t="shared" si="35"/>
        <v>2013</v>
      </c>
      <c r="S119" s="99">
        <f t="shared" si="35"/>
        <v>2014</v>
      </c>
      <c r="T119" s="99">
        <f t="shared" si="35"/>
        <v>2015</v>
      </c>
      <c r="U119" s="99">
        <f t="shared" si="35"/>
        <v>2016</v>
      </c>
      <c r="V119" s="99">
        <f t="shared" si="35"/>
        <v>2017</v>
      </c>
      <c r="W119" s="99">
        <f t="shared" si="35"/>
        <v>2018</v>
      </c>
      <c r="X119" s="99">
        <f t="shared" si="35"/>
        <v>2019</v>
      </c>
      <c r="Y119" s="99">
        <f t="shared" si="35"/>
        <v>2020</v>
      </c>
      <c r="AA119" s="355">
        <f t="shared" si="29"/>
        <v>40210</v>
      </c>
      <c r="AB119" s="356">
        <f t="shared" si="21"/>
        <v>20105</v>
      </c>
    </row>
    <row r="120" spans="1:28" s="128" customFormat="1">
      <c r="A120" s="98" t="s">
        <v>62</v>
      </c>
      <c r="AA120" s="355">
        <f t="shared" si="29"/>
        <v>0</v>
      </c>
      <c r="AB120" s="356">
        <f t="shared" si="21"/>
        <v>0</v>
      </c>
    </row>
    <row r="121" spans="1:28" s="128" customFormat="1">
      <c r="A121" s="146" t="str">
        <f>A64</f>
        <v>EBITDA</v>
      </c>
      <c r="F121" s="132">
        <f>F39</f>
        <v>7348.5016384755609</v>
      </c>
      <c r="G121" s="132">
        <f t="shared" ref="G121:Y121" si="36">G39</f>
        <v>7179.8853075127881</v>
      </c>
      <c r="H121" s="132">
        <f t="shared" si="36"/>
        <v>7385.4882558840527</v>
      </c>
      <c r="I121" s="132">
        <f t="shared" si="36"/>
        <v>7571.7854105897359</v>
      </c>
      <c r="J121" s="132">
        <f>J39</f>
        <v>7785.5682259944688</v>
      </c>
      <c r="K121" s="132">
        <f t="shared" si="36"/>
        <v>7899.8386610522193</v>
      </c>
      <c r="L121" s="132">
        <f t="shared" si="36"/>
        <v>7976.9491759371494</v>
      </c>
      <c r="M121" s="132">
        <f t="shared" si="36"/>
        <v>8004.6034993006979</v>
      </c>
      <c r="N121" s="132">
        <f t="shared" si="36"/>
        <v>8009.998106887113</v>
      </c>
      <c r="O121" s="132">
        <f t="shared" si="36"/>
        <v>7993.5412289352007</v>
      </c>
      <c r="P121" s="132">
        <f t="shared" si="36"/>
        <v>8027.396709798446</v>
      </c>
      <c r="Q121" s="132">
        <f t="shared" si="36"/>
        <v>8203.2526543896074</v>
      </c>
      <c r="R121" s="132">
        <f t="shared" si="36"/>
        <v>8281.7052761536379</v>
      </c>
      <c r="S121" s="132">
        <f t="shared" si="36"/>
        <v>8474.6202996641368</v>
      </c>
      <c r="T121" s="132">
        <f t="shared" si="36"/>
        <v>7961.5415438668097</v>
      </c>
      <c r="U121" s="132">
        <f t="shared" si="36"/>
        <v>4965.4204229820189</v>
      </c>
      <c r="V121" s="132">
        <f t="shared" si="36"/>
        <v>4965.815811909446</v>
      </c>
      <c r="W121" s="132">
        <f t="shared" si="36"/>
        <v>5030.2273833742602</v>
      </c>
      <c r="X121" s="132">
        <f t="shared" si="36"/>
        <v>5142.5390455834968</v>
      </c>
      <c r="Y121" s="132">
        <f t="shared" si="36"/>
        <v>5296.6114435448744</v>
      </c>
      <c r="AA121" s="355">
        <f t="shared" si="29"/>
        <v>143505.29010183571</v>
      </c>
      <c r="AB121" s="356">
        <f t="shared" si="21"/>
        <v>71752.645050917854</v>
      </c>
    </row>
    <row r="122" spans="1:28" s="128" customFormat="1">
      <c r="A122" s="128" t="s">
        <v>63</v>
      </c>
      <c r="F122" s="132">
        <f>-F115</f>
        <v>-20399.346449413282</v>
      </c>
      <c r="G122" s="132">
        <f t="shared" ref="G122:Y122" si="37">-G115</f>
        <v>-32638.954319061249</v>
      </c>
      <c r="H122" s="132">
        <f t="shared" si="37"/>
        <v>-19583.37259143675</v>
      </c>
      <c r="I122" s="132">
        <f t="shared" si="37"/>
        <v>-11750.023554862049</v>
      </c>
      <c r="J122" s="132">
        <f t="shared" si="37"/>
        <v>-11750.023554862049</v>
      </c>
      <c r="K122" s="132">
        <f t="shared" si="37"/>
        <v>-5875.0117774310247</v>
      </c>
      <c r="L122" s="132">
        <f t="shared" si="37"/>
        <v>0</v>
      </c>
      <c r="M122" s="132">
        <f t="shared" si="37"/>
        <v>0</v>
      </c>
      <c r="N122" s="132">
        <f t="shared" si="37"/>
        <v>0</v>
      </c>
      <c r="O122" s="132">
        <f t="shared" si="37"/>
        <v>0</v>
      </c>
      <c r="P122" s="132">
        <f t="shared" si="37"/>
        <v>0</v>
      </c>
      <c r="Q122" s="132">
        <f t="shared" si="37"/>
        <v>0</v>
      </c>
      <c r="R122" s="132">
        <f t="shared" si="37"/>
        <v>0</v>
      </c>
      <c r="S122" s="132">
        <f t="shared" si="37"/>
        <v>0</v>
      </c>
      <c r="T122" s="132">
        <f t="shared" si="37"/>
        <v>0</v>
      </c>
      <c r="U122" s="132">
        <f t="shared" si="37"/>
        <v>0</v>
      </c>
      <c r="V122" s="132">
        <f t="shared" si="37"/>
        <v>0</v>
      </c>
      <c r="W122" s="132">
        <f t="shared" si="37"/>
        <v>0</v>
      </c>
      <c r="X122" s="132">
        <f t="shared" si="37"/>
        <v>0</v>
      </c>
      <c r="Y122" s="132">
        <f t="shared" si="37"/>
        <v>0</v>
      </c>
      <c r="AA122" s="355">
        <f t="shared" si="29"/>
        <v>-101996.73224706641</v>
      </c>
      <c r="AB122" s="356">
        <f t="shared" si="21"/>
        <v>-50998.366123533204</v>
      </c>
    </row>
    <row r="123" spans="1:28" s="128" customFormat="1">
      <c r="A123" s="128" t="s">
        <v>64</v>
      </c>
      <c r="F123" s="147">
        <f>-F46</f>
        <v>-3552.4897520869531</v>
      </c>
      <c r="G123" s="147">
        <f t="shared" ref="G123:Y123" si="38">-G46</f>
        <v>-3419.7275944280414</v>
      </c>
      <c r="H123" s="147">
        <f t="shared" si="38"/>
        <v>-3284.6952090822588</v>
      </c>
      <c r="I123" s="147">
        <f t="shared" si="38"/>
        <v>-3134.2773323352994</v>
      </c>
      <c r="J123" s="147">
        <f t="shared" si="38"/>
        <v>-2966.1762839473731</v>
      </c>
      <c r="K123" s="147">
        <f t="shared" si="38"/>
        <v>-2780.1942843947613</v>
      </c>
      <c r="L123" s="147">
        <f t="shared" si="38"/>
        <v>-2578.3740809037599</v>
      </c>
      <c r="M123" s="147">
        <f t="shared" si="38"/>
        <v>-2361.831855939115</v>
      </c>
      <c r="N123" s="147">
        <f t="shared" si="38"/>
        <v>-2128.0003808909228</v>
      </c>
      <c r="O123" s="147">
        <f t="shared" si="38"/>
        <v>-1876.5635225468654</v>
      </c>
      <c r="P123" s="147">
        <f t="shared" si="38"/>
        <v>-1605.9351463126261</v>
      </c>
      <c r="Q123" s="147">
        <f t="shared" si="38"/>
        <v>-1311.3613407268317</v>
      </c>
      <c r="R123" s="147">
        <f t="shared" si="38"/>
        <v>-986.04622206887143</v>
      </c>
      <c r="S123" s="147">
        <f t="shared" si="38"/>
        <v>-1203.4802596007044</v>
      </c>
      <c r="T123" s="147">
        <f t="shared" si="38"/>
        <v>-282.48193740516564</v>
      </c>
      <c r="U123" s="147">
        <f t="shared" si="38"/>
        <v>0</v>
      </c>
      <c r="V123" s="147">
        <f t="shared" si="38"/>
        <v>0</v>
      </c>
      <c r="W123" s="147">
        <f t="shared" si="38"/>
        <v>0</v>
      </c>
      <c r="X123" s="147">
        <f t="shared" si="38"/>
        <v>0</v>
      </c>
      <c r="Y123" s="147">
        <f t="shared" si="38"/>
        <v>0</v>
      </c>
      <c r="AA123" s="355">
        <f t="shared" si="29"/>
        <v>-33471.635202669553</v>
      </c>
      <c r="AB123" s="356">
        <f t="shared" si="21"/>
        <v>-16735.817601334777</v>
      </c>
    </row>
    <row r="124" spans="1:28" s="128" customFormat="1">
      <c r="A124" s="128" t="s">
        <v>65</v>
      </c>
      <c r="F124" s="132">
        <f>SUM(F121:F123)</f>
        <v>-16603.334563024673</v>
      </c>
      <c r="G124" s="132">
        <f t="shared" ref="G124:Y124" si="39">SUM(G121:G123)</f>
        <v>-28878.796605976502</v>
      </c>
      <c r="H124" s="132">
        <f t="shared" si="39"/>
        <v>-15482.579544634955</v>
      </c>
      <c r="I124" s="132">
        <f t="shared" si="39"/>
        <v>-7312.515476607613</v>
      </c>
      <c r="J124" s="132">
        <f t="shared" si="39"/>
        <v>-6930.6316128149538</v>
      </c>
      <c r="K124" s="132">
        <f t="shared" si="39"/>
        <v>-755.36740077356671</v>
      </c>
      <c r="L124" s="132">
        <f t="shared" si="39"/>
        <v>5398.5750950333895</v>
      </c>
      <c r="M124" s="132">
        <f t="shared" si="39"/>
        <v>5642.7716433615824</v>
      </c>
      <c r="N124" s="132">
        <f t="shared" si="39"/>
        <v>5881.9977259961906</v>
      </c>
      <c r="O124" s="132">
        <f t="shared" si="39"/>
        <v>6116.9777063883357</v>
      </c>
      <c r="P124" s="132">
        <f t="shared" si="39"/>
        <v>6421.4615634858201</v>
      </c>
      <c r="Q124" s="132">
        <f t="shared" si="39"/>
        <v>6891.8913136627762</v>
      </c>
      <c r="R124" s="132">
        <f t="shared" si="39"/>
        <v>7295.6590540847665</v>
      </c>
      <c r="S124" s="132">
        <f t="shared" si="39"/>
        <v>7271.140040063432</v>
      </c>
      <c r="T124" s="132">
        <f t="shared" si="39"/>
        <v>7679.0596064616439</v>
      </c>
      <c r="U124" s="132">
        <f t="shared" si="39"/>
        <v>4965.4204229820189</v>
      </c>
      <c r="V124" s="132">
        <f t="shared" si="39"/>
        <v>4965.815811909446</v>
      </c>
      <c r="W124" s="132">
        <f t="shared" si="39"/>
        <v>5030.2273833742602</v>
      </c>
      <c r="X124" s="132">
        <f t="shared" si="39"/>
        <v>5142.5390455834968</v>
      </c>
      <c r="Y124" s="132">
        <f t="shared" si="39"/>
        <v>5296.6114435448744</v>
      </c>
      <c r="AA124" s="355">
        <f t="shared" si="29"/>
        <v>8036.9226520997727</v>
      </c>
      <c r="AB124" s="356">
        <f t="shared" si="21"/>
        <v>4018.4613260498863</v>
      </c>
    </row>
    <row r="125" spans="1:28" s="128" customFormat="1">
      <c r="AA125" s="355">
        <f t="shared" si="29"/>
        <v>0</v>
      </c>
      <c r="AB125" s="356">
        <f t="shared" si="21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830.16672815123366</v>
      </c>
      <c r="G126" s="132">
        <f t="shared" ref="G126:Y126" si="40">-G124*$C$126</f>
        <v>1443.9398302988252</v>
      </c>
      <c r="H126" s="132">
        <f t="shared" si="40"/>
        <v>774.12897723174774</v>
      </c>
      <c r="I126" s="132">
        <f t="shared" si="40"/>
        <v>365.62577383038069</v>
      </c>
      <c r="J126" s="132">
        <f t="shared" si="40"/>
        <v>346.53158064074773</v>
      </c>
      <c r="K126" s="132">
        <f t="shared" si="40"/>
        <v>37.768370038678334</v>
      </c>
      <c r="L126" s="132">
        <f t="shared" si="40"/>
        <v>-269.92875475166949</v>
      </c>
      <c r="M126" s="132">
        <f t="shared" si="40"/>
        <v>-282.13858216807915</v>
      </c>
      <c r="N126" s="132">
        <f t="shared" si="40"/>
        <v>-294.09988629980955</v>
      </c>
      <c r="O126" s="132">
        <f t="shared" si="40"/>
        <v>-305.84888531941681</v>
      </c>
      <c r="P126" s="132">
        <f t="shared" si="40"/>
        <v>-321.07307817429103</v>
      </c>
      <c r="Q126" s="132">
        <f t="shared" si="40"/>
        <v>-344.59456568313885</v>
      </c>
      <c r="R126" s="132">
        <f t="shared" si="40"/>
        <v>-364.78295270423837</v>
      </c>
      <c r="S126" s="132">
        <f t="shared" si="40"/>
        <v>-363.55700200317165</v>
      </c>
      <c r="T126" s="132">
        <f t="shared" si="40"/>
        <v>-383.95298032308222</v>
      </c>
      <c r="U126" s="132">
        <f t="shared" si="40"/>
        <v>-248.27102114910096</v>
      </c>
      <c r="V126" s="132">
        <f t="shared" si="40"/>
        <v>-248.29079059547232</v>
      </c>
      <c r="W126" s="132">
        <f t="shared" si="40"/>
        <v>-251.51136916871303</v>
      </c>
      <c r="X126" s="132">
        <f t="shared" si="40"/>
        <v>-257.12695227917487</v>
      </c>
      <c r="Y126" s="132">
        <f t="shared" si="40"/>
        <v>-264.83057217724371</v>
      </c>
      <c r="AA126" s="355">
        <f t="shared" si="29"/>
        <v>-401.84613260498838</v>
      </c>
      <c r="AB126" s="356">
        <f t="shared" si="21"/>
        <v>-200.92306630249419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5520.6087422057035</v>
      </c>
      <c r="G127" s="132">
        <f t="shared" ref="G127:Y127" si="41">-(G124+G126)*$C$127</f>
        <v>9602.1998714871861</v>
      </c>
      <c r="H127" s="132">
        <f t="shared" si="41"/>
        <v>5147.9576985911226</v>
      </c>
      <c r="I127" s="132">
        <f t="shared" si="41"/>
        <v>2431.4113959720312</v>
      </c>
      <c r="J127" s="132">
        <f t="shared" si="41"/>
        <v>2304.4350112609718</v>
      </c>
      <c r="K127" s="132">
        <f t="shared" si="41"/>
        <v>251.15966075721093</v>
      </c>
      <c r="L127" s="132">
        <f t="shared" si="41"/>
        <v>-1795.0262190986018</v>
      </c>
      <c r="M127" s="132">
        <f t="shared" si="41"/>
        <v>-1876.2215714177262</v>
      </c>
      <c r="N127" s="132">
        <f t="shared" si="41"/>
        <v>-1955.7642438937332</v>
      </c>
      <c r="O127" s="132">
        <f t="shared" si="41"/>
        <v>-2033.8950873741214</v>
      </c>
      <c r="P127" s="132">
        <f t="shared" si="41"/>
        <v>-2135.135969859035</v>
      </c>
      <c r="Q127" s="132">
        <f t="shared" si="41"/>
        <v>-2291.5538617928728</v>
      </c>
      <c r="R127" s="132">
        <f t="shared" si="41"/>
        <v>-2425.8066354831844</v>
      </c>
      <c r="S127" s="132">
        <f t="shared" si="41"/>
        <v>-2417.6540633210907</v>
      </c>
      <c r="T127" s="132">
        <f t="shared" si="41"/>
        <v>-2553.2873191484964</v>
      </c>
      <c r="U127" s="132">
        <f t="shared" si="41"/>
        <v>-1651.0022906415211</v>
      </c>
      <c r="V127" s="132">
        <f t="shared" si="41"/>
        <v>-1651.1337574598906</v>
      </c>
      <c r="W127" s="132">
        <f t="shared" si="41"/>
        <v>-1672.5506049719415</v>
      </c>
      <c r="X127" s="132">
        <f t="shared" si="41"/>
        <v>-1709.8942326565127</v>
      </c>
      <c r="Y127" s="132">
        <f t="shared" si="41"/>
        <v>-1761.1233049786706</v>
      </c>
      <c r="AA127" s="355">
        <f t="shared" si="29"/>
        <v>-2672.276781823175</v>
      </c>
      <c r="AB127" s="356">
        <f t="shared" si="21"/>
        <v>-1336.1383909115875</v>
      </c>
    </row>
    <row r="128" spans="1:28" s="128" customFormat="1">
      <c r="AA128" s="355">
        <f t="shared" si="29"/>
        <v>0</v>
      </c>
      <c r="AB128" s="356">
        <f t="shared" si="21"/>
        <v>0</v>
      </c>
    </row>
    <row r="129" spans="1:28" s="128" customFormat="1">
      <c r="AA129" s="355">
        <f t="shared" si="29"/>
        <v>0</v>
      </c>
      <c r="AB129" s="356">
        <f t="shared" si="21"/>
        <v>0</v>
      </c>
    </row>
    <row r="130" spans="1:28" s="128" customFormat="1">
      <c r="AA130" s="355">
        <f t="shared" si="29"/>
        <v>0</v>
      </c>
      <c r="AB130" s="356">
        <f t="shared" si="21"/>
        <v>0</v>
      </c>
    </row>
    <row r="131" spans="1:28" s="128" customFormat="1">
      <c r="AA131" s="355">
        <f t="shared" si="29"/>
        <v>0</v>
      </c>
      <c r="AB131" s="356">
        <f t="shared" si="21"/>
        <v>0</v>
      </c>
    </row>
    <row r="132" spans="1:28" s="128" customFormat="1">
      <c r="AA132" s="355">
        <f t="shared" si="29"/>
        <v>0</v>
      </c>
      <c r="AB132" s="356">
        <f t="shared" si="21"/>
        <v>0</v>
      </c>
    </row>
    <row r="133" spans="1:28" s="128" customFormat="1">
      <c r="AA133" s="355">
        <f t="shared" si="29"/>
        <v>0</v>
      </c>
      <c r="AB133" s="356">
        <f t="shared" si="21"/>
        <v>0</v>
      </c>
    </row>
    <row r="134" spans="1:28" s="128" customFormat="1">
      <c r="AA134" s="355">
        <f t="shared" si="29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2">G119</f>
        <v>2002</v>
      </c>
      <c r="H135" s="99">
        <f t="shared" si="42"/>
        <v>2003</v>
      </c>
      <c r="I135" s="99">
        <f t="shared" si="42"/>
        <v>2004</v>
      </c>
      <c r="J135" s="99">
        <f t="shared" si="42"/>
        <v>2005</v>
      </c>
      <c r="K135" s="99">
        <f t="shared" si="42"/>
        <v>2006</v>
      </c>
      <c r="L135" s="99">
        <f t="shared" si="42"/>
        <v>2007</v>
      </c>
      <c r="M135" s="99">
        <f t="shared" si="42"/>
        <v>2008</v>
      </c>
      <c r="N135" s="99">
        <f t="shared" si="42"/>
        <v>2009</v>
      </c>
      <c r="O135" s="99">
        <f t="shared" si="42"/>
        <v>2010</v>
      </c>
      <c r="P135" s="99">
        <f t="shared" si="42"/>
        <v>2011</v>
      </c>
      <c r="Q135" s="99">
        <f t="shared" si="42"/>
        <v>2012</v>
      </c>
      <c r="R135" s="99">
        <f t="shared" si="42"/>
        <v>2013</v>
      </c>
      <c r="S135" s="99">
        <f t="shared" si="42"/>
        <v>2014</v>
      </c>
      <c r="T135" s="99">
        <f t="shared" si="42"/>
        <v>2015</v>
      </c>
      <c r="U135" s="99">
        <f t="shared" si="42"/>
        <v>2016</v>
      </c>
      <c r="V135" s="99">
        <f t="shared" si="42"/>
        <v>2017</v>
      </c>
      <c r="W135" s="99">
        <f t="shared" si="42"/>
        <v>2018</v>
      </c>
      <c r="X135" s="99">
        <f t="shared" si="42"/>
        <v>2019</v>
      </c>
      <c r="Y135" s="99">
        <f t="shared" si="42"/>
        <v>2020</v>
      </c>
      <c r="AA135" s="355">
        <f t="shared" si="29"/>
        <v>40210</v>
      </c>
      <c r="AB135" s="356">
        <f t="shared" ref="AB135:AB151" si="43">AA135</f>
        <v>40210</v>
      </c>
    </row>
    <row r="136" spans="1:28" s="128" customFormat="1">
      <c r="AA136" s="355">
        <f t="shared" si="29"/>
        <v>0</v>
      </c>
      <c r="AB136" s="356">
        <f t="shared" si="43"/>
        <v>0</v>
      </c>
    </row>
    <row r="137" spans="1:28" s="128" customFormat="1">
      <c r="A137" s="128" t="s">
        <v>78</v>
      </c>
      <c r="B137" s="128" t="s">
        <v>113</v>
      </c>
      <c r="E137" s="128">
        <v>1</v>
      </c>
      <c r="F137" s="181">
        <f>F46*$E$137</f>
        <v>3552.4897520869531</v>
      </c>
      <c r="G137" s="181">
        <f t="shared" ref="G137:Y137" si="44">G46*$E$137</f>
        <v>3419.7275944280414</v>
      </c>
      <c r="H137" s="181">
        <f t="shared" si="44"/>
        <v>3284.6952090822588</v>
      </c>
      <c r="I137" s="181">
        <f t="shared" si="44"/>
        <v>3134.2773323352994</v>
      </c>
      <c r="J137" s="181">
        <f t="shared" si="44"/>
        <v>2966.1762839473731</v>
      </c>
      <c r="K137" s="181">
        <f t="shared" si="44"/>
        <v>2780.1942843947613</v>
      </c>
      <c r="L137" s="181">
        <f t="shared" si="44"/>
        <v>2578.3740809037599</v>
      </c>
      <c r="M137" s="181">
        <f t="shared" si="44"/>
        <v>2361.831855939115</v>
      </c>
      <c r="N137" s="181">
        <f t="shared" si="44"/>
        <v>2128.0003808909228</v>
      </c>
      <c r="O137" s="181">
        <f t="shared" si="44"/>
        <v>1876.5635225468654</v>
      </c>
      <c r="P137" s="181">
        <f t="shared" si="44"/>
        <v>1605.9351463126261</v>
      </c>
      <c r="Q137" s="181">
        <f t="shared" si="44"/>
        <v>1311.3613407268317</v>
      </c>
      <c r="R137" s="181">
        <f t="shared" si="44"/>
        <v>986.04622206887143</v>
      </c>
      <c r="S137" s="181">
        <f t="shared" si="44"/>
        <v>1203.4802596007044</v>
      </c>
      <c r="T137" s="181">
        <f t="shared" si="44"/>
        <v>282.48193740516564</v>
      </c>
      <c r="U137" s="181">
        <f t="shared" si="44"/>
        <v>0</v>
      </c>
      <c r="V137" s="181">
        <f t="shared" si="44"/>
        <v>0</v>
      </c>
      <c r="W137" s="181">
        <f t="shared" si="44"/>
        <v>0</v>
      </c>
      <c r="X137" s="181">
        <f t="shared" si="44"/>
        <v>0</v>
      </c>
      <c r="Y137" s="181">
        <f t="shared" si="44"/>
        <v>0</v>
      </c>
      <c r="AA137" s="355">
        <f t="shared" si="29"/>
        <v>33471.635202669553</v>
      </c>
      <c r="AB137" s="356">
        <f t="shared" si="43"/>
        <v>33471.635202669553</v>
      </c>
    </row>
    <row r="138" spans="1:28" s="128" customFormat="1">
      <c r="A138" s="128" t="s">
        <v>67</v>
      </c>
      <c r="F138" s="147">
        <f t="shared" ref="F138:Y138" si="45">SUM(F33:F35)</f>
        <v>107.68906249999999</v>
      </c>
      <c r="G138" s="147">
        <f t="shared" si="45"/>
        <v>110.38128906249997</v>
      </c>
      <c r="H138" s="147">
        <f t="shared" si="45"/>
        <v>113.14082128906247</v>
      </c>
      <c r="I138" s="147">
        <f t="shared" si="45"/>
        <v>115.96934182128902</v>
      </c>
      <c r="J138" s="147">
        <f t="shared" si="45"/>
        <v>118.86857536682123</v>
      </c>
      <c r="K138" s="147">
        <f t="shared" si="45"/>
        <v>121.84028975099174</v>
      </c>
      <c r="L138" s="147">
        <f t="shared" si="45"/>
        <v>124.88629699476652</v>
      </c>
      <c r="M138" s="147">
        <f t="shared" si="45"/>
        <v>128.00845441963565</v>
      </c>
      <c r="N138" s="147">
        <f t="shared" si="45"/>
        <v>131.20866578012655</v>
      </c>
      <c r="O138" s="147">
        <f t="shared" si="45"/>
        <v>134.48888242462971</v>
      </c>
      <c r="P138" s="147">
        <f t="shared" si="45"/>
        <v>137.85110448524546</v>
      </c>
      <c r="Q138" s="147">
        <f t="shared" si="45"/>
        <v>141.29738209737656</v>
      </c>
      <c r="R138" s="147">
        <f t="shared" si="45"/>
        <v>144.82981664981097</v>
      </c>
      <c r="S138" s="147">
        <f t="shared" si="45"/>
        <v>148.45056206605622</v>
      </c>
      <c r="T138" s="147">
        <f t="shared" si="45"/>
        <v>152.16182611770762</v>
      </c>
      <c r="U138" s="147">
        <f t="shared" si="45"/>
        <v>155.9658717706503</v>
      </c>
      <c r="V138" s="147">
        <f t="shared" si="45"/>
        <v>159.86501856491654</v>
      </c>
      <c r="W138" s="147">
        <f t="shared" si="45"/>
        <v>163.86164402903941</v>
      </c>
      <c r="X138" s="147">
        <f t="shared" si="45"/>
        <v>167.95818512976538</v>
      </c>
      <c r="Y138" s="147">
        <f t="shared" si="45"/>
        <v>172.15713975800949</v>
      </c>
      <c r="AA138" s="355">
        <f t="shared" si="29"/>
        <v>2750.8802300784009</v>
      </c>
      <c r="AB138" s="356">
        <f t="shared" si="43"/>
        <v>2750.8802300784009</v>
      </c>
    </row>
    <row r="139" spans="1:28" s="128" customFormat="1">
      <c r="A139" s="128" t="s">
        <v>68</v>
      </c>
      <c r="F139" s="132">
        <f>F137+F138</f>
        <v>3660.1788145869532</v>
      </c>
      <c r="G139" s="132">
        <f t="shared" ref="G139:Y139" si="46">G137+G138</f>
        <v>3530.1088834905413</v>
      </c>
      <c r="H139" s="132">
        <f t="shared" si="46"/>
        <v>3397.8360303713212</v>
      </c>
      <c r="I139" s="132">
        <f t="shared" si="46"/>
        <v>3250.2466741565886</v>
      </c>
      <c r="J139" s="132">
        <f t="shared" si="46"/>
        <v>3085.0448593141946</v>
      </c>
      <c r="K139" s="132">
        <f t="shared" si="46"/>
        <v>2902.0345741457531</v>
      </c>
      <c r="L139" s="132">
        <f t="shared" si="46"/>
        <v>2703.2603778985263</v>
      </c>
      <c r="M139" s="132">
        <f t="shared" si="46"/>
        <v>2489.8403103587507</v>
      </c>
      <c r="N139" s="132">
        <f t="shared" si="46"/>
        <v>2259.2090466710492</v>
      </c>
      <c r="O139" s="132">
        <f t="shared" si="46"/>
        <v>2011.0524049714952</v>
      </c>
      <c r="P139" s="132">
        <f t="shared" si="46"/>
        <v>1743.7862507978716</v>
      </c>
      <c r="Q139" s="132">
        <f t="shared" si="46"/>
        <v>1452.6587228242083</v>
      </c>
      <c r="R139" s="132">
        <f t="shared" si="46"/>
        <v>1130.8760387186824</v>
      </c>
      <c r="S139" s="132">
        <f t="shared" si="46"/>
        <v>1351.9308216667605</v>
      </c>
      <c r="T139" s="132">
        <f t="shared" si="46"/>
        <v>434.64376352287326</v>
      </c>
      <c r="U139" s="132">
        <f t="shared" si="46"/>
        <v>155.9658717706503</v>
      </c>
      <c r="V139" s="132">
        <f t="shared" si="46"/>
        <v>159.86501856491654</v>
      </c>
      <c r="W139" s="132">
        <f t="shared" si="46"/>
        <v>163.86164402903941</v>
      </c>
      <c r="X139" s="132">
        <f t="shared" si="46"/>
        <v>167.95818512976538</v>
      </c>
      <c r="Y139" s="132">
        <f t="shared" si="46"/>
        <v>172.15713975800949</v>
      </c>
      <c r="AA139" s="355">
        <f t="shared" si="29"/>
        <v>36222.515432747954</v>
      </c>
      <c r="AB139" s="356">
        <f t="shared" si="43"/>
        <v>36222.515432747954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183.00894072934767</v>
      </c>
      <c r="G140" s="132">
        <f t="shared" ref="G140:Y140" si="47">G139*$C$140</f>
        <v>176.50544417452707</v>
      </c>
      <c r="H140" s="132">
        <f t="shared" si="47"/>
        <v>169.89180151856607</v>
      </c>
      <c r="I140" s="132">
        <f t="shared" si="47"/>
        <v>162.51233370782944</v>
      </c>
      <c r="J140" s="132">
        <f t="shared" si="47"/>
        <v>154.25224296570974</v>
      </c>
      <c r="K140" s="132">
        <f t="shared" si="47"/>
        <v>145.10172870728766</v>
      </c>
      <c r="L140" s="132">
        <f t="shared" si="47"/>
        <v>135.16301889492632</v>
      </c>
      <c r="M140" s="132">
        <f t="shared" si="47"/>
        <v>124.49201551793755</v>
      </c>
      <c r="N140" s="132">
        <f t="shared" si="47"/>
        <v>112.96045233355247</v>
      </c>
      <c r="O140" s="132">
        <f t="shared" si="47"/>
        <v>100.55262024857477</v>
      </c>
      <c r="P140" s="132">
        <f t="shared" si="47"/>
        <v>87.189312539893592</v>
      </c>
      <c r="Q140" s="132">
        <f t="shared" si="47"/>
        <v>72.632936141210422</v>
      </c>
      <c r="R140" s="132">
        <f t="shared" si="47"/>
        <v>56.54380193593412</v>
      </c>
      <c r="S140" s="132">
        <f t="shared" si="47"/>
        <v>67.596541083338025</v>
      </c>
      <c r="T140" s="132">
        <f t="shared" si="47"/>
        <v>21.732188176143666</v>
      </c>
      <c r="U140" s="132">
        <f t="shared" si="47"/>
        <v>7.7982935885325153</v>
      </c>
      <c r="V140" s="132">
        <f t="shared" si="47"/>
        <v>7.9932509282458275</v>
      </c>
      <c r="W140" s="132">
        <f t="shared" si="47"/>
        <v>8.1930822014519702</v>
      </c>
      <c r="X140" s="132">
        <f t="shared" si="47"/>
        <v>8.3979092564882691</v>
      </c>
      <c r="Y140" s="132">
        <f t="shared" si="47"/>
        <v>8.6078569879004743</v>
      </c>
      <c r="AA140" s="355">
        <f t="shared" si="29"/>
        <v>1811.1257716373973</v>
      </c>
      <c r="AB140" s="356">
        <f t="shared" si="43"/>
        <v>1811.1257716373973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1217.0094558501619</v>
      </c>
      <c r="G141" s="147">
        <f t="shared" ref="G141:Y141" si="48">(G139-G140)*$C$141</f>
        <v>1173.761203760605</v>
      </c>
      <c r="H141" s="147">
        <f t="shared" si="48"/>
        <v>1129.7804800984643</v>
      </c>
      <c r="I141" s="147">
        <f t="shared" si="48"/>
        <v>1080.7070191570656</v>
      </c>
      <c r="J141" s="147">
        <f t="shared" si="48"/>
        <v>1025.7774157219696</v>
      </c>
      <c r="K141" s="147">
        <f t="shared" si="48"/>
        <v>964.92649590346286</v>
      </c>
      <c r="L141" s="147">
        <f t="shared" si="48"/>
        <v>898.83407565125992</v>
      </c>
      <c r="M141" s="147">
        <f t="shared" si="48"/>
        <v>827.87190319428453</v>
      </c>
      <c r="N141" s="147">
        <f t="shared" si="48"/>
        <v>751.18700801812383</v>
      </c>
      <c r="O141" s="147">
        <f t="shared" si="48"/>
        <v>668.67492465302212</v>
      </c>
      <c r="P141" s="147">
        <f t="shared" si="48"/>
        <v>579.80892839029229</v>
      </c>
      <c r="Q141" s="147">
        <f t="shared" si="48"/>
        <v>483.00902533904923</v>
      </c>
      <c r="R141" s="147">
        <f t="shared" si="48"/>
        <v>376.01628287396181</v>
      </c>
      <c r="S141" s="147">
        <f t="shared" si="48"/>
        <v>449.51699820419782</v>
      </c>
      <c r="T141" s="147">
        <f t="shared" si="48"/>
        <v>144.51905137135535</v>
      </c>
      <c r="U141" s="147">
        <f t="shared" si="48"/>
        <v>51.858652363741221</v>
      </c>
      <c r="V141" s="147">
        <f t="shared" si="48"/>
        <v>53.155118672834746</v>
      </c>
      <c r="W141" s="147">
        <f t="shared" si="48"/>
        <v>54.483996639655601</v>
      </c>
      <c r="X141" s="147">
        <f t="shared" si="48"/>
        <v>55.846096555646987</v>
      </c>
      <c r="Y141" s="147">
        <f t="shared" si="48"/>
        <v>57.242248969538153</v>
      </c>
      <c r="AA141" s="355">
        <f t="shared" si="29"/>
        <v>12043.98638138869</v>
      </c>
      <c r="AB141" s="356">
        <f t="shared" si="43"/>
        <v>12043.98638138869</v>
      </c>
    </row>
    <row r="142" spans="1:28" s="128" customFormat="1">
      <c r="A142" s="128" t="s">
        <v>71</v>
      </c>
      <c r="F142" s="132">
        <f>F139-F140-F141</f>
        <v>2260.1604180074437</v>
      </c>
      <c r="G142" s="132">
        <f t="shared" ref="G142:Y142" si="49">G139-G140-G141</f>
        <v>2179.8422355554094</v>
      </c>
      <c r="H142" s="132">
        <f t="shared" si="49"/>
        <v>2098.1637487542912</v>
      </c>
      <c r="I142" s="132">
        <f t="shared" si="49"/>
        <v>2007.0273212916936</v>
      </c>
      <c r="J142" s="132">
        <f t="shared" si="49"/>
        <v>1905.0152006265153</v>
      </c>
      <c r="K142" s="132">
        <f t="shared" si="49"/>
        <v>1792.0063495350025</v>
      </c>
      <c r="L142" s="132">
        <f t="shared" si="49"/>
        <v>1669.2632833523403</v>
      </c>
      <c r="M142" s="132">
        <f t="shared" si="49"/>
        <v>1537.4763916465286</v>
      </c>
      <c r="N142" s="132">
        <f t="shared" si="49"/>
        <v>1395.061586319373</v>
      </c>
      <c r="O142" s="132">
        <f t="shared" si="49"/>
        <v>1241.8248600698983</v>
      </c>
      <c r="P142" s="132">
        <f t="shared" si="49"/>
        <v>1076.7880098676858</v>
      </c>
      <c r="Q142" s="132">
        <f t="shared" si="49"/>
        <v>897.0167613439487</v>
      </c>
      <c r="R142" s="132">
        <f t="shared" si="49"/>
        <v>698.31595390878635</v>
      </c>
      <c r="S142" s="132">
        <f t="shared" si="49"/>
        <v>834.81728237922471</v>
      </c>
      <c r="T142" s="132">
        <f t="shared" si="49"/>
        <v>268.39252397537427</v>
      </c>
      <c r="U142" s="132">
        <f t="shared" si="49"/>
        <v>96.308925818376565</v>
      </c>
      <c r="V142" s="132">
        <f t="shared" si="49"/>
        <v>98.716648963835965</v>
      </c>
      <c r="W142" s="132">
        <f t="shared" si="49"/>
        <v>101.18456518793184</v>
      </c>
      <c r="X142" s="132">
        <f t="shared" si="49"/>
        <v>103.71417931763011</v>
      </c>
      <c r="Y142" s="132">
        <f t="shared" si="49"/>
        <v>106.30703380057086</v>
      </c>
      <c r="AA142" s="355">
        <f t="shared" si="29"/>
        <v>22367.403279721857</v>
      </c>
      <c r="AB142" s="356">
        <f t="shared" si="43"/>
        <v>22367.403279721857</v>
      </c>
    </row>
    <row r="143" spans="1:28" s="128" customFormat="1">
      <c r="AA143" s="355">
        <f t="shared" si="29"/>
        <v>0</v>
      </c>
      <c r="AB143" s="356">
        <f t="shared" si="43"/>
        <v>0</v>
      </c>
    </row>
    <row r="144" spans="1:28" s="128" customFormat="1">
      <c r="A144" s="146" t="str">
        <f>A76</f>
        <v>Net Income to FPLE</v>
      </c>
      <c r="F144" s="149">
        <f>F76</f>
        <v>1791.951917927983</v>
      </c>
      <c r="G144" s="149">
        <f t="shared" ref="G144:Y144" si="50">G76</f>
        <v>1873.6421223651662</v>
      </c>
      <c r="H144" s="149">
        <f t="shared" si="50"/>
        <v>1978.8132816503046</v>
      </c>
      <c r="I144" s="149">
        <f t="shared" si="50"/>
        <v>2175.5342280560581</v>
      </c>
      <c r="J144" s="149">
        <f t="shared" si="50"/>
        <v>2293.4408710020416</v>
      </c>
      <c r="K144" s="149">
        <f t="shared" si="50"/>
        <v>2478.9039906327407</v>
      </c>
      <c r="L144" s="149">
        <f t="shared" si="50"/>
        <v>2565.0238499313095</v>
      </c>
      <c r="M144" s="149">
        <f t="shared" si="50"/>
        <v>2733.1797146723893</v>
      </c>
      <c r="N144" s="149">
        <f t="shared" si="50"/>
        <v>1170.4672501565049</v>
      </c>
      <c r="O144" s="149">
        <f t="shared" si="50"/>
        <v>838.86686684739857</v>
      </c>
      <c r="P144" s="149">
        <f t="shared" si="50"/>
        <v>932.87625772624699</v>
      </c>
      <c r="Q144" s="149">
        <f t="shared" si="50"/>
        <v>1078.1214430933821</v>
      </c>
      <c r="R144" s="149">
        <f t="shared" si="50"/>
        <v>1202.7847329486717</v>
      </c>
      <c r="S144" s="149">
        <f t="shared" si="50"/>
        <v>1195.2144873695847</v>
      </c>
      <c r="T144" s="149">
        <f t="shared" si="50"/>
        <v>1321.1596534950327</v>
      </c>
      <c r="U144" s="149">
        <f t="shared" si="50"/>
        <v>483.32355559569834</v>
      </c>
      <c r="V144" s="149">
        <f t="shared" si="50"/>
        <v>483.44563192704146</v>
      </c>
      <c r="W144" s="149">
        <f t="shared" si="50"/>
        <v>503.33270461680286</v>
      </c>
      <c r="X144" s="149">
        <f t="shared" si="50"/>
        <v>538.00893032390468</v>
      </c>
      <c r="Y144" s="149">
        <f t="shared" si="50"/>
        <v>585.57878319447991</v>
      </c>
      <c r="AA144" s="355">
        <f t="shared" si="29"/>
        <v>28223.670273532742</v>
      </c>
      <c r="AB144" s="356">
        <f t="shared" si="43"/>
        <v>28223.670273532742</v>
      </c>
    </row>
    <row r="145" spans="1:28" s="128" customFormat="1">
      <c r="A145" s="103" t="s">
        <v>79</v>
      </c>
      <c r="F145" s="142">
        <f>F142+F144</f>
        <v>4052.1123359354269</v>
      </c>
      <c r="G145" s="142">
        <f t="shared" ref="G145:Y145" si="51">G142+G144</f>
        <v>4053.4843579205753</v>
      </c>
      <c r="H145" s="142">
        <f t="shared" si="51"/>
        <v>4076.977030404596</v>
      </c>
      <c r="I145" s="142">
        <f t="shared" si="51"/>
        <v>4182.5615493477517</v>
      </c>
      <c r="J145" s="142">
        <f t="shared" si="51"/>
        <v>4198.4560716285569</v>
      </c>
      <c r="K145" s="142">
        <f t="shared" si="51"/>
        <v>4270.910340167743</v>
      </c>
      <c r="L145" s="142">
        <f t="shared" si="51"/>
        <v>4234.2871332836494</v>
      </c>
      <c r="M145" s="142">
        <f t="shared" si="51"/>
        <v>4270.6561063189183</v>
      </c>
      <c r="N145" s="142">
        <f t="shared" si="51"/>
        <v>2565.5288364758781</v>
      </c>
      <c r="O145" s="142">
        <f t="shared" si="51"/>
        <v>2080.6917269172968</v>
      </c>
      <c r="P145" s="142">
        <f t="shared" si="51"/>
        <v>2009.6642675939329</v>
      </c>
      <c r="Q145" s="142">
        <f t="shared" si="51"/>
        <v>1975.1382044373308</v>
      </c>
      <c r="R145" s="142">
        <f t="shared" si="51"/>
        <v>1901.1006868574582</v>
      </c>
      <c r="S145" s="142">
        <f t="shared" si="51"/>
        <v>2030.0317697488094</v>
      </c>
      <c r="T145" s="142">
        <f t="shared" si="51"/>
        <v>1589.5521774704071</v>
      </c>
      <c r="U145" s="142">
        <f t="shared" si="51"/>
        <v>579.63248141407485</v>
      </c>
      <c r="V145" s="142">
        <f t="shared" si="51"/>
        <v>582.16228089087747</v>
      </c>
      <c r="W145" s="142">
        <f t="shared" si="51"/>
        <v>604.51726980473472</v>
      </c>
      <c r="X145" s="142">
        <f t="shared" si="51"/>
        <v>641.72310964153485</v>
      </c>
      <c r="Y145" s="142">
        <f t="shared" si="51"/>
        <v>691.88581699505073</v>
      </c>
      <c r="AA145" s="355">
        <f t="shared" si="29"/>
        <v>50591.073553254602</v>
      </c>
      <c r="AB145" s="356">
        <f t="shared" si="43"/>
        <v>50591.073553254602</v>
      </c>
    </row>
    <row r="146" spans="1:28" s="128" customFormat="1">
      <c r="AA146" s="355">
        <f t="shared" si="29"/>
        <v>0</v>
      </c>
      <c r="AB146" s="356">
        <f t="shared" si="43"/>
        <v>0</v>
      </c>
    </row>
    <row r="147" spans="1:28" s="128" customFormat="1">
      <c r="A147" s="128" t="s">
        <v>114</v>
      </c>
      <c r="F147" s="145">
        <f>(F141+F140)/F139</f>
        <v>0.38249999999999995</v>
      </c>
      <c r="G147" s="145">
        <f t="shared" ref="G147:Y147" si="52">(G141+G140)/G139</f>
        <v>0.38250000000000001</v>
      </c>
      <c r="H147" s="145">
        <f t="shared" si="52"/>
        <v>0.38250000000000001</v>
      </c>
      <c r="I147" s="145">
        <f t="shared" si="52"/>
        <v>0.38249999999999995</v>
      </c>
      <c r="J147" s="145">
        <f t="shared" si="52"/>
        <v>0.38249999999999995</v>
      </c>
      <c r="K147" s="145">
        <f t="shared" si="52"/>
        <v>0.38250000000000001</v>
      </c>
      <c r="L147" s="145">
        <f t="shared" si="52"/>
        <v>0.38249999999999995</v>
      </c>
      <c r="M147" s="145">
        <f t="shared" si="52"/>
        <v>0.38250000000000001</v>
      </c>
      <c r="N147" s="145">
        <f t="shared" si="52"/>
        <v>0.38249999999999995</v>
      </c>
      <c r="O147" s="145">
        <f t="shared" si="52"/>
        <v>0.38249999999999995</v>
      </c>
      <c r="P147" s="145">
        <f t="shared" si="52"/>
        <v>0.38249999999999995</v>
      </c>
      <c r="Q147" s="145">
        <f t="shared" si="52"/>
        <v>0.38249999999999995</v>
      </c>
      <c r="R147" s="145">
        <f t="shared" si="52"/>
        <v>0.38249999999999995</v>
      </c>
      <c r="S147" s="145">
        <f t="shared" si="52"/>
        <v>0.38249999999999995</v>
      </c>
      <c r="T147" s="145">
        <f t="shared" si="52"/>
        <v>0.38249999999999995</v>
      </c>
      <c r="U147" s="145">
        <f t="shared" si="52"/>
        <v>0.38250000000000001</v>
      </c>
      <c r="V147" s="145">
        <f t="shared" si="52"/>
        <v>0.38250000000000001</v>
      </c>
      <c r="W147" s="145">
        <f t="shared" si="52"/>
        <v>0.38250000000000001</v>
      </c>
      <c r="X147" s="145">
        <f t="shared" si="52"/>
        <v>0.38250000000000001</v>
      </c>
      <c r="Y147" s="145">
        <f t="shared" si="52"/>
        <v>0.38250000000000001</v>
      </c>
      <c r="AA147" s="355">
        <f t="shared" si="29"/>
        <v>7.6500000000000012</v>
      </c>
      <c r="AB147" s="356">
        <f t="shared" si="43"/>
        <v>7.6500000000000012</v>
      </c>
    </row>
    <row r="148" spans="1:28" s="128" customFormat="1">
      <c r="AA148" s="355">
        <f t="shared" si="29"/>
        <v>0</v>
      </c>
      <c r="AB148" s="356">
        <f t="shared" si="43"/>
        <v>0</v>
      </c>
    </row>
    <row r="149" spans="1:28" s="128" customFormat="1">
      <c r="A149" s="105" t="s">
        <v>110</v>
      </c>
      <c r="AA149" s="355">
        <f t="shared" si="29"/>
        <v>0</v>
      </c>
      <c r="AB149" s="356">
        <f t="shared" si="43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(1-((F140+F141)/F139))*F138</f>
        <v>66.497996093750004</v>
      </c>
      <c r="G150" s="129">
        <f t="shared" ref="G150:Y150" si="53">(1-((G140+G141)/G139))*G138</f>
        <v>68.160445996093728</v>
      </c>
      <c r="H150" s="129">
        <f t="shared" si="53"/>
        <v>69.86445714599607</v>
      </c>
      <c r="I150" s="129">
        <f t="shared" si="53"/>
        <v>71.611068574645969</v>
      </c>
      <c r="J150" s="129">
        <f t="shared" si="53"/>
        <v>73.401345289012113</v>
      </c>
      <c r="K150" s="129">
        <f t="shared" si="53"/>
        <v>75.236378921237389</v>
      </c>
      <c r="L150" s="129">
        <f t="shared" si="53"/>
        <v>77.117288394268328</v>
      </c>
      <c r="M150" s="129">
        <f t="shared" si="53"/>
        <v>79.045220604125007</v>
      </c>
      <c r="N150" s="129">
        <f t="shared" si="53"/>
        <v>81.021351119228157</v>
      </c>
      <c r="O150" s="129">
        <f t="shared" si="53"/>
        <v>83.046884897208855</v>
      </c>
      <c r="P150" s="129">
        <f t="shared" si="53"/>
        <v>85.123057019639077</v>
      </c>
      <c r="Q150" s="129">
        <f t="shared" si="53"/>
        <v>87.251133445130023</v>
      </c>
      <c r="R150" s="129">
        <f t="shared" si="53"/>
        <v>89.432411781258281</v>
      </c>
      <c r="S150" s="129">
        <f t="shared" si="53"/>
        <v>91.668222075789728</v>
      </c>
      <c r="T150" s="129">
        <f t="shared" si="53"/>
        <v>93.959927627684465</v>
      </c>
      <c r="U150" s="129">
        <f t="shared" si="53"/>
        <v>96.308925818376551</v>
      </c>
      <c r="V150" s="129">
        <f t="shared" si="53"/>
        <v>98.716648963835951</v>
      </c>
      <c r="W150" s="129">
        <f t="shared" si="53"/>
        <v>101.18456518793182</v>
      </c>
      <c r="X150" s="129">
        <f t="shared" si="53"/>
        <v>103.71417931763011</v>
      </c>
      <c r="Y150" s="129">
        <f t="shared" si="53"/>
        <v>106.30703380057085</v>
      </c>
      <c r="AA150" s="355">
        <f t="shared" si="29"/>
        <v>1698.6685420734127</v>
      </c>
      <c r="AB150" s="356">
        <f t="shared" si="43"/>
        <v>1698.6685420734127</v>
      </c>
    </row>
    <row r="151" spans="1:28" s="128" customFormat="1">
      <c r="A151" s="128" t="s">
        <v>111</v>
      </c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2"/>
      <c r="T151" s="192"/>
      <c r="U151" s="192"/>
      <c r="V151" s="192"/>
      <c r="W151" s="192"/>
      <c r="X151" s="192"/>
      <c r="Y151" s="192"/>
      <c r="AA151" s="355">
        <f t="shared" si="29"/>
        <v>0</v>
      </c>
      <c r="AB151" s="356">
        <f t="shared" si="43"/>
        <v>0</v>
      </c>
    </row>
    <row r="152" spans="1:28" s="128" customFormat="1">
      <c r="F152" s="129">
        <f>F150+F151</f>
        <v>66.497996093750004</v>
      </c>
      <c r="G152" s="129">
        <f t="shared" ref="G152:Y152" si="54">G150+G151</f>
        <v>68.160445996093728</v>
      </c>
      <c r="H152" s="129">
        <f t="shared" si="54"/>
        <v>69.86445714599607</v>
      </c>
      <c r="I152" s="129">
        <f t="shared" si="54"/>
        <v>71.611068574645969</v>
      </c>
      <c r="J152" s="129">
        <f t="shared" si="54"/>
        <v>73.401345289012113</v>
      </c>
      <c r="K152" s="129">
        <f t="shared" si="54"/>
        <v>75.236378921237389</v>
      </c>
      <c r="L152" s="129">
        <f t="shared" si="54"/>
        <v>77.117288394268328</v>
      </c>
      <c r="M152" s="129">
        <f t="shared" si="54"/>
        <v>79.045220604125007</v>
      </c>
      <c r="N152" s="129">
        <f t="shared" si="54"/>
        <v>81.021351119228157</v>
      </c>
      <c r="O152" s="129">
        <f t="shared" si="54"/>
        <v>83.046884897208855</v>
      </c>
      <c r="P152" s="129">
        <f t="shared" si="54"/>
        <v>85.123057019639077</v>
      </c>
      <c r="Q152" s="129">
        <f t="shared" si="54"/>
        <v>87.251133445130023</v>
      </c>
      <c r="R152" s="129">
        <f t="shared" si="54"/>
        <v>89.432411781258281</v>
      </c>
      <c r="S152" s="129">
        <f t="shared" si="54"/>
        <v>91.668222075789728</v>
      </c>
      <c r="T152" s="129">
        <f t="shared" si="54"/>
        <v>93.959927627684465</v>
      </c>
      <c r="U152" s="129">
        <f t="shared" si="54"/>
        <v>96.308925818376551</v>
      </c>
      <c r="V152" s="129">
        <f t="shared" si="54"/>
        <v>98.716648963835951</v>
      </c>
      <c r="W152" s="129">
        <f t="shared" si="54"/>
        <v>101.18456518793182</v>
      </c>
      <c r="X152" s="129">
        <f t="shared" si="54"/>
        <v>103.71417931763011</v>
      </c>
      <c r="Y152" s="129">
        <f t="shared" si="54"/>
        <v>106.30703380057085</v>
      </c>
      <c r="AA152" s="355">
        <f t="shared" si="29"/>
        <v>1698.6685420734127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723.92809225879614</v>
      </c>
    </row>
    <row r="156" spans="1:28" s="128" customFormat="1" ht="13.5" thickBot="1">
      <c r="A156" s="128" t="s">
        <v>48</v>
      </c>
      <c r="C156" s="152"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-E92*C76</f>
        <v>32836.351248370222</v>
      </c>
    </row>
    <row r="161" spans="1:25" s="128" customFormat="1">
      <c r="A161" s="108" t="s">
        <v>74</v>
      </c>
      <c r="B161" s="109"/>
      <c r="C161" s="109"/>
      <c r="D161" s="183">
        <f>[7]FINANCIALS!$F$72+[7]FINANCIALS!$F$66</f>
        <v>47657</v>
      </c>
      <c r="F161" s="150"/>
    </row>
    <row r="162" spans="1:25" s="128" customFormat="1">
      <c r="A162" s="108" t="s">
        <v>75</v>
      </c>
      <c r="B162" s="109"/>
      <c r="C162" s="109"/>
      <c r="D162" s="111">
        <f>C155</f>
        <v>723.92809225879614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81217.279340629015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 t="s">
        <v>156</v>
      </c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 t="s">
        <v>157</v>
      </c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 t="s">
        <v>158</v>
      </c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 t="s">
        <v>159</v>
      </c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6" t="s">
        <v>160</v>
      </c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6" t="s">
        <v>185</v>
      </c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 t="s">
        <v>195</v>
      </c>
      <c r="B175" s="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6" t="s">
        <v>196</v>
      </c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 t="s">
        <v>189</v>
      </c>
      <c r="B177" s="6"/>
      <c r="C177" s="415">
        <f>E57</f>
        <v>0.80085340547441586</v>
      </c>
      <c r="D177" s="31" t="s">
        <v>194</v>
      </c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17" t="s">
        <v>198</v>
      </c>
      <c r="B178" s="6"/>
      <c r="C178" s="415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 t="s">
        <v>179</v>
      </c>
      <c r="B179" s="1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6" t="s">
        <v>163</v>
      </c>
      <c r="B180" s="1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6" t="s">
        <v>183</v>
      </c>
      <c r="B181" s="17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6" t="s">
        <v>172</v>
      </c>
      <c r="B182" s="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 t="s">
        <v>171</v>
      </c>
      <c r="B183" s="6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outlineLevel="1">
      <c r="A184" s="6" t="s">
        <v>197</v>
      </c>
      <c r="B184" s="6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17" t="s">
        <v>173</v>
      </c>
      <c r="B185" s="6"/>
      <c r="C185" s="31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6"/>
      <c r="B186" s="6" t="s">
        <v>174</v>
      </c>
      <c r="C186" s="31"/>
      <c r="D186" s="31"/>
      <c r="E186" s="6"/>
      <c r="F186" s="6"/>
      <c r="G186" s="31"/>
      <c r="H186" s="6"/>
      <c r="I186" s="6"/>
      <c r="J186" s="6"/>
      <c r="K186" s="6"/>
      <c r="L186" s="6"/>
      <c r="M186" s="6"/>
      <c r="N186" s="6"/>
      <c r="O186" s="6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6"/>
      <c r="B187" s="17" t="s">
        <v>175</v>
      </c>
      <c r="C187" s="6"/>
      <c r="D187" s="31"/>
      <c r="E187" s="31"/>
      <c r="F187" s="31"/>
      <c r="G187" s="184"/>
      <c r="H187" s="185"/>
      <c r="I187" s="185"/>
      <c r="J187" s="185"/>
      <c r="K187" s="185"/>
      <c r="L187" s="185"/>
      <c r="M187" s="185"/>
      <c r="N187" s="185"/>
      <c r="O187" s="185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6"/>
      <c r="B188" s="6" t="s">
        <v>178</v>
      </c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36"/>
      <c r="B189" s="36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17" t="s">
        <v>199</v>
      </c>
      <c r="B190" s="36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36" t="s">
        <v>200</v>
      </c>
      <c r="B191" s="6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6"/>
      <c r="B192" s="17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17"/>
      <c r="B193" s="17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1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6"/>
      <c r="B196" s="17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17"/>
      <c r="B197" s="6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8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39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39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40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39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9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39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38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outlineLevel="1">
      <c r="A219" s="40"/>
      <c r="B219" s="6"/>
      <c r="C219" s="6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outlineLevel="1">
      <c r="A220" s="40"/>
      <c r="B220" s="6"/>
      <c r="C220" s="6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" customHeight="1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4.25" customHeight="1" outlineLevel="1">
      <c r="A223" s="40"/>
      <c r="B223" s="6"/>
      <c r="C223" s="6"/>
      <c r="D223" s="6"/>
      <c r="E223" s="27"/>
      <c r="F223" s="27"/>
      <c r="G223" s="27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outlineLevel="1">
      <c r="A224" s="40"/>
      <c r="B224" s="6"/>
      <c r="C224" s="6"/>
      <c r="D224" s="6"/>
      <c r="E224" s="27"/>
      <c r="F224" s="27"/>
      <c r="G224" s="27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outlineLevel="1">
      <c r="A225" s="40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42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42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27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6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6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17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17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6"/>
      <c r="B236" s="6"/>
      <c r="C236" s="6"/>
      <c r="D236" s="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spans="1:25" outlineLevel="1">
      <c r="A237" s="6"/>
      <c r="B237" s="6"/>
      <c r="C237" s="6"/>
      <c r="D237" s="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spans="1:25" outlineLevel="1">
      <c r="A238" s="3"/>
      <c r="B238" s="3"/>
      <c r="C238" s="3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outlineLevel="1">
      <c r="A239" s="40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9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39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38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27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40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6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6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39"/>
      <c r="B247" s="6"/>
      <c r="C247" s="6"/>
      <c r="D247" s="20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39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27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40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27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40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39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40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9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9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8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9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8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39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39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40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9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39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9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39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38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40"/>
      <c r="B279" s="6"/>
      <c r="C279" s="6"/>
      <c r="D279" s="6"/>
      <c r="E279" s="27"/>
      <c r="F279" s="27"/>
      <c r="G279" s="27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outlineLevel="1">
      <c r="A280" s="40"/>
      <c r="B280" s="6"/>
      <c r="C280" s="6"/>
      <c r="D280" s="6"/>
      <c r="E280" s="27"/>
      <c r="F280" s="27"/>
      <c r="G280" s="27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outlineLevel="1">
      <c r="A281" s="6"/>
      <c r="B281" s="6"/>
      <c r="C281" s="6"/>
      <c r="D281" s="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6"/>
      <c r="B282" s="6"/>
      <c r="C282" s="6"/>
      <c r="D282" s="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spans="1:25" outlineLevel="1">
      <c r="A283" s="6"/>
      <c r="B283" s="6"/>
      <c r="C283" s="6"/>
      <c r="D283" s="6"/>
      <c r="E283" s="6"/>
      <c r="F283" s="6"/>
      <c r="G283" s="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 spans="1:25" outlineLevel="1">
      <c r="A284" s="3"/>
      <c r="B284" s="3"/>
      <c r="C284" s="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17"/>
      <c r="B285" s="17"/>
      <c r="C285" s="1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17"/>
      <c r="B286" s="43"/>
      <c r="C286" s="43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17"/>
      <c r="B289" s="17"/>
      <c r="C289" s="17"/>
      <c r="D289" s="1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17"/>
      <c r="C290" s="17"/>
      <c r="D290" s="17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17"/>
      <c r="C291" s="17"/>
      <c r="D291" s="17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44"/>
      <c r="C292" s="44"/>
      <c r="D292" s="44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44"/>
      <c r="B293" s="44"/>
      <c r="C293" s="44"/>
      <c r="D293" s="44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44"/>
      <c r="B294" s="3"/>
      <c r="C294" s="3"/>
      <c r="D294" s="3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6"/>
      <c r="B295" s="6"/>
      <c r="C295" s="6"/>
      <c r="D295" s="6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17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17"/>
      <c r="C304" s="17"/>
      <c r="D304" s="17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17"/>
      <c r="C305" s="17"/>
      <c r="D305" s="17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44"/>
      <c r="B306" s="44"/>
      <c r="C306" s="44"/>
      <c r="D306" s="44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44"/>
      <c r="B307" s="44"/>
      <c r="C307" s="44"/>
      <c r="D307" s="44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17"/>
      <c r="B308" s="17"/>
      <c r="C308" s="17"/>
      <c r="D308" s="17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44"/>
      <c r="B309" s="44"/>
      <c r="C309" s="44"/>
      <c r="D309" s="44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44"/>
      <c r="B310" s="44"/>
      <c r="C310" s="44"/>
      <c r="D310" s="44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17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17"/>
      <c r="B312" s="17"/>
      <c r="C312" s="17"/>
      <c r="D312" s="17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6"/>
      <c r="B313" s="17"/>
      <c r="C313" s="17"/>
      <c r="D313" s="17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6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17"/>
      <c r="B315" s="46"/>
      <c r="C315" s="46"/>
      <c r="D315" s="46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44"/>
      <c r="B316" s="46"/>
      <c r="C316" s="46"/>
      <c r="D316" s="46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17"/>
      <c r="B317" s="17"/>
      <c r="C317" s="17"/>
      <c r="D317" s="17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6"/>
      <c r="B318" s="6"/>
      <c r="C318" s="6"/>
      <c r="D318" s="6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17"/>
      <c r="B319" s="17"/>
      <c r="C319" s="17"/>
      <c r="D319" s="17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44"/>
      <c r="C323" s="44"/>
      <c r="D323" s="44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44"/>
      <c r="B324" s="44"/>
      <c r="C324" s="44"/>
      <c r="D324" s="44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44"/>
      <c r="B325" s="6"/>
      <c r="C325" s="6"/>
      <c r="D325" s="6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17"/>
      <c r="B326" s="17"/>
      <c r="C326" s="17"/>
      <c r="D326" s="17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17"/>
      <c r="B327" s="17"/>
      <c r="C327" s="17"/>
      <c r="D327" s="17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6"/>
      <c r="B328" s="6"/>
      <c r="C328" s="6"/>
      <c r="D328" s="6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17"/>
      <c r="B329" s="47"/>
      <c r="C329" s="47"/>
      <c r="D329" s="6"/>
      <c r="E329" s="45"/>
      <c r="F329" s="45"/>
      <c r="G329" s="45"/>
      <c r="H329" s="45"/>
      <c r="I329" s="45"/>
      <c r="J329" s="45"/>
      <c r="K329" s="45"/>
      <c r="L329" s="45"/>
      <c r="M329" s="6"/>
      <c r="N329" s="4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17"/>
      <c r="B330" s="43"/>
      <c r="C330" s="43"/>
      <c r="D330" s="43"/>
      <c r="E330" s="45"/>
      <c r="F330" s="45"/>
      <c r="G330" s="45"/>
      <c r="H330" s="45"/>
      <c r="I330" s="45"/>
      <c r="J330" s="45"/>
      <c r="K330" s="45"/>
      <c r="L330" s="45"/>
      <c r="M330" s="6"/>
      <c r="N330" s="4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48"/>
      <c r="C332" s="48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17"/>
      <c r="B334" s="6"/>
      <c r="C334" s="6"/>
      <c r="D334" s="6"/>
      <c r="E334" s="6"/>
      <c r="F334" s="6"/>
      <c r="G334" s="20"/>
      <c r="H334" s="20"/>
      <c r="I334" s="20"/>
      <c r="J334" s="20"/>
      <c r="K334" s="20"/>
      <c r="L334" s="20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17"/>
      <c r="B335" s="6"/>
      <c r="C335" s="6"/>
      <c r="D335" s="6"/>
      <c r="E335" s="6"/>
      <c r="F335" s="6"/>
      <c r="G335" s="20"/>
      <c r="H335" s="20"/>
      <c r="I335" s="20"/>
      <c r="J335" s="20"/>
      <c r="K335" s="20"/>
      <c r="L335" s="20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1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1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outlineLevel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outlineLevel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s="187" customFormat="1" outlineLevel="1">
      <c r="A341" s="186"/>
    </row>
    <row r="342" spans="1:25" outlineLevel="1">
      <c r="A342" s="1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17"/>
      <c r="B343" s="6"/>
      <c r="C343" s="6"/>
      <c r="D343" s="6"/>
      <c r="E343" s="6"/>
      <c r="F343" s="6"/>
      <c r="G343" s="51"/>
      <c r="H343" s="51"/>
      <c r="I343" s="51"/>
      <c r="J343" s="51"/>
      <c r="K343" s="51"/>
      <c r="L343" s="51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17"/>
      <c r="B344" s="6"/>
      <c r="C344" s="6"/>
      <c r="D344" s="6"/>
      <c r="E344" s="6"/>
      <c r="F344" s="6"/>
      <c r="G344" s="51"/>
      <c r="H344" s="51"/>
      <c r="I344" s="51"/>
      <c r="J344" s="51"/>
      <c r="K344" s="51"/>
      <c r="L344" s="51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6"/>
      <c r="B345" s="52"/>
      <c r="C345" s="52"/>
      <c r="D345" s="52"/>
      <c r="E345" s="6"/>
      <c r="F345" s="6"/>
      <c r="G345" s="53"/>
      <c r="H345" s="53"/>
      <c r="I345" s="53"/>
      <c r="J345" s="53"/>
      <c r="K345" s="53"/>
      <c r="L345" s="53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7"/>
      <c r="B346" s="56"/>
      <c r="C346" s="56"/>
      <c r="D346" s="5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8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88"/>
      <c r="B350" s="6"/>
      <c r="C350" s="6"/>
      <c r="D350" s="6"/>
      <c r="E350" s="6"/>
      <c r="F350" s="6"/>
      <c r="G350" s="20"/>
      <c r="H350" s="20"/>
      <c r="I350" s="20"/>
      <c r="J350" s="20"/>
      <c r="K350" s="20"/>
      <c r="L350" s="20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88"/>
      <c r="B351" s="6"/>
      <c r="C351" s="6"/>
      <c r="D351" s="6"/>
      <c r="E351" s="6"/>
      <c r="F351" s="6"/>
      <c r="G351" s="20"/>
      <c r="H351" s="20"/>
      <c r="I351" s="20"/>
      <c r="J351" s="20"/>
      <c r="K351" s="20"/>
      <c r="L351" s="20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88"/>
      <c r="B352" s="6"/>
      <c r="C352" s="6"/>
      <c r="D352" s="6"/>
      <c r="E352" s="6"/>
      <c r="F352" s="6"/>
      <c r="G352" s="51"/>
      <c r="H352" s="51"/>
      <c r="I352" s="51"/>
      <c r="J352" s="51"/>
      <c r="K352" s="51"/>
      <c r="L352" s="51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7"/>
      <c r="B353" s="6"/>
      <c r="C353" s="6"/>
      <c r="D353" s="6"/>
      <c r="E353" s="6"/>
      <c r="F353" s="6"/>
      <c r="G353" s="56"/>
      <c r="H353" s="56"/>
      <c r="I353" s="56"/>
      <c r="J353" s="56"/>
      <c r="K353" s="56"/>
      <c r="L353" s="5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188"/>
      <c r="B354" s="14"/>
      <c r="C354" s="14"/>
      <c r="D354" s="14"/>
      <c r="E354" s="6"/>
      <c r="F354" s="6"/>
      <c r="G354" s="189"/>
      <c r="H354" s="189"/>
      <c r="I354" s="189"/>
      <c r="J354" s="189"/>
      <c r="K354" s="189"/>
      <c r="L354" s="18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188"/>
      <c r="B355" s="6"/>
      <c r="C355" s="6"/>
      <c r="D355" s="6"/>
      <c r="E355" s="6"/>
      <c r="F355" s="6"/>
      <c r="G355" s="189"/>
      <c r="H355" s="189"/>
      <c r="I355" s="189"/>
      <c r="J355" s="189"/>
      <c r="K355" s="189"/>
      <c r="L355" s="18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188"/>
      <c r="B356" s="6"/>
      <c r="C356" s="6"/>
      <c r="D356" s="6"/>
      <c r="E356" s="6"/>
      <c r="F356" s="6"/>
      <c r="G356" s="189"/>
      <c r="H356" s="189"/>
      <c r="I356" s="189"/>
      <c r="J356" s="189"/>
      <c r="K356" s="189"/>
      <c r="L356" s="18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88"/>
      <c r="B357" s="6"/>
      <c r="C357" s="6"/>
      <c r="D357" s="6"/>
      <c r="E357" s="6"/>
      <c r="F357" s="6"/>
      <c r="G357" s="189"/>
      <c r="H357" s="189"/>
      <c r="I357" s="189"/>
      <c r="J357" s="189"/>
      <c r="K357" s="189"/>
      <c r="L357" s="189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188"/>
      <c r="B358" s="6"/>
      <c r="C358" s="6"/>
      <c r="D358" s="6"/>
      <c r="E358" s="6"/>
      <c r="F358" s="6"/>
      <c r="G358" s="56"/>
      <c r="H358" s="56"/>
      <c r="I358" s="56"/>
      <c r="J358" s="56"/>
      <c r="K358" s="56"/>
      <c r="L358" s="5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1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6"/>
      <c r="F361" s="6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6"/>
      <c r="F362" s="6"/>
      <c r="G362" s="20"/>
      <c r="H362" s="20"/>
      <c r="I362" s="20"/>
      <c r="J362" s="20"/>
      <c r="K362" s="20"/>
      <c r="L362" s="20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6"/>
      <c r="B363" s="6"/>
      <c r="C363" s="6"/>
      <c r="D363" s="6"/>
      <c r="E363" s="20"/>
      <c r="F363" s="20"/>
      <c r="G363" s="20"/>
      <c r="H363" s="20"/>
      <c r="I363" s="20"/>
      <c r="J363" s="20"/>
      <c r="K363" s="20"/>
      <c r="L363" s="20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1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6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188"/>
      <c r="B367" s="6"/>
      <c r="C367" s="6"/>
      <c r="D367" s="6"/>
      <c r="E367" s="6"/>
      <c r="F367" s="6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188"/>
      <c r="B368" s="6"/>
      <c r="C368" s="6"/>
      <c r="D368" s="6"/>
      <c r="E368" s="6"/>
      <c r="F368" s="6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188"/>
      <c r="B369" s="6"/>
      <c r="C369" s="6"/>
      <c r="D369" s="6"/>
      <c r="E369" s="20"/>
      <c r="F369" s="20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51"/>
      <c r="H374" s="51"/>
      <c r="I374" s="51"/>
      <c r="J374" s="51"/>
      <c r="K374" s="51"/>
      <c r="L374" s="51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6"/>
      <c r="B375" s="6"/>
      <c r="C375" s="6"/>
      <c r="D375" s="6"/>
      <c r="E375" s="6"/>
      <c r="F375" s="6"/>
      <c r="G375" s="51"/>
      <c r="H375" s="51"/>
      <c r="I375" s="51"/>
      <c r="J375" s="51"/>
      <c r="K375" s="51"/>
      <c r="L375" s="51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6"/>
      <c r="E377" s="59"/>
      <c r="F377" s="59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14"/>
      <c r="E378" s="20"/>
      <c r="F378" s="20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17"/>
      <c r="B379" s="6"/>
      <c r="C379" s="6"/>
      <c r="D379" s="6"/>
      <c r="E379" s="59"/>
      <c r="F379" s="59"/>
      <c r="G379" s="59"/>
      <c r="H379" s="59"/>
      <c r="I379" s="59"/>
      <c r="J379" s="59"/>
      <c r="K379" s="59"/>
      <c r="L379" s="5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17"/>
      <c r="B380" s="6"/>
      <c r="C380" s="6"/>
      <c r="D380" s="6"/>
      <c r="E380" s="6"/>
      <c r="F380" s="6"/>
      <c r="G380" s="59"/>
      <c r="H380" s="59"/>
      <c r="I380" s="59"/>
      <c r="J380" s="59"/>
      <c r="K380" s="59"/>
      <c r="L380" s="59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1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1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outlineLevel="1">
      <c r="A385" s="6"/>
      <c r="B385" s="6"/>
      <c r="C385" s="6"/>
      <c r="D385" s="6"/>
      <c r="E385" s="6"/>
      <c r="F385" s="6"/>
      <c r="G385" s="45"/>
      <c r="H385" s="45"/>
      <c r="I385" s="45"/>
      <c r="J385" s="45"/>
      <c r="K385" s="45"/>
      <c r="L385" s="4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outlineLevel="1">
      <c r="A386" s="6"/>
      <c r="B386" s="6"/>
      <c r="C386" s="6"/>
      <c r="D386" s="6"/>
      <c r="E386" s="6"/>
      <c r="F386" s="6"/>
      <c r="G386" s="59"/>
      <c r="H386" s="59"/>
      <c r="I386" s="59"/>
      <c r="J386" s="59"/>
      <c r="K386" s="59"/>
      <c r="L386" s="59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outlineLevel="1">
      <c r="A387" s="6"/>
      <c r="B387" s="6"/>
      <c r="C387" s="6"/>
      <c r="D387" s="6"/>
      <c r="E387" s="6"/>
      <c r="F387" s="6"/>
      <c r="G387" s="45"/>
      <c r="H387" s="45"/>
      <c r="I387" s="45"/>
      <c r="J387" s="45"/>
      <c r="K387" s="45"/>
      <c r="L387" s="4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outlineLevel="1">
      <c r="A388" s="6"/>
      <c r="B388" s="6"/>
      <c r="C388" s="6"/>
      <c r="D388" s="6"/>
      <c r="E388" s="6"/>
      <c r="F388" s="6"/>
      <c r="G388" s="45"/>
      <c r="H388" s="45"/>
      <c r="I388" s="45"/>
      <c r="J388" s="45"/>
      <c r="K388" s="45"/>
      <c r="L388" s="4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outlineLevel="1">
      <c r="A389" s="6"/>
      <c r="B389" s="6"/>
      <c r="C389" s="6"/>
      <c r="D389" s="6"/>
      <c r="E389" s="6"/>
      <c r="F389" s="6"/>
      <c r="G389" s="45"/>
      <c r="H389" s="45"/>
      <c r="I389" s="45"/>
      <c r="J389" s="45"/>
      <c r="K389" s="45"/>
      <c r="L389" s="4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outlineLevel="1">
      <c r="A390" s="6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outlineLevel="1">
      <c r="A391" s="6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idden="1" outlineLevel="2">
      <c r="A392" s="17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idden="1" outlineLevel="2">
      <c r="A393" s="17"/>
      <c r="B393" s="6"/>
      <c r="C393" s="6"/>
      <c r="D393" s="6"/>
      <c r="E393" s="6"/>
      <c r="F393" s="6"/>
      <c r="G393" s="61"/>
      <c r="H393" s="61"/>
      <c r="I393" s="61"/>
      <c r="J393" s="61"/>
      <c r="K393" s="61"/>
      <c r="L393" s="61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idden="1" outlineLevel="2">
      <c r="A394" s="6"/>
      <c r="B394" s="6"/>
      <c r="C394" s="6"/>
      <c r="D394" s="6"/>
      <c r="E394" s="6"/>
      <c r="F394" s="6"/>
      <c r="G394" s="61"/>
      <c r="H394" s="61"/>
      <c r="I394" s="61"/>
      <c r="J394" s="61"/>
      <c r="K394" s="61"/>
      <c r="L394" s="61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idden="1" outlineLevel="2">
      <c r="A395" s="17"/>
      <c r="B395" s="9"/>
      <c r="C395" s="9"/>
      <c r="D395" s="9"/>
      <c r="E395" s="10"/>
      <c r="F395" s="10"/>
      <c r="G395" s="10"/>
      <c r="H395" s="9"/>
      <c r="I395" s="9"/>
      <c r="J395" s="10"/>
      <c r="K395" s="10"/>
      <c r="L395" s="9"/>
      <c r="M395" s="10"/>
      <c r="N395" s="10"/>
      <c r="O395" s="10"/>
      <c r="P395" s="9"/>
      <c r="Q395" s="10"/>
      <c r="R395" s="10"/>
      <c r="S395" s="6"/>
      <c r="T395" s="6"/>
      <c r="U395" s="6"/>
      <c r="V395" s="6"/>
      <c r="W395" s="6"/>
      <c r="X395" s="10"/>
      <c r="Y395" s="6"/>
    </row>
    <row r="396" spans="1:25" hidden="1" outlineLevel="2">
      <c r="A396" s="1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idden="1" outlineLevel="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idden="1" outlineLevel="2">
      <c r="A398" s="6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6"/>
      <c r="T398" s="6"/>
      <c r="U398" s="6"/>
      <c r="V398" s="6"/>
      <c r="W398" s="6"/>
      <c r="X398" s="45"/>
      <c r="Y398" s="6"/>
    </row>
    <row r="399" spans="1:25" hidden="1" outlineLevel="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idden="1" outlineLevel="2">
      <c r="A400" s="6"/>
      <c r="B400" s="59"/>
      <c r="C400" s="59"/>
      <c r="D400" s="59"/>
      <c r="E400" s="59"/>
      <c r="F400" s="59"/>
      <c r="G400" s="59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6"/>
      <c r="T400" s="6"/>
      <c r="U400" s="6"/>
      <c r="V400" s="6"/>
      <c r="W400" s="6"/>
      <c r="X400" s="45"/>
      <c r="Y400" s="6"/>
    </row>
    <row r="401" spans="1:30" hidden="1" outlineLevel="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30" hidden="1" outlineLevel="2">
      <c r="A402" s="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6"/>
      <c r="T402" s="6"/>
      <c r="U402" s="6"/>
      <c r="V402" s="6"/>
      <c r="W402" s="6"/>
      <c r="X402" s="45"/>
      <c r="Y402" s="45"/>
      <c r="Z402" s="45"/>
      <c r="AA402" s="45"/>
      <c r="AB402" s="45"/>
      <c r="AC402" s="45"/>
      <c r="AD402" s="45"/>
    </row>
    <row r="403" spans="1:30" hidden="1" outlineLevel="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30" hidden="1" outlineLevel="2">
      <c r="A404" s="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6"/>
      <c r="T404" s="6"/>
      <c r="U404" s="6"/>
      <c r="V404" s="6"/>
      <c r="W404" s="6"/>
      <c r="X404" s="45"/>
      <c r="Y404" s="6"/>
    </row>
    <row r="405" spans="1:30" hidden="1" outlineLevel="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30" hidden="1" outlineLevel="2">
      <c r="A406" s="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6"/>
      <c r="T406" s="6"/>
      <c r="U406" s="6"/>
      <c r="V406" s="6"/>
      <c r="W406" s="6"/>
      <c r="X406" s="45"/>
      <c r="Y406" s="45"/>
    </row>
    <row r="407" spans="1:30" hidden="1" outlineLevel="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30" hidden="1" outlineLevel="2">
      <c r="A408" s="6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6"/>
      <c r="T408" s="6"/>
      <c r="U408" s="6"/>
      <c r="V408" s="6"/>
      <c r="W408" s="6"/>
      <c r="X408" s="45"/>
      <c r="Y408" s="45"/>
    </row>
    <row r="409" spans="1:30" hidden="1" outlineLevel="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30" outlineLevel="1" collapsed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30" outlineLevel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30" outlineLevel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30" outlineLevel="1">
      <c r="A413" s="3"/>
      <c r="B413" s="3"/>
      <c r="C413" s="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30" outlineLevel="1">
      <c r="A414" s="17"/>
      <c r="B414" s="17"/>
      <c r="C414" s="1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30" outlineLevel="1">
      <c r="A415" s="17"/>
      <c r="B415" s="43"/>
      <c r="C415" s="43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30" outlineLevel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>
      <c r="A417" s="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outlineLevel="1">
      <c r="A418" s="17"/>
      <c r="B418" s="17"/>
      <c r="C418" s="1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outlineLevel="1">
      <c r="A419" s="44"/>
      <c r="B419" s="17"/>
      <c r="C419" s="17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17"/>
      <c r="C420" s="17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44"/>
      <c r="C421" s="44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44"/>
      <c r="B422" s="44"/>
      <c r="C422" s="44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44"/>
      <c r="B423" s="3"/>
      <c r="C423" s="3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6"/>
      <c r="B424" s="6"/>
      <c r="C424" s="6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17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17"/>
      <c r="C433" s="17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17"/>
      <c r="C434" s="17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44"/>
      <c r="B435" s="44"/>
      <c r="C435" s="44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17"/>
      <c r="B437" s="17"/>
      <c r="C437" s="17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44"/>
      <c r="B438" s="44"/>
      <c r="C438" s="44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17"/>
      <c r="B439" s="17"/>
      <c r="C439" s="17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44"/>
      <c r="B440" s="46"/>
      <c r="C440" s="4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17"/>
      <c r="B441" s="17"/>
      <c r="C441" s="17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6"/>
      <c r="B442" s="6"/>
      <c r="C442" s="6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17"/>
      <c r="B443" s="17"/>
      <c r="C443" s="17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44"/>
      <c r="C445" s="44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44"/>
      <c r="B446" s="44"/>
      <c r="C446" s="44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44"/>
      <c r="B447" s="6"/>
      <c r="C447" s="6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17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17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44"/>
      <c r="B453" s="17"/>
      <c r="C453" s="17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44"/>
      <c r="B454" s="17"/>
      <c r="C454" s="17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3"/>
      <c r="B455" s="46"/>
      <c r="C455" s="4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17"/>
      <c r="B456" s="17"/>
      <c r="C456" s="17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6"/>
      <c r="B457" s="6"/>
      <c r="C457" s="6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17"/>
      <c r="B459" s="43"/>
      <c r="C459" s="43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</row>
    <row r="460" spans="1:25" outlineLevel="1">
      <c r="A460" s="17"/>
      <c r="B460" s="43"/>
      <c r="C460" s="43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</row>
    <row r="461" spans="1:25" outlineLevel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3"/>
      <c r="B463" s="3"/>
      <c r="C463" s="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17"/>
      <c r="B464" s="17"/>
      <c r="C464" s="1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17"/>
      <c r="B465" s="43"/>
      <c r="C465" s="43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outlineLevel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outlineLevel="1">
      <c r="A467" s="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6"/>
      <c r="T467" s="6"/>
      <c r="U467" s="6"/>
      <c r="V467" s="6"/>
      <c r="W467" s="6"/>
      <c r="X467" s="6"/>
      <c r="Y467" s="6"/>
    </row>
    <row r="468" spans="1:25" outlineLevel="1">
      <c r="A468" s="17"/>
      <c r="B468" s="17"/>
      <c r="C468" s="17"/>
      <c r="D468" s="1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17"/>
      <c r="C469" s="17"/>
      <c r="D469" s="17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17"/>
      <c r="C470" s="17"/>
      <c r="D470" s="17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44"/>
      <c r="C471" s="44"/>
      <c r="D471" s="44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44"/>
      <c r="C472" s="44"/>
      <c r="D472" s="44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44"/>
      <c r="B473" s="3"/>
      <c r="C473" s="3"/>
      <c r="D473" s="3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44"/>
      <c r="B474" s="3"/>
      <c r="C474" s="3"/>
      <c r="D474" s="3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17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17"/>
      <c r="C484" s="17"/>
      <c r="D484" s="17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17"/>
      <c r="C485" s="17"/>
      <c r="D485" s="17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44"/>
      <c r="B486" s="44"/>
      <c r="C486" s="44"/>
      <c r="D486" s="44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44"/>
      <c r="B487" s="44"/>
      <c r="C487" s="44"/>
      <c r="D487" s="44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17"/>
      <c r="B488" s="17"/>
      <c r="C488" s="17"/>
      <c r="D488" s="17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6"/>
      <c r="B489" s="17"/>
      <c r="C489" s="17"/>
      <c r="D489" s="17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44"/>
      <c r="B490" s="44"/>
      <c r="C490" s="44"/>
      <c r="D490" s="44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17"/>
      <c r="B491" s="17"/>
      <c r="C491" s="17"/>
      <c r="D491" s="17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44"/>
      <c r="B492" s="46"/>
      <c r="C492" s="46"/>
      <c r="D492" s="46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17"/>
      <c r="C494" s="17"/>
      <c r="D494" s="17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17"/>
      <c r="C495" s="17"/>
      <c r="D495" s="17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6"/>
      <c r="T498" s="6"/>
      <c r="U498" s="6"/>
      <c r="V498" s="6"/>
      <c r="W498" s="6"/>
      <c r="X498" s="6"/>
      <c r="Y498" s="6"/>
    </row>
    <row r="499" spans="1:25" outlineLevel="1">
      <c r="A499" s="17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6"/>
      <c r="T499" s="6"/>
      <c r="U499" s="6"/>
      <c r="V499" s="6"/>
      <c r="W499" s="6"/>
      <c r="X499" s="6"/>
      <c r="Y499" s="6"/>
    </row>
    <row r="500" spans="1:25" outlineLevel="1">
      <c r="A500" s="17"/>
      <c r="B500" s="43"/>
      <c r="C500" s="43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6"/>
      <c r="T500" s="6"/>
      <c r="U500" s="6"/>
      <c r="V500" s="6"/>
      <c r="W500" s="6"/>
      <c r="X500" s="6"/>
      <c r="Y500" s="6"/>
    </row>
    <row r="501" spans="1:25" outlineLevel="1">
      <c r="A501" s="6"/>
      <c r="B501" s="43"/>
      <c r="C501" s="43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5"/>
      <c r="C502" s="45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6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6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6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17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6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6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17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17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outlineLevel="1">
      <c r="A514" s="6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outlineLevel="1">
      <c r="A515" s="6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outlineLevel="1">
      <c r="A516" s="6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spans="1:25" outlineLevel="1">
      <c r="A517" s="6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</row>
    <row r="518" spans="1:25" outlineLevel="1">
      <c r="A518" s="6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</row>
    <row r="519" spans="1:25" outlineLevel="1">
      <c r="A519" s="6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6"/>
      <c r="T522" s="6"/>
      <c r="U522" s="6"/>
      <c r="V522" s="6"/>
      <c r="W522" s="6"/>
      <c r="X522" s="6"/>
      <c r="Y522" s="6"/>
    </row>
    <row r="523" spans="1:25" outlineLevel="1">
      <c r="A523" s="17"/>
      <c r="B523" s="43"/>
      <c r="C523" s="43"/>
      <c r="D523" s="43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6"/>
      <c r="T523" s="6"/>
      <c r="U523" s="6"/>
      <c r="V523" s="6"/>
      <c r="W523" s="6"/>
      <c r="X523" s="6"/>
      <c r="Y523" s="6"/>
    </row>
    <row r="524" spans="1:25" outlineLevel="1">
      <c r="A524" s="17"/>
      <c r="B524" s="43"/>
      <c r="C524" s="43"/>
      <c r="D524" s="43"/>
      <c r="E524" s="6"/>
      <c r="F524" s="6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6"/>
      <c r="T524" s="6"/>
      <c r="U524" s="6"/>
      <c r="V524" s="6"/>
      <c r="W524" s="6"/>
      <c r="X524" s="6"/>
      <c r="Y524" s="6"/>
    </row>
    <row r="525" spans="1:25" outlineLevel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1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1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outlineLevel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outlineLevel="1">
      <c r="A530" s="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outlineLevel="1">
      <c r="A531" s="6"/>
      <c r="B531" s="6"/>
      <c r="C531" s="6"/>
      <c r="D531" s="6"/>
      <c r="E531" s="6"/>
      <c r="F531" s="6"/>
      <c r="G531" s="3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outlineLevel="1">
      <c r="A532" s="17"/>
      <c r="B532" s="6"/>
      <c r="C532" s="6"/>
      <c r="D532" s="6"/>
      <c r="E532" s="6"/>
      <c r="F532" s="6"/>
      <c r="G532" s="31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6"/>
      <c r="T534" s="6"/>
      <c r="U534" s="6"/>
      <c r="V534" s="6"/>
      <c r="W534" s="6"/>
      <c r="X534" s="6"/>
      <c r="Y534" s="6"/>
    </row>
    <row r="535" spans="1:25" outlineLevel="1">
      <c r="A535" s="6"/>
      <c r="B535" s="6"/>
      <c r="C535" s="6"/>
      <c r="D535" s="6"/>
      <c r="E535" s="6"/>
      <c r="F535" s="6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6"/>
      <c r="T535" s="6"/>
      <c r="U535" s="6"/>
      <c r="V535" s="6"/>
      <c r="W535" s="6"/>
      <c r="X535" s="6"/>
      <c r="Y535" s="6"/>
    </row>
    <row r="536" spans="1:25" outlineLevel="1">
      <c r="A536" s="6"/>
      <c r="B536" s="6"/>
      <c r="C536" s="6"/>
      <c r="D536" s="6"/>
      <c r="E536" s="6"/>
      <c r="F536" s="6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6"/>
      <c r="T536" s="6"/>
      <c r="U536" s="6"/>
      <c r="V536" s="6"/>
      <c r="W536" s="6"/>
      <c r="X536" s="6"/>
      <c r="Y536" s="6"/>
    </row>
    <row r="537" spans="1:25" outlineLevel="1">
      <c r="A537" s="188"/>
      <c r="B537" s="6"/>
      <c r="C537" s="6"/>
      <c r="D537" s="6"/>
      <c r="E537" s="6"/>
      <c r="F537" s="6"/>
      <c r="G537" s="31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6"/>
      <c r="T537" s="6"/>
      <c r="U537" s="6"/>
      <c r="V537" s="6"/>
      <c r="W537" s="6"/>
      <c r="X537" s="6"/>
      <c r="Y537" s="6"/>
    </row>
    <row r="538" spans="1:25" outlineLevel="1">
      <c r="A538" s="188"/>
      <c r="B538" s="6"/>
      <c r="C538" s="6"/>
      <c r="D538" s="6"/>
      <c r="E538" s="6"/>
      <c r="F538" s="6"/>
      <c r="G538" s="31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6"/>
      <c r="T538" s="6"/>
      <c r="U538" s="6"/>
      <c r="V538" s="6"/>
      <c r="W538" s="6"/>
      <c r="X538" s="6"/>
      <c r="Y538" s="6"/>
    </row>
    <row r="539" spans="1:25" outlineLevel="1">
      <c r="A539" s="17"/>
      <c r="B539" s="6"/>
      <c r="C539" s="6"/>
      <c r="D539" s="6"/>
      <c r="E539" s="6"/>
      <c r="F539" s="6"/>
      <c r="G539" s="3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outlineLevel="1">
      <c r="A540" s="6"/>
      <c r="B540" s="6"/>
      <c r="C540" s="6"/>
      <c r="D540" s="6"/>
      <c r="E540" s="6"/>
      <c r="F540" s="6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6"/>
      <c r="T540" s="6"/>
      <c r="U540" s="6"/>
      <c r="V540" s="6"/>
      <c r="W540" s="6"/>
      <c r="X540" s="6"/>
      <c r="Y540" s="6"/>
    </row>
    <row r="541" spans="1:25" outlineLevel="1">
      <c r="A541" s="6"/>
      <c r="B541" s="6"/>
      <c r="C541" s="6"/>
      <c r="D541" s="6"/>
      <c r="E541" s="6"/>
      <c r="F541" s="6"/>
      <c r="G541" s="3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outlineLevel="1">
      <c r="A542" s="17"/>
      <c r="B542" s="6"/>
      <c r="C542" s="6"/>
      <c r="D542" s="6"/>
      <c r="E542" s="6"/>
      <c r="F542" s="6"/>
      <c r="G542" s="31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6"/>
      <c r="T542" s="6"/>
      <c r="U542" s="6"/>
      <c r="V542" s="6"/>
      <c r="W542" s="6"/>
      <c r="X542" s="6"/>
      <c r="Y542" s="6"/>
    </row>
    <row r="543" spans="1:25" outlineLevel="1">
      <c r="A543" s="6"/>
      <c r="B543" s="14"/>
      <c r="C543" s="14"/>
      <c r="D543" s="6"/>
      <c r="E543" s="6"/>
      <c r="F543" s="6"/>
      <c r="G543" s="31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6"/>
      <c r="T543" s="6"/>
      <c r="U543" s="6"/>
      <c r="V543" s="6"/>
      <c r="W543" s="6"/>
      <c r="X543" s="6"/>
      <c r="Y543" s="6"/>
    </row>
    <row r="544" spans="1:25" outlineLevel="1">
      <c r="A544" s="17"/>
      <c r="B544" s="6"/>
      <c r="C544" s="6"/>
      <c r="D544" s="6"/>
      <c r="E544" s="6"/>
      <c r="F544" s="6"/>
      <c r="G544" s="31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6"/>
      <c r="T544" s="6"/>
      <c r="U544" s="6"/>
      <c r="V544" s="6"/>
      <c r="W544" s="6"/>
      <c r="X544" s="6"/>
      <c r="Y544" s="6"/>
    </row>
    <row r="545" spans="1:25" outlineLevel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outlineLevel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s="67" customFormat="1" outlineLevel="1">
      <c r="A547" s="66"/>
      <c r="B547" s="66"/>
      <c r="C547" s="66"/>
      <c r="D547" s="66"/>
      <c r="E547" s="66"/>
      <c r="F547" s="66"/>
      <c r="G547" s="66"/>
    </row>
    <row r="548" spans="1:25" s="67" customFormat="1" outlineLevel="1">
      <c r="A548" s="66"/>
      <c r="B548" s="66"/>
      <c r="C548" s="66"/>
      <c r="D548" s="66"/>
      <c r="E548" s="66"/>
      <c r="F548" s="68"/>
      <c r="G548" s="69"/>
      <c r="H548" s="66"/>
      <c r="I548" s="70"/>
    </row>
    <row r="549" spans="1:25" s="67" customFormat="1" outlineLevel="1">
      <c r="A549" s="66"/>
      <c r="B549" s="69"/>
      <c r="C549" s="69"/>
      <c r="D549" s="69"/>
      <c r="E549" s="69"/>
      <c r="F549" s="71"/>
      <c r="G549" s="47"/>
      <c r="H549" s="47"/>
      <c r="I549" s="70"/>
    </row>
    <row r="550" spans="1:25" s="67" customFormat="1" outlineLevel="1">
      <c r="A550" s="66"/>
      <c r="B550" s="47"/>
      <c r="C550" s="47"/>
      <c r="D550" s="47"/>
      <c r="E550" s="47"/>
      <c r="F550" s="47"/>
      <c r="G550" s="70"/>
      <c r="H550" s="47"/>
      <c r="I550" s="71"/>
    </row>
    <row r="551" spans="1:25" s="67" customFormat="1" outlineLevel="1">
      <c r="A551" s="72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</row>
    <row r="552" spans="1:25" s="67" customFormat="1" outlineLevel="1">
      <c r="A552" s="40"/>
      <c r="B552" s="66"/>
      <c r="C552" s="66"/>
      <c r="D552" s="66"/>
      <c r="E552" s="66"/>
      <c r="F552" s="66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66"/>
      <c r="C553" s="66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9"/>
      <c r="B554" s="74"/>
      <c r="C554" s="74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39"/>
      <c r="B555" s="155"/>
      <c r="C555" s="155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38"/>
      <c r="B556" s="72"/>
      <c r="C556" s="72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27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40"/>
      <c r="B558" s="66"/>
      <c r="C558" s="66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76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76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42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76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76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40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40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39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39"/>
      <c r="B575" s="77"/>
      <c r="C575" s="77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</row>
    <row r="576" spans="1:25" s="67" customFormat="1" outlineLevel="1">
      <c r="A576" s="40"/>
      <c r="B576" s="77"/>
      <c r="C576" s="77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s="67" customFormat="1" outlineLevel="1">
      <c r="A577" s="39"/>
      <c r="B577" s="77"/>
      <c r="C577" s="77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</row>
    <row r="578" spans="1:25" s="67" customFormat="1" outlineLevel="1">
      <c r="A578" s="39"/>
      <c r="B578" s="80"/>
      <c r="C578" s="80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ht="13.9" customHeight="1" outlineLevel="1">
      <c r="A579" s="38"/>
      <c r="B579" s="80"/>
      <c r="C579" s="80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9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8"/>
      <c r="B581" s="74"/>
      <c r="C581" s="74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74"/>
      <c r="C582" s="74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74"/>
      <c r="C583" s="74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39"/>
      <c r="B584" s="74"/>
      <c r="C584" s="74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39"/>
      <c r="B585" s="74"/>
      <c r="C585" s="74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40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40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66"/>
      <c r="C592" s="66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39"/>
      <c r="B593" s="66"/>
      <c r="C593" s="66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9"/>
      <c r="B594" s="82"/>
      <c r="C594" s="82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39"/>
      <c r="B595" s="82"/>
      <c r="C595" s="82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38"/>
      <c r="B596" s="80"/>
      <c r="C596" s="80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66"/>
      <c r="C598" s="66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66"/>
      <c r="C599" s="66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s="67" customFormat="1" outlineLevel="1">
      <c r="A601" s="40"/>
      <c r="B601" s="80"/>
      <c r="C601" s="80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</row>
    <row r="602" spans="1:25" s="67" customFormat="1" outlineLevel="1">
      <c r="A602" s="40"/>
      <c r="B602" s="80"/>
      <c r="C602" s="80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3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1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83"/>
      <c r="B608" s="6"/>
      <c r="C608" s="6"/>
      <c r="D608" s="6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6"/>
      <c r="R608" s="6"/>
      <c r="S608" s="6"/>
      <c r="T608" s="6"/>
      <c r="U608" s="6"/>
      <c r="V608" s="6"/>
      <c r="W608" s="6"/>
      <c r="X608" s="6"/>
      <c r="Y608" s="6"/>
    </row>
    <row r="609" spans="1:25" outlineLevel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outlineLevel="1">
      <c r="A610" s="3"/>
      <c r="B610" s="3"/>
      <c r="C610" s="3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1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44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44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6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17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44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44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6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6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44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6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6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idden="1" outlineLevel="2">
      <c r="A634" s="17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idden="1" outlineLevel="2">
      <c r="A635" s="44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 collapsed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17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17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6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6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 outlineLevel="1">
      <c r="A643" s="17"/>
      <c r="B643" s="6"/>
      <c r="C643" s="6"/>
      <c r="D643" s="6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 outlineLevel="1">
      <c r="A644" s="17"/>
      <c r="B644" s="6"/>
      <c r="C644" s="6"/>
      <c r="D644" s="6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45"/>
      <c r="I648" s="45"/>
      <c r="J648" s="45"/>
      <c r="K648" s="45"/>
      <c r="L648" s="45"/>
      <c r="M648" s="45"/>
      <c r="N648" s="45"/>
      <c r="O648" s="45"/>
      <c r="P648" s="45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45"/>
      <c r="I649" s="45"/>
      <c r="J649" s="45"/>
      <c r="K649" s="45"/>
      <c r="L649" s="45"/>
      <c r="M649" s="45"/>
      <c r="N649" s="45"/>
      <c r="O649" s="45"/>
      <c r="P649" s="45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857"/>
  <sheetViews>
    <sheetView zoomScale="75" zoomScaleNormal="75" workbookViewId="0">
      <pane ySplit="7185" topLeftCell="A173"/>
      <selection activeCell="M101" sqref="M101"/>
      <selection pane="bottomLeft" activeCell="A175" sqref="A175:C176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103</v>
      </c>
      <c r="C1" s="418">
        <v>14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AA10" s="355">
        <f t="shared" ref="AA10:AA38" si="1">SUM(F10:Y10)</f>
        <v>0</v>
      </c>
      <c r="AB10" s="356">
        <f>AA10*$C$60</f>
        <v>0</v>
      </c>
    </row>
    <row r="11" spans="1:28">
      <c r="A11" s="4" t="s">
        <v>8</v>
      </c>
      <c r="B11" s="9"/>
      <c r="C11" s="9"/>
      <c r="D11" s="86">
        <v>1</v>
      </c>
      <c r="E11" s="163">
        <f>[10]FINANCIALS!F$19</f>
        <v>8200.3985508424812</v>
      </c>
      <c r="F11" s="163">
        <f>[10]FINANCIALS!G$19</f>
        <v>8012.8248163819944</v>
      </c>
      <c r="G11" s="163">
        <f>[10]FINANCIALS!H$19</f>
        <v>7924.1766258111429</v>
      </c>
      <c r="H11" s="163">
        <f>[10]FINANCIALS!I$19</f>
        <v>7911.37089229096</v>
      </c>
      <c r="I11" s="163">
        <f>[10]FINANCIALS!J$19</f>
        <v>7889.566821120573</v>
      </c>
      <c r="J11" s="163">
        <f>[10]FINANCIALS!K$19</f>
        <v>8574.3753651363932</v>
      </c>
      <c r="K11" s="163">
        <f>[10]FINANCIALS!L$19</f>
        <v>8793.47220418078</v>
      </c>
      <c r="L11" s="163">
        <f>[10]FINANCIALS!M$19</f>
        <v>9012.5690432251668</v>
      </c>
      <c r="M11" s="163">
        <f>[10]FINANCIALS!N$19</f>
        <v>9231.6658822695554</v>
      </c>
      <c r="N11" s="163">
        <f>[10]FINANCIALS!O$19</f>
        <v>9450.7627213139422</v>
      </c>
      <c r="O11" s="163">
        <f>[10]FINANCIALS!P$19</f>
        <v>9669.8595603583308</v>
      </c>
      <c r="P11" s="163">
        <f>[10]FINANCIALS!Q$19</f>
        <v>9840.9574805644315</v>
      </c>
      <c r="Q11" s="163">
        <f>[10]FINANCIALS!R$19</f>
        <v>10012.055400770529</v>
      </c>
      <c r="R11" s="163">
        <f>[10]FINANCIALS!S$19</f>
        <v>10183.153320976629</v>
      </c>
      <c r="S11" s="163">
        <f>[10]FINANCIALS!T$19</f>
        <v>10354.251241182732</v>
      </c>
      <c r="T11" s="163">
        <f>[10]FINANCIALS!U$19</f>
        <v>8298.1943357861619</v>
      </c>
      <c r="U11" s="163">
        <f>[10]FINANCIALS!V$19</f>
        <v>8789.0417516883754</v>
      </c>
      <c r="V11" s="163">
        <f>[10]FINANCIALS!W$19</f>
        <v>9472.1138400384352</v>
      </c>
      <c r="W11" s="163">
        <f>[10]FINANCIALS!X$19</f>
        <v>9766.0410346447316</v>
      </c>
      <c r="X11" s="163">
        <f>[10]FINANCIALS!Y$19</f>
        <v>5197.4202686593926</v>
      </c>
      <c r="Y11" s="163">
        <f>[10]FINANCIALS!Z$19</f>
        <v>0</v>
      </c>
      <c r="AA11" s="355">
        <f t="shared" si="1"/>
        <v>168383.87260640025</v>
      </c>
      <c r="AB11" s="356">
        <f t="shared" ref="AB11:AB74" si="2">AA11*$C$60</f>
        <v>84191.936303200127</v>
      </c>
    </row>
    <row r="12" spans="1:28">
      <c r="A12" s="4" t="s">
        <v>9</v>
      </c>
      <c r="B12" s="9"/>
      <c r="C12" s="9"/>
      <c r="D12" s="86">
        <v>1</v>
      </c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AA12" s="355">
        <f t="shared" si="1"/>
        <v>0</v>
      </c>
      <c r="AB12" s="356">
        <f t="shared" si="2"/>
        <v>0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8200.3985508424812</v>
      </c>
      <c r="F20" s="86">
        <f t="shared" si="3"/>
        <v>8012.8248163819944</v>
      </c>
      <c r="G20" s="86">
        <f t="shared" si="3"/>
        <v>7924.1766258111429</v>
      </c>
      <c r="H20" s="86">
        <f t="shared" si="3"/>
        <v>7911.37089229096</v>
      </c>
      <c r="I20" s="86">
        <f t="shared" si="3"/>
        <v>7889.566821120573</v>
      </c>
      <c r="J20" s="86">
        <f t="shared" si="3"/>
        <v>8574.3753651363932</v>
      </c>
      <c r="K20" s="86">
        <f t="shared" si="3"/>
        <v>8793.47220418078</v>
      </c>
      <c r="L20" s="86">
        <f t="shared" si="3"/>
        <v>9012.5690432251668</v>
      </c>
      <c r="M20" s="86">
        <f t="shared" si="3"/>
        <v>9231.6658822695554</v>
      </c>
      <c r="N20" s="86">
        <f t="shared" si="3"/>
        <v>9450.7627213139422</v>
      </c>
      <c r="O20" s="86">
        <f t="shared" si="3"/>
        <v>9669.8595603583308</v>
      </c>
      <c r="P20" s="86">
        <f t="shared" si="3"/>
        <v>9840.9574805644315</v>
      </c>
      <c r="Q20" s="86">
        <f t="shared" si="3"/>
        <v>10012.055400770529</v>
      </c>
      <c r="R20" s="86">
        <f t="shared" si="3"/>
        <v>10183.153320976629</v>
      </c>
      <c r="S20" s="86">
        <f t="shared" si="3"/>
        <v>10354.251241182732</v>
      </c>
      <c r="T20" s="86">
        <f t="shared" si="3"/>
        <v>8298.1943357861619</v>
      </c>
      <c r="U20" s="86">
        <f t="shared" si="3"/>
        <v>8789.0417516883754</v>
      </c>
      <c r="V20" s="86">
        <f t="shared" si="3"/>
        <v>9472.1138400384352</v>
      </c>
      <c r="W20" s="86">
        <f t="shared" si="3"/>
        <v>9766.0410346447316</v>
      </c>
      <c r="X20" s="86">
        <f t="shared" si="3"/>
        <v>5197.4202686593926</v>
      </c>
      <c r="Y20" s="86">
        <f t="shared" si="3"/>
        <v>0</v>
      </c>
      <c r="AA20" s="355">
        <f t="shared" si="1"/>
        <v>168383.87260640025</v>
      </c>
      <c r="AB20" s="356">
        <f t="shared" si="2"/>
        <v>84191.936303200127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83.746994978478853</v>
      </c>
      <c r="F23" s="417">
        <f>F25/$C$1</f>
        <v>84.355348004589814</v>
      </c>
      <c r="G23" s="417">
        <f>G25/$C$1</f>
        <v>85.280917279836444</v>
      </c>
      <c r="H23" s="417">
        <f>H25/$C$1</f>
        <v>86.455590155726085</v>
      </c>
      <c r="I23" s="417">
        <f t="shared" ref="I23:Y23" si="4">I25/$C$1</f>
        <v>87.627783705120365</v>
      </c>
      <c r="J23" s="417">
        <f t="shared" si="4"/>
        <v>90.924033650060181</v>
      </c>
      <c r="K23" s="417">
        <f t="shared" si="4"/>
        <v>92.861907561714276</v>
      </c>
      <c r="L23" s="417">
        <f t="shared" si="4"/>
        <v>94.82552039810173</v>
      </c>
      <c r="M23" s="417">
        <f t="shared" si="4"/>
        <v>96.815386937717122</v>
      </c>
      <c r="N23" s="417">
        <f t="shared" si="4"/>
        <v>98.832032254625105</v>
      </c>
      <c r="O23" s="417">
        <f t="shared" si="4"/>
        <v>100.87599192437143</v>
      </c>
      <c r="P23" s="417">
        <f t="shared" si="4"/>
        <v>102.80520942523837</v>
      </c>
      <c r="Q23" s="417">
        <f t="shared" si="4"/>
        <v>104.76284477879838</v>
      </c>
      <c r="R23" s="417">
        <f t="shared" si="4"/>
        <v>106.74946634210529</v>
      </c>
      <c r="S23" s="417">
        <f t="shared" si="4"/>
        <v>108.7656538393541</v>
      </c>
      <c r="T23" s="417">
        <f t="shared" si="4"/>
        <v>104.53370084165816</v>
      </c>
      <c r="U23" s="417">
        <f t="shared" si="4"/>
        <v>107.58998324408354</v>
      </c>
      <c r="V23" s="417">
        <f t="shared" si="4"/>
        <v>111.21951814106227</v>
      </c>
      <c r="W23" s="417">
        <f t="shared" si="4"/>
        <v>113.58444541939028</v>
      </c>
      <c r="X23" s="417">
        <f t="shared" si="4"/>
        <v>58.195482491141327</v>
      </c>
      <c r="Y23" s="417">
        <f t="shared" si="4"/>
        <v>0</v>
      </c>
      <c r="AA23" s="355">
        <f t="shared" si="1"/>
        <v>1837.0608163946943</v>
      </c>
      <c r="AB23" s="356">
        <f t="shared" si="2"/>
        <v>918.53040819734713</v>
      </c>
    </row>
    <row r="24" spans="1:28">
      <c r="A24" s="4" t="s">
        <v>36</v>
      </c>
      <c r="D24" s="86">
        <v>0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SUM([10]FINANCIALS!F$22:F$24)+[10]FINANCIALS!F$27+[10]FINANCIALS!F$28+[10]FINANCIALS!F$30</f>
        <v>1172.457929698704</v>
      </c>
      <c r="F25" s="163">
        <f>SUM([10]FINANCIALS!G$22:G$24)+[10]FINANCIALS!G$27+[10]FINANCIALS!G$28+[10]FINANCIALS!G$30</f>
        <v>1180.9748720642574</v>
      </c>
      <c r="G25" s="163">
        <f>SUM([10]FINANCIALS!H$22:H$24)+[10]FINANCIALS!H$27+[10]FINANCIALS!H$28+[10]FINANCIALS!H$30</f>
        <v>1193.9328419177102</v>
      </c>
      <c r="H25" s="163">
        <f>SUM([10]FINANCIALS!I$22:I$24)+[10]FINANCIALS!I$27+[10]FINANCIALS!I$28+[10]FINANCIALS!I$30</f>
        <v>1210.3782621801652</v>
      </c>
      <c r="I25" s="163">
        <f>SUM([10]FINANCIALS!J$22:J$24)+[10]FINANCIALS!J$27+[10]FINANCIALS!J$28+[10]FINANCIALS!J$30</f>
        <v>1226.7889718716851</v>
      </c>
      <c r="J25" s="163">
        <f>SUM([10]FINANCIALS!K$22:K$24)+[10]FINANCIALS!K$27+[10]FINANCIALS!K$28+[10]FINANCIALS!K$30</f>
        <v>1272.9364711008425</v>
      </c>
      <c r="K25" s="163">
        <f>SUM([10]FINANCIALS!L$22:L$24)+[10]FINANCIALS!L$27+[10]FINANCIALS!L$28+[10]FINANCIALS!L$30</f>
        <v>1300.0667058639999</v>
      </c>
      <c r="L25" s="163">
        <f>SUM([10]FINANCIALS!M$22:M$24)+[10]FINANCIALS!M$27+[10]FINANCIALS!M$28+[10]FINANCIALS!M$30</f>
        <v>1327.5572855734242</v>
      </c>
      <c r="M25" s="163">
        <f>SUM([10]FINANCIALS!N$22:N$24)+[10]FINANCIALS!N$27+[10]FINANCIALS!N$28+[10]FINANCIALS!N$30</f>
        <v>1355.4154171280397</v>
      </c>
      <c r="N25" s="163">
        <f>SUM([10]FINANCIALS!O$22:O$24)+[10]FINANCIALS!O$27+[10]FINANCIALS!O$28+[10]FINANCIALS!O$30</f>
        <v>1383.6484515647514</v>
      </c>
      <c r="O25" s="163">
        <f>SUM([10]FINANCIALS!P$22:P$24)+[10]FINANCIALS!P$27+[10]FINANCIALS!P$28+[10]FINANCIALS!P$30</f>
        <v>1412.2638869412001</v>
      </c>
      <c r="P25" s="163">
        <f>SUM([10]FINANCIALS!Q$22:Q$24)+[10]FINANCIALS!Q$27+[10]FINANCIALS!Q$28+[10]FINANCIALS!Q$30</f>
        <v>1439.2729319533373</v>
      </c>
      <c r="Q25" s="163">
        <f>SUM([10]FINANCIALS!R$22:R$24)+[10]FINANCIALS!R$27+[10]FINANCIALS!R$28+[10]FINANCIALS!R$30</f>
        <v>1466.6798269031774</v>
      </c>
      <c r="R25" s="163">
        <f>SUM([10]FINANCIALS!S$22:S$24)+[10]FINANCIALS!S$27+[10]FINANCIALS!S$28+[10]FINANCIALS!S$30</f>
        <v>1494.4925287894741</v>
      </c>
      <c r="S25" s="163">
        <f>SUM([10]FINANCIALS!T$22:T$24)+[10]FINANCIALS!T$27+[10]FINANCIALS!T$28+[10]FINANCIALS!T$30</f>
        <v>1522.7191537509575</v>
      </c>
      <c r="T25" s="163">
        <f>SUM([10]FINANCIALS!U$22:U$24)+[10]FINANCIALS!U$27+[10]FINANCIALS!U$28+[10]FINANCIALS!U$30</f>
        <v>1463.4718117832142</v>
      </c>
      <c r="U25" s="163">
        <f>SUM([10]FINANCIALS!V$22:V$24)+[10]FINANCIALS!V$27+[10]FINANCIALS!V$28+[10]FINANCIALS!V$30</f>
        <v>1506.2597654171695</v>
      </c>
      <c r="V25" s="163">
        <f>SUM([10]FINANCIALS!W$22:W$24)+[10]FINANCIALS!W$27+[10]FINANCIALS!W$28+[10]FINANCIALS!W$30</f>
        <v>1557.0732539748717</v>
      </c>
      <c r="W25" s="163">
        <f>SUM([10]FINANCIALS!X$22:X$24)+[10]FINANCIALS!X$27+[10]FINANCIALS!X$28+[10]FINANCIALS!X$30</f>
        <v>1590.1822358714639</v>
      </c>
      <c r="X25" s="163">
        <f>SUM([10]FINANCIALS!Y$22:Y$24)+[10]FINANCIALS!Y$27+[10]FINANCIALS!Y$28+[10]FINANCIALS!Y$30</f>
        <v>814.73675487597859</v>
      </c>
      <c r="Y25" s="163">
        <f>SUM([10]FINANCIALS!Z$22:Z$24)+[10]FINANCIALS!Z$27+[10]FINANCIALS!Z$28+[10]FINANCIALS!Z$30</f>
        <v>0</v>
      </c>
      <c r="AA25" s="355">
        <f t="shared" si="1"/>
        <v>25718.851429525719</v>
      </c>
      <c r="AB25" s="356">
        <f t="shared" si="2"/>
        <v>12859.42571476286</v>
      </c>
    </row>
    <row r="26" spans="1:28">
      <c r="A26" s="4" t="s">
        <v>16</v>
      </c>
      <c r="D26" s="86">
        <v>0</v>
      </c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>
        <f>[10]FINANCIALS!F$29</f>
        <v>130.5651</v>
      </c>
      <c r="F28" s="163">
        <f>[10]FINANCIALS!G$29</f>
        <v>130.5651</v>
      </c>
      <c r="G28" s="163">
        <f>[10]FINANCIALS!H$29</f>
        <v>130.5651</v>
      </c>
      <c r="H28" s="163">
        <f>[10]FINANCIALS!I$29</f>
        <v>130.5651</v>
      </c>
      <c r="I28" s="163">
        <f>[10]FINANCIALS!J$29</f>
        <v>130.5651</v>
      </c>
      <c r="J28" s="163">
        <f>[10]FINANCIALS!K$29</f>
        <v>130.5651</v>
      </c>
      <c r="K28" s="163">
        <f>[10]FINANCIALS!L$29</f>
        <v>130.5651</v>
      </c>
      <c r="L28" s="163">
        <f>[10]FINANCIALS!M$29</f>
        <v>130.5651</v>
      </c>
      <c r="M28" s="163">
        <f>[10]FINANCIALS!N$29</f>
        <v>130.5651</v>
      </c>
      <c r="N28" s="163">
        <f>[10]FINANCIALS!O$29</f>
        <v>130.5651</v>
      </c>
      <c r="O28" s="163">
        <f>[10]FINANCIALS!P$29</f>
        <v>130.5651</v>
      </c>
      <c r="P28" s="163">
        <f>[10]FINANCIALS!Q$29</f>
        <v>130.5651</v>
      </c>
      <c r="Q28" s="163">
        <f>[10]FINANCIALS!R$29</f>
        <v>130.5651</v>
      </c>
      <c r="R28" s="163">
        <f>[10]FINANCIALS!S$29</f>
        <v>130.5651</v>
      </c>
      <c r="S28" s="163">
        <f>[10]FINANCIALS!T$29</f>
        <v>130.5651</v>
      </c>
      <c r="T28" s="163">
        <f>[10]FINANCIALS!U$29</f>
        <v>130.5651</v>
      </c>
      <c r="U28" s="163">
        <f>[10]FINANCIALS!V$29</f>
        <v>130.5651</v>
      </c>
      <c r="V28" s="163">
        <f>[10]FINANCIALS!W$29</f>
        <v>130.5651</v>
      </c>
      <c r="W28" s="163">
        <f>[10]FINANCIALS!X$29</f>
        <v>130.5651</v>
      </c>
      <c r="X28" s="163">
        <f>[10]FINANCIALS!Y$29</f>
        <v>64.388268493150676</v>
      </c>
      <c r="Y28" s="163">
        <f>[10]FINANCIALS!Z$29</f>
        <v>0</v>
      </c>
      <c r="AA28" s="355">
        <f t="shared" si="1"/>
        <v>2414.5600684931501</v>
      </c>
      <c r="AB28" s="356">
        <f t="shared" si="2"/>
        <v>1207.280034246575</v>
      </c>
    </row>
    <row r="29" spans="1:28">
      <c r="A29" s="4" t="s">
        <v>3</v>
      </c>
      <c r="D29" s="86">
        <v>0</v>
      </c>
      <c r="E29" s="163">
        <f>[10]FINANCIALS!F$32+[10]FINANCIALS!F$34+[10]FINANCIALS!F$35+[10]FINANCIALS!F$36</f>
        <v>84.692883297546899</v>
      </c>
      <c r="F29" s="163">
        <f>[10]FINANCIALS!G$32+[10]FINANCIALS!G$34+[10]FINANCIALS!G$35+[10]FINANCIALS!G$36</f>
        <v>139.3673176815999</v>
      </c>
      <c r="G29" s="163">
        <f>[10]FINANCIALS!H$32+[10]FINANCIALS!H$34+[10]FINANCIALS!H$35+[10]FINANCIALS!H$36</f>
        <v>141.34752956717807</v>
      </c>
      <c r="H29" s="163">
        <f>[10]FINANCIALS!I$32+[10]FINANCIALS!I$34+[10]FINANCIALS!I$35+[10]FINANCIALS!I$36</f>
        <v>143.61974434880165</v>
      </c>
      <c r="I29" s="163">
        <f>[10]FINANCIALS!J$32+[10]FINANCIALS!J$34+[10]FINANCIALS!J$35+[10]FINANCIALS!J$36</f>
        <v>145.90897447049124</v>
      </c>
      <c r="J29" s="163">
        <f>[10]FINANCIALS!K$32+[10]FINANCIALS!K$34+[10]FINANCIALS!K$35+[10]FINANCIALS!K$36</f>
        <v>150.54325060966326</v>
      </c>
      <c r="K29" s="163">
        <f>[10]FINANCIALS!L$32+[10]FINANCIALS!L$34+[10]FINANCIALS!L$35+[10]FINANCIALS!L$36</f>
        <v>153.71121918344542</v>
      </c>
      <c r="L29" s="163">
        <f>[10]FINANCIALS!M$32+[10]FINANCIALS!M$34+[10]FINANCIALS!M$35+[10]FINANCIALS!M$36</f>
        <v>156.92829744800682</v>
      </c>
      <c r="M29" s="163">
        <f>[10]FINANCIALS!N$32+[10]FINANCIALS!N$34+[10]FINANCIALS!N$35+[10]FINANCIALS!N$36</f>
        <v>160.19546759716312</v>
      </c>
      <c r="N29" s="163">
        <f>[10]FINANCIALS!O$32+[10]FINANCIALS!O$34+[10]FINANCIALS!O$35+[10]FINANCIALS!O$36</f>
        <v>163.5137314686061</v>
      </c>
      <c r="O29" s="163">
        <f>[10]FINANCIALS!P$32+[10]FINANCIALS!P$34+[10]FINANCIALS!P$35+[10]FINANCIALS!P$36</f>
        <v>166.88411093678158</v>
      </c>
      <c r="P29" s="163">
        <f>[10]FINANCIALS!Q$32+[10]FINANCIALS!Q$34+[10]FINANCIALS!Q$35+[10]FINANCIALS!Q$36</f>
        <v>170.15155996698257</v>
      </c>
      <c r="Q29" s="163">
        <f>[10]FINANCIALS!R$32+[10]FINANCIALS!R$34+[10]FINANCIALS!R$35+[10]FINANCIALS!R$36</f>
        <v>173.47323006402402</v>
      </c>
      <c r="R29" s="163">
        <f>[10]FINANCIALS!S$32+[10]FINANCIALS!S$34+[10]FINANCIALS!S$35+[10]FINANCIALS!S$36</f>
        <v>176.85020564924275</v>
      </c>
      <c r="S29" s="163">
        <f>[10]FINANCIALS!T$32+[10]FINANCIALS!T$34+[10]FINANCIALS!T$35+[10]FINANCIALS!T$36</f>
        <v>180.28359283240235</v>
      </c>
      <c r="T29" s="163">
        <f>[10]FINANCIALS!U$32+[10]FINANCIALS!U$34+[10]FINANCIALS!U$35+[10]FINANCIALS!U$36</f>
        <v>184.67987556827697</v>
      </c>
      <c r="U29" s="163">
        <f>[10]FINANCIALS!V$32+[10]FINANCIALS!V$34+[10]FINANCIALS!V$35+[10]FINANCIALS!V$36</f>
        <v>190.028605755147</v>
      </c>
      <c r="V29" s="163">
        <f>[10]FINANCIALS!W$32+[10]FINANCIALS!W$34+[10]FINANCIALS!W$35+[10]FINANCIALS!W$36</f>
        <v>195.3029836972832</v>
      </c>
      <c r="W29" s="163">
        <f>[10]FINANCIALS!X$32+[10]FINANCIALS!X$34+[10]FINANCIALS!X$35+[10]FINANCIALS!X$36</f>
        <v>200.63842336722757</v>
      </c>
      <c r="X29" s="163">
        <f>[10]FINANCIALS!Y$32+[10]FINANCIALS!Y$34+[10]FINANCIALS!Y$35+[10]FINANCIALS!Y$36</f>
        <v>79.889417314303671</v>
      </c>
      <c r="Y29" s="163">
        <f>[10]FINANCIALS!Z$32+[10]FINANCIALS!Z$34+[10]FINANCIALS!Z$35+[10]FINANCIALS!Z$36</f>
        <v>0</v>
      </c>
      <c r="AA29" s="355">
        <f t="shared" si="1"/>
        <v>3073.3175375266273</v>
      </c>
      <c r="AB29" s="356">
        <f t="shared" si="2"/>
        <v>1536.6587687633137</v>
      </c>
    </row>
    <row r="30" spans="1:28">
      <c r="A30" s="4" t="s">
        <v>38</v>
      </c>
      <c r="D30" s="86">
        <v>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86">
        <v>0</v>
      </c>
      <c r="E31" s="163">
        <f>SUM([10]FINANCIALS!F$25:F$26)</f>
        <v>467.44266275812305</v>
      </c>
      <c r="F31" s="163">
        <f>SUM([10]FINANCIALS!G$25:G$26)</f>
        <v>401.53256656881007</v>
      </c>
      <c r="G31" s="163">
        <f>SUM([10]FINANCIALS!H$25:H$26)</f>
        <v>350.90229287138447</v>
      </c>
      <c r="H31" s="163">
        <f>SUM([10]FINANCIALS!I$25:I$26)</f>
        <v>305.36902510065391</v>
      </c>
      <c r="I31" s="163">
        <f>SUM([10]FINANCIALS!J$25:J$26)</f>
        <v>259.84141006805612</v>
      </c>
      <c r="J31" s="163">
        <f>SUM([10]FINANCIALS!K$25:K$26)</f>
        <v>193.95371276752462</v>
      </c>
      <c r="K31" s="163">
        <f>SUM([10]FINANCIALS!L$25:L$26)</f>
        <v>173.89504258890162</v>
      </c>
      <c r="L31" s="163">
        <f>SUM([10]FINANCIALS!M$25:M$26)</f>
        <v>169.11674624971243</v>
      </c>
      <c r="M31" s="163">
        <f>SUM([10]FINANCIALS!N$25:N$26)</f>
        <v>169.43601793604205</v>
      </c>
      <c r="N31" s="163">
        <f>SUM([10]FINANCIALS!O$25:O$26)</f>
        <v>169.76151542025511</v>
      </c>
      <c r="O31" s="163">
        <f>SUM([10]FINANCIALS!P$25:P$26)</f>
        <v>170.09336010541031</v>
      </c>
      <c r="P31" s="163">
        <f>SUM([10]FINANCIALS!Q$25:Q$26)</f>
        <v>170.43167576192602</v>
      </c>
      <c r="Q31" s="163">
        <f>SUM([10]FINANCIALS!R$25:R$26)</f>
        <v>170.77658857374382</v>
      </c>
      <c r="R31" s="163">
        <f>SUM([10]FINANCIALS!S$25:S$26)</f>
        <v>171.12822718539203</v>
      </c>
      <c r="S31" s="163">
        <f>SUM([10]FINANCIALS!T$25:T$26)</f>
        <v>171.48672274996741</v>
      </c>
      <c r="T31" s="163">
        <f>SUM([10]FINANCIALS!U$25:U$26)</f>
        <v>171.852208978052</v>
      </c>
      <c r="U31" s="163">
        <f>SUM([10]FINANCIALS!V$25:V$26)</f>
        <v>172.22482218758424</v>
      </c>
      <c r="V31" s="163">
        <f>SUM([10]FINANCIALS!W$25:W$26)</f>
        <v>172.60470135470237</v>
      </c>
      <c r="W31" s="163">
        <f>SUM([10]FINANCIALS!X$25:X$26)</f>
        <v>172.9919881655793</v>
      </c>
      <c r="X31" s="163">
        <f>SUM([10]FINANCIALS!Y$25:Y$26)</f>
        <v>85.505832527310403</v>
      </c>
      <c r="Y31" s="163">
        <f>SUM([10]FINANCIALS!Z$25:Z$26)</f>
        <v>0</v>
      </c>
      <c r="AA31" s="355">
        <f t="shared" si="1"/>
        <v>3822.9044571610079</v>
      </c>
      <c r="AB31" s="356">
        <f t="shared" si="2"/>
        <v>1911.452228580504</v>
      </c>
    </row>
    <row r="32" spans="1:28">
      <c r="A32" s="4" t="s">
        <v>34</v>
      </c>
      <c r="D32" s="86">
        <v>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>
        <f>[10]FINANCIALS!F$33</f>
        <v>51</v>
      </c>
      <c r="F34" s="163">
        <f>[10]FINANCIALS!G$33</f>
        <v>52.02</v>
      </c>
      <c r="G34" s="163">
        <f>[10]FINANCIALS!H$33</f>
        <v>53.060400000000001</v>
      </c>
      <c r="H34" s="163">
        <f>[10]FINANCIALS!I$33</f>
        <v>54.121608000000002</v>
      </c>
      <c r="I34" s="163">
        <f>[10]FINANCIALS!J$33</f>
        <v>55.204040160000005</v>
      </c>
      <c r="J34" s="163">
        <f>[10]FINANCIALS!K$33</f>
        <v>56.308120963200004</v>
      </c>
      <c r="K34" s="163">
        <f>[10]FINANCIALS!L$33</f>
        <v>57.434283382464002</v>
      </c>
      <c r="L34" s="163">
        <f>[10]FINANCIALS!M$33</f>
        <v>58.582969050113284</v>
      </c>
      <c r="M34" s="163">
        <f>[10]FINANCIALS!N$33</f>
        <v>59.754628431115549</v>
      </c>
      <c r="N34" s="163">
        <f>[10]FINANCIALS!O$33</f>
        <v>60.949720999737863</v>
      </c>
      <c r="O34" s="163">
        <f>[10]FINANCIALS!P$33</f>
        <v>62.168715419732621</v>
      </c>
      <c r="P34" s="163">
        <f>[10]FINANCIALS!Q$33</f>
        <v>63.412089728127278</v>
      </c>
      <c r="Q34" s="163">
        <f>[10]FINANCIALS!R$33</f>
        <v>64.680331522689826</v>
      </c>
      <c r="R34" s="163">
        <f>[10]FINANCIALS!S$33</f>
        <v>65.973938153143621</v>
      </c>
      <c r="S34" s="163">
        <f>[10]FINANCIALS!T$33</f>
        <v>67.293416916206496</v>
      </c>
      <c r="T34" s="163">
        <f>[10]FINANCIALS!U$33</f>
        <v>68.639285254530634</v>
      </c>
      <c r="U34" s="163">
        <f>[10]FINANCIALS!V$33</f>
        <v>70.012070959621255</v>
      </c>
      <c r="V34" s="163">
        <f>[10]FINANCIALS!W$33</f>
        <v>71.412312378813681</v>
      </c>
      <c r="W34" s="163">
        <f>[10]FINANCIALS!X$33</f>
        <v>72.840558626389949</v>
      </c>
      <c r="X34" s="163">
        <f>[10]FINANCIALS!Y$33</f>
        <v>36.639798804945741</v>
      </c>
      <c r="Y34" s="163">
        <f>[10]FINANCIALS!Z$33</f>
        <v>0</v>
      </c>
      <c r="AA34" s="355">
        <f t="shared" si="1"/>
        <v>1150.5082887508318</v>
      </c>
      <c r="AB34" s="356">
        <f t="shared" si="2"/>
        <v>575.25414437541588</v>
      </c>
    </row>
    <row r="35" spans="1:28">
      <c r="A35" s="4" t="s">
        <v>19</v>
      </c>
      <c r="B35" s="6"/>
      <c r="C35" s="6"/>
      <c r="D35" s="87">
        <v>0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>
        <f>E37-E36</f>
        <v>-1905.9261286892788</v>
      </c>
      <c r="E36" s="86">
        <f t="shared" ref="E36:Y36" si="5">SUM(E24:E35)</f>
        <v>1906.1585757543739</v>
      </c>
      <c r="F36" s="86">
        <f t="shared" si="5"/>
        <v>1904.4598563146674</v>
      </c>
      <c r="G36" s="86">
        <f t="shared" si="5"/>
        <v>1869.808164356273</v>
      </c>
      <c r="H36" s="86">
        <f t="shared" si="5"/>
        <v>1844.0537396296206</v>
      </c>
      <c r="I36" s="86">
        <f t="shared" si="5"/>
        <v>1818.3084965702326</v>
      </c>
      <c r="J36" s="86">
        <f t="shared" si="5"/>
        <v>1804.3066554412305</v>
      </c>
      <c r="K36" s="86">
        <f t="shared" si="5"/>
        <v>1815.6723510188108</v>
      </c>
      <c r="L36" s="86">
        <f t="shared" si="5"/>
        <v>1842.7503983212566</v>
      </c>
      <c r="M36" s="86">
        <f t="shared" si="5"/>
        <v>1875.3666310923604</v>
      </c>
      <c r="N36" s="86">
        <f t="shared" si="5"/>
        <v>1908.4385194533504</v>
      </c>
      <c r="O36" s="86">
        <f t="shared" si="5"/>
        <v>1941.9751734031247</v>
      </c>
      <c r="P36" s="86">
        <f t="shared" si="5"/>
        <v>1973.8333574103733</v>
      </c>
      <c r="Q36" s="86">
        <f t="shared" si="5"/>
        <v>2006.1750770636349</v>
      </c>
      <c r="R36" s="86">
        <f t="shared" si="5"/>
        <v>2039.0099997772525</v>
      </c>
      <c r="S36" s="86">
        <f t="shared" si="5"/>
        <v>2072.3479862495337</v>
      </c>
      <c r="T36" s="86">
        <f t="shared" si="5"/>
        <v>2019.2082815840738</v>
      </c>
      <c r="U36" s="86">
        <f t="shared" si="5"/>
        <v>2069.090364319522</v>
      </c>
      <c r="V36" s="86">
        <f t="shared" si="5"/>
        <v>2126.9583514056708</v>
      </c>
      <c r="W36" s="86">
        <f t="shared" si="5"/>
        <v>2167.2183060306606</v>
      </c>
      <c r="X36" s="86">
        <f t="shared" si="5"/>
        <v>1081.1600720156889</v>
      </c>
      <c r="Y36" s="86">
        <f t="shared" si="5"/>
        <v>0</v>
      </c>
      <c r="AA36" s="355">
        <f t="shared" si="1"/>
        <v>36180.141781457336</v>
      </c>
      <c r="AB36" s="356">
        <f t="shared" si="2"/>
        <v>18090.070890728668</v>
      </c>
    </row>
    <row r="37" spans="1:28" outlineLevel="1">
      <c r="A37" s="4"/>
      <c r="B37" s="92"/>
      <c r="C37" s="92"/>
      <c r="D37" s="86"/>
      <c r="E37" s="416">
        <f>E36/E20</f>
        <v>0.23244706509521318</v>
      </c>
      <c r="F37" s="416">
        <f t="shared" ref="F37:Y37" si="6">F36/F20</f>
        <v>0.23767646241573295</v>
      </c>
      <c r="G37" s="416">
        <f t="shared" si="6"/>
        <v>0.23596245422720796</v>
      </c>
      <c r="H37" s="416">
        <f t="shared" si="6"/>
        <v>0.23308902650822669</v>
      </c>
      <c r="I37" s="416">
        <f t="shared" si="6"/>
        <v>0.23047000396809797</v>
      </c>
      <c r="J37" s="416">
        <f t="shared" si="6"/>
        <v>0.2104300988241759</v>
      </c>
      <c r="K37" s="416">
        <f t="shared" si="6"/>
        <v>0.20647956903253362</v>
      </c>
      <c r="L37" s="416">
        <f t="shared" si="6"/>
        <v>0.20446449724637278</v>
      </c>
      <c r="M37" s="416">
        <f t="shared" si="6"/>
        <v>0.20314498542394296</v>
      </c>
      <c r="N37" s="416">
        <f t="shared" si="6"/>
        <v>0.20193486766410104</v>
      </c>
      <c r="O37" s="416">
        <f t="shared" si="6"/>
        <v>0.20082765021368748</v>
      </c>
      <c r="P37" s="416">
        <f t="shared" si="6"/>
        <v>0.20057330410263732</v>
      </c>
      <c r="Q37" s="416">
        <f t="shared" si="6"/>
        <v>0.20037594647241361</v>
      </c>
      <c r="R37" s="416">
        <f t="shared" si="6"/>
        <v>0.20023365410565167</v>
      </c>
      <c r="S37" s="416">
        <f t="shared" si="6"/>
        <v>0.20014464957224817</v>
      </c>
      <c r="T37" s="416">
        <f t="shared" si="6"/>
        <v>0.24333104286027499</v>
      </c>
      <c r="U37" s="416">
        <f t="shared" si="6"/>
        <v>0.23541705942198415</v>
      </c>
      <c r="V37" s="416">
        <f t="shared" si="6"/>
        <v>0.2245494920484444</v>
      </c>
      <c r="W37" s="416">
        <f t="shared" si="6"/>
        <v>0.22191370058169119</v>
      </c>
      <c r="X37" s="416">
        <f t="shared" si="6"/>
        <v>0.20801859694416441</v>
      </c>
      <c r="Y37" s="416" t="e">
        <f t="shared" si="6"/>
        <v>#DIV/0!</v>
      </c>
      <c r="AA37" s="355" t="e">
        <f t="shared" si="1"/>
        <v>#DIV/0!</v>
      </c>
      <c r="AB37" s="356" t="e">
        <f t="shared" si="2"/>
        <v>#DIV/0!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6294.2399750881068</v>
      </c>
      <c r="F39" s="89">
        <f t="shared" si="7"/>
        <v>6108.364960067327</v>
      </c>
      <c r="G39" s="89">
        <f t="shared" si="7"/>
        <v>6054.3684614548702</v>
      </c>
      <c r="H39" s="89">
        <f t="shared" si="7"/>
        <v>6067.3171526613396</v>
      </c>
      <c r="I39" s="89">
        <f t="shared" si="7"/>
        <v>6071.2583245503401</v>
      </c>
      <c r="J39" s="89">
        <f t="shared" si="7"/>
        <v>6770.0687096951624</v>
      </c>
      <c r="K39" s="89">
        <f t="shared" si="7"/>
        <v>6977.7998531619687</v>
      </c>
      <c r="L39" s="89">
        <f t="shared" si="7"/>
        <v>7169.8186449039104</v>
      </c>
      <c r="M39" s="89">
        <f t="shared" si="7"/>
        <v>7356.2992511771954</v>
      </c>
      <c r="N39" s="89">
        <f t="shared" si="7"/>
        <v>7542.3242018605915</v>
      </c>
      <c r="O39" s="89">
        <f t="shared" si="7"/>
        <v>7727.8843869552056</v>
      </c>
      <c r="P39" s="89">
        <f t="shared" si="7"/>
        <v>7867.124123154058</v>
      </c>
      <c r="Q39" s="89">
        <f t="shared" si="7"/>
        <v>8005.8803237068933</v>
      </c>
      <c r="R39" s="89">
        <f t="shared" si="7"/>
        <v>8144.1433211993772</v>
      </c>
      <c r="S39" s="89">
        <f t="shared" si="7"/>
        <v>8281.9032549331987</v>
      </c>
      <c r="T39" s="89">
        <f t="shared" si="7"/>
        <v>6278.9860542020879</v>
      </c>
      <c r="U39" s="89">
        <f t="shared" si="7"/>
        <v>6719.9513873688538</v>
      </c>
      <c r="V39" s="89">
        <f t="shared" si="7"/>
        <v>7345.1554886327649</v>
      </c>
      <c r="W39" s="89">
        <f t="shared" si="7"/>
        <v>7598.8227286140709</v>
      </c>
      <c r="X39" s="89">
        <f t="shared" si="7"/>
        <v>4116.2601966437032</v>
      </c>
      <c r="Y39" s="89">
        <f t="shared" si="7"/>
        <v>0</v>
      </c>
      <c r="AA39" s="355">
        <f>SUM(F39:Y39)</f>
        <v>132203.73082494293</v>
      </c>
      <c r="AB39" s="356">
        <f t="shared" si="2"/>
        <v>66101.865412471467</v>
      </c>
    </row>
    <row r="40" spans="1:28" s="17" customFormat="1">
      <c r="A40" s="1"/>
      <c r="B40" s="1"/>
      <c r="C40" s="1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2934</v>
      </c>
      <c r="G41" s="86">
        <f t="shared" ref="G41:Y41" si="9">+G109</f>
        <v>2934</v>
      </c>
      <c r="H41" s="86">
        <f t="shared" si="9"/>
        <v>2934</v>
      </c>
      <c r="I41" s="86">
        <f t="shared" si="9"/>
        <v>2934</v>
      </c>
      <c r="J41" s="86">
        <f t="shared" si="9"/>
        <v>2934</v>
      </c>
      <c r="K41" s="86">
        <f t="shared" si="9"/>
        <v>2934</v>
      </c>
      <c r="L41" s="86">
        <f t="shared" si="9"/>
        <v>2934</v>
      </c>
      <c r="M41" s="86">
        <f t="shared" si="9"/>
        <v>2934</v>
      </c>
      <c r="N41" s="86">
        <f t="shared" si="9"/>
        <v>2934</v>
      </c>
      <c r="O41" s="86">
        <f t="shared" si="9"/>
        <v>2934</v>
      </c>
      <c r="P41" s="86">
        <f t="shared" si="9"/>
        <v>2934</v>
      </c>
      <c r="Q41" s="86">
        <f t="shared" si="9"/>
        <v>2934</v>
      </c>
      <c r="R41" s="86">
        <f t="shared" si="9"/>
        <v>2934</v>
      </c>
      <c r="S41" s="86">
        <f t="shared" si="9"/>
        <v>2934</v>
      </c>
      <c r="T41" s="86">
        <f t="shared" si="9"/>
        <v>2934</v>
      </c>
      <c r="U41" s="86">
        <f t="shared" si="9"/>
        <v>2934</v>
      </c>
      <c r="V41" s="86">
        <f t="shared" si="9"/>
        <v>2934</v>
      </c>
      <c r="W41" s="86">
        <f t="shared" si="9"/>
        <v>2934</v>
      </c>
      <c r="X41" s="86">
        <f t="shared" si="9"/>
        <v>2934</v>
      </c>
      <c r="Y41" s="86">
        <f t="shared" si="9"/>
        <v>0</v>
      </c>
      <c r="AA41" s="355">
        <f t="shared" si="8"/>
        <v>55746</v>
      </c>
      <c r="AB41" s="356">
        <f t="shared" si="2"/>
        <v>27873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6294.2399750881068</v>
      </c>
      <c r="F44" s="89">
        <f t="shared" si="10"/>
        <v>3174.364960067327</v>
      </c>
      <c r="G44" s="89">
        <f t="shared" si="10"/>
        <v>3120.3684614548702</v>
      </c>
      <c r="H44" s="89">
        <f t="shared" si="10"/>
        <v>3133.3171526613396</v>
      </c>
      <c r="I44" s="89">
        <f t="shared" si="10"/>
        <v>3137.2583245503401</v>
      </c>
      <c r="J44" s="89">
        <f t="shared" si="10"/>
        <v>3836.0687096951624</v>
      </c>
      <c r="K44" s="89">
        <f t="shared" si="10"/>
        <v>4043.7998531619687</v>
      </c>
      <c r="L44" s="89">
        <f t="shared" si="10"/>
        <v>4235.8186449039104</v>
      </c>
      <c r="M44" s="89">
        <f t="shared" si="10"/>
        <v>4422.2992511771954</v>
      </c>
      <c r="N44" s="89">
        <f t="shared" si="10"/>
        <v>4608.3242018605915</v>
      </c>
      <c r="O44" s="89">
        <f t="shared" si="10"/>
        <v>4793.8843869552056</v>
      </c>
      <c r="P44" s="89">
        <f t="shared" si="10"/>
        <v>4933.124123154058</v>
      </c>
      <c r="Q44" s="89">
        <f t="shared" si="10"/>
        <v>5071.8803237068933</v>
      </c>
      <c r="R44" s="89">
        <f t="shared" si="10"/>
        <v>5210.1433211993772</v>
      </c>
      <c r="S44" s="89">
        <f t="shared" si="10"/>
        <v>5347.9032549331987</v>
      </c>
      <c r="T44" s="89">
        <f t="shared" si="10"/>
        <v>3344.9860542020879</v>
      </c>
      <c r="U44" s="89">
        <f t="shared" si="10"/>
        <v>3785.9513873688538</v>
      </c>
      <c r="V44" s="89">
        <f t="shared" si="10"/>
        <v>4411.1554886327649</v>
      </c>
      <c r="W44" s="89">
        <f t="shared" si="10"/>
        <v>4664.8227286140709</v>
      </c>
      <c r="X44" s="89">
        <f t="shared" si="10"/>
        <v>1182.2601966437032</v>
      </c>
      <c r="Y44" s="89">
        <f t="shared" si="10"/>
        <v>0</v>
      </c>
      <c r="AA44" s="355">
        <f t="shared" si="8"/>
        <v>76457.730824942933</v>
      </c>
      <c r="AB44" s="356">
        <f t="shared" si="2"/>
        <v>38228.865412471467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/>
      <c r="C46" s="21"/>
      <c r="D46" s="86"/>
      <c r="E46" s="163">
        <f>-[10]FINANCIALS!F$45</f>
        <v>3655.0680000000002</v>
      </c>
      <c r="F46" s="163">
        <f>-[10]FINANCIALS!G$45</f>
        <v>3077.3979260422766</v>
      </c>
      <c r="G46" s="163">
        <f>-[10]FINANCIALS!H$45</f>
        <v>2963.355741487303</v>
      </c>
      <c r="H46" s="163">
        <f>-[10]FINANCIALS!I$45</f>
        <v>2844.9961273829613</v>
      </c>
      <c r="I46" s="163">
        <f>-[10]FINANCIALS!J$45</f>
        <v>2723.1928893651061</v>
      </c>
      <c r="J46" s="163">
        <f>-[10]FINANCIALS!K$45</f>
        <v>2587.1852308457719</v>
      </c>
      <c r="K46" s="163">
        <f>-[10]FINANCIALS!L$45</f>
        <v>2416.2688557591014</v>
      </c>
      <c r="L46" s="163">
        <f>-[10]FINANCIALS!M$45</f>
        <v>2223.4507765974458</v>
      </c>
      <c r="M46" s="163">
        <f>-[10]FINANCIALS!N$45</f>
        <v>2007.527086991096</v>
      </c>
      <c r="N46" s="163">
        <f>-[10]FINANCIALS!O$45</f>
        <v>1763.5801863829652</v>
      </c>
      <c r="O46" s="163">
        <f>-[10]FINANCIALS!P$45</f>
        <v>1489.6326991433295</v>
      </c>
      <c r="P46" s="163">
        <f>-[10]FINANCIALS!Q$45</f>
        <v>1183.4974930920691</v>
      </c>
      <c r="Q46" s="163">
        <f>-[10]FINANCIALS!R$45</f>
        <v>844.58295014468354</v>
      </c>
      <c r="R46" s="163">
        <f>-[10]FINANCIALS!S$45</f>
        <v>469.38974159033165</v>
      </c>
      <c r="S46" s="163">
        <f>-[10]FINANCIALS!T$45</f>
        <v>88.572263177126729</v>
      </c>
      <c r="T46" s="163">
        <f>-[10]FINANCIALS!U$45</f>
        <v>0</v>
      </c>
      <c r="U46" s="163">
        <f>-[10]FINANCIALS!V$45</f>
        <v>0</v>
      </c>
      <c r="V46" s="163">
        <f>-[10]FINANCIALS!W$45</f>
        <v>0</v>
      </c>
      <c r="W46" s="163">
        <f>-[10]FINANCIALS!X$45</f>
        <v>0</v>
      </c>
      <c r="X46" s="163">
        <f>-[10]FINANCIALS!Y$45</f>
        <v>0</v>
      </c>
      <c r="Y46" s="163">
        <f>-[10]FINANCIALS!Z$45</f>
        <v>0</v>
      </c>
      <c r="AA46" s="355">
        <f t="shared" si="8"/>
        <v>26682.629968001569</v>
      </c>
      <c r="AB46" s="356">
        <f t="shared" si="2"/>
        <v>13341.314984000785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1">E44-E46</f>
        <v>2639.1719750881066</v>
      </c>
      <c r="F49" s="89">
        <f t="shared" si="11"/>
        <v>96.967034025050452</v>
      </c>
      <c r="G49" s="89">
        <f t="shared" si="11"/>
        <v>157.01271996756714</v>
      </c>
      <c r="H49" s="89">
        <f t="shared" si="11"/>
        <v>288.32102527837833</v>
      </c>
      <c r="I49" s="89">
        <f t="shared" si="11"/>
        <v>414.06543518523404</v>
      </c>
      <c r="J49" s="89">
        <f t="shared" si="11"/>
        <v>1248.8834788493905</v>
      </c>
      <c r="K49" s="89">
        <f t="shared" si="11"/>
        <v>1627.5309974028673</v>
      </c>
      <c r="L49" s="89">
        <f t="shared" si="11"/>
        <v>2012.3678683064645</v>
      </c>
      <c r="M49" s="89">
        <f t="shared" si="11"/>
        <v>2414.7721641860994</v>
      </c>
      <c r="N49" s="89">
        <f t="shared" si="11"/>
        <v>2844.7440154776264</v>
      </c>
      <c r="O49" s="89">
        <f t="shared" si="11"/>
        <v>3304.2516878118759</v>
      </c>
      <c r="P49" s="89">
        <f t="shared" si="11"/>
        <v>3749.6266300619891</v>
      </c>
      <c r="Q49" s="89">
        <f t="shared" si="11"/>
        <v>4227.2973735622099</v>
      </c>
      <c r="R49" s="89">
        <f t="shared" si="11"/>
        <v>4740.7535796090451</v>
      </c>
      <c r="S49" s="89">
        <f t="shared" si="11"/>
        <v>5259.3309917560719</v>
      </c>
      <c r="T49" s="89">
        <f t="shared" si="11"/>
        <v>3344.9860542020879</v>
      </c>
      <c r="U49" s="89">
        <f t="shared" si="11"/>
        <v>3785.9513873688538</v>
      </c>
      <c r="V49" s="89">
        <f t="shared" si="11"/>
        <v>4411.1554886327649</v>
      </c>
      <c r="W49" s="89">
        <f t="shared" si="11"/>
        <v>4664.8227286140709</v>
      </c>
      <c r="X49" s="89">
        <f t="shared" si="11"/>
        <v>1182.2601966437032</v>
      </c>
      <c r="Y49" s="89">
        <f t="shared" si="11"/>
        <v>0</v>
      </c>
      <c r="AA49" s="355">
        <f t="shared" si="8"/>
        <v>49775.100856941353</v>
      </c>
      <c r="AB49" s="356">
        <f t="shared" si="2"/>
        <v>24887.550428470677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7">
        <v>0.05</v>
      </c>
      <c r="D51" s="86"/>
      <c r="E51" s="86">
        <f t="shared" ref="E51:Y51" si="12">E49*-$C$51</f>
        <v>-131.95859875440533</v>
      </c>
      <c r="F51" s="86">
        <f t="shared" si="12"/>
        <v>-4.8483517012525228</v>
      </c>
      <c r="G51" s="51">
        <f t="shared" si="12"/>
        <v>-7.8506359983783573</v>
      </c>
      <c r="H51" s="86">
        <f t="shared" si="12"/>
        <v>-14.416051263918916</v>
      </c>
      <c r="I51" s="86">
        <f t="shared" si="12"/>
        <v>-20.703271759261703</v>
      </c>
      <c r="J51" s="86">
        <f t="shared" si="12"/>
        <v>-62.444173942469526</v>
      </c>
      <c r="K51" s="86">
        <f t="shared" si="12"/>
        <v>-81.376549870143378</v>
      </c>
      <c r="L51" s="86">
        <f t="shared" si="12"/>
        <v>-100.61839341532323</v>
      </c>
      <c r="M51" s="86">
        <f t="shared" si="12"/>
        <v>-120.73860820930497</v>
      </c>
      <c r="N51" s="86">
        <f t="shared" si="12"/>
        <v>-142.23720077388131</v>
      </c>
      <c r="O51" s="86">
        <f t="shared" si="12"/>
        <v>-165.2125843905938</v>
      </c>
      <c r="P51" s="86">
        <f t="shared" si="12"/>
        <v>-187.48133150309945</v>
      </c>
      <c r="Q51" s="86">
        <f t="shared" si="12"/>
        <v>-211.3648686781105</v>
      </c>
      <c r="R51" s="86">
        <f t="shared" si="12"/>
        <v>-237.03767898045226</v>
      </c>
      <c r="S51" s="86">
        <f t="shared" si="12"/>
        <v>-262.96654958780363</v>
      </c>
      <c r="T51" s="86">
        <f t="shared" si="12"/>
        <v>-167.24930271010442</v>
      </c>
      <c r="U51" s="86">
        <f t="shared" si="12"/>
        <v>-189.29756936844271</v>
      </c>
      <c r="V51" s="86">
        <f t="shared" si="12"/>
        <v>-220.55777443163825</v>
      </c>
      <c r="W51" s="86">
        <f t="shared" si="12"/>
        <v>-233.24113643070356</v>
      </c>
      <c r="X51" s="86">
        <f t="shared" si="12"/>
        <v>-59.113009832185163</v>
      </c>
      <c r="Y51" s="86">
        <f t="shared" si="12"/>
        <v>0</v>
      </c>
      <c r="AA51" s="355">
        <f t="shared" si="8"/>
        <v>-2488.7550428470677</v>
      </c>
      <c r="AB51" s="356">
        <f t="shared" si="2"/>
        <v>-1244.3775214235338</v>
      </c>
    </row>
    <row r="52" spans="1:28">
      <c r="A52" s="4" t="s">
        <v>27</v>
      </c>
      <c r="C52" s="168">
        <v>0.35</v>
      </c>
      <c r="D52" s="85"/>
      <c r="E52" s="85">
        <f>((E49+E51)*-$C$52)+E56</f>
        <v>2006.3155956032042</v>
      </c>
      <c r="F52" s="85">
        <f t="shared" ref="F52:Y52" si="13">((F49+F51)*-$C$52)+F56</f>
        <v>2851.5987385066701</v>
      </c>
      <c r="G52" s="85">
        <f t="shared" si="13"/>
        <v>2831.6335479307836</v>
      </c>
      <c r="H52" s="85">
        <f t="shared" si="13"/>
        <v>2948.1868851549389</v>
      </c>
      <c r="I52" s="85">
        <f t="shared" si="13"/>
        <v>2906.3768688609093</v>
      </c>
      <c r="J52" s="85">
        <f t="shared" si="13"/>
        <v>2628.7998693425775</v>
      </c>
      <c r="K52" s="85">
        <f t="shared" si="13"/>
        <v>2663.1129181635461</v>
      </c>
      <c r="L52" s="85">
        <f t="shared" si="13"/>
        <v>2535.1546585881001</v>
      </c>
      <c r="M52" s="85">
        <f t="shared" si="13"/>
        <v>2561.5685789481222</v>
      </c>
      <c r="N52" s="85">
        <f t="shared" si="13"/>
        <v>1213.6088634978519</v>
      </c>
      <c r="O52" s="85">
        <f t="shared" si="13"/>
        <v>-1098.6636861974487</v>
      </c>
      <c r="P52" s="85">
        <f t="shared" si="13"/>
        <v>-1246.7508544956113</v>
      </c>
      <c r="Q52" s="85">
        <f t="shared" si="13"/>
        <v>-1405.5763767094347</v>
      </c>
      <c r="R52" s="85">
        <f t="shared" si="13"/>
        <v>-1576.3005652200075</v>
      </c>
      <c r="S52" s="85">
        <f t="shared" si="13"/>
        <v>-1748.7275547588938</v>
      </c>
      <c r="T52" s="85">
        <f t="shared" si="13"/>
        <v>-1112.207863022194</v>
      </c>
      <c r="U52" s="85">
        <f t="shared" si="13"/>
        <v>-1258.8288363001438</v>
      </c>
      <c r="V52" s="85">
        <f t="shared" si="13"/>
        <v>-1466.7091999703944</v>
      </c>
      <c r="W52" s="85">
        <f t="shared" si="13"/>
        <v>-1551.0535572641784</v>
      </c>
      <c r="X52" s="85">
        <f t="shared" si="13"/>
        <v>-393.10151538403136</v>
      </c>
      <c r="Y52" s="85">
        <f t="shared" si="13"/>
        <v>0</v>
      </c>
      <c r="AA52" s="355">
        <f t="shared" si="8"/>
        <v>10282.120919671157</v>
      </c>
      <c r="AB52" s="356">
        <f t="shared" si="2"/>
        <v>5141.0604598355785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4">SUM(E49:E52)</f>
        <v>4513.5289719369057</v>
      </c>
      <c r="F54" s="89">
        <f t="shared" si="14"/>
        <v>2943.7174208304682</v>
      </c>
      <c r="G54" s="89">
        <f t="shared" si="14"/>
        <v>2980.7956318999722</v>
      </c>
      <c r="H54" s="89">
        <f t="shared" si="14"/>
        <v>3222.091859169398</v>
      </c>
      <c r="I54" s="89">
        <f t="shared" si="14"/>
        <v>3299.7390322868814</v>
      </c>
      <c r="J54" s="89">
        <f t="shared" si="14"/>
        <v>3815.2391742494983</v>
      </c>
      <c r="K54" s="89">
        <f t="shared" si="14"/>
        <v>4209.2673656962697</v>
      </c>
      <c r="L54" s="89">
        <f t="shared" si="14"/>
        <v>4446.9041334792419</v>
      </c>
      <c r="M54" s="89">
        <f t="shared" si="14"/>
        <v>4855.6021349249168</v>
      </c>
      <c r="N54" s="89">
        <f t="shared" si="14"/>
        <v>3916.1156782015969</v>
      </c>
      <c r="O54" s="89">
        <f t="shared" si="14"/>
        <v>2040.3754172238334</v>
      </c>
      <c r="P54" s="89">
        <f t="shared" si="14"/>
        <v>2315.3944440632781</v>
      </c>
      <c r="Q54" s="89">
        <f t="shared" si="14"/>
        <v>2610.3561281746643</v>
      </c>
      <c r="R54" s="89">
        <f t="shared" si="14"/>
        <v>2927.4153354085856</v>
      </c>
      <c r="S54" s="89">
        <f t="shared" si="14"/>
        <v>3247.6368874093746</v>
      </c>
      <c r="T54" s="89">
        <f t="shared" si="14"/>
        <v>2065.5288884697893</v>
      </c>
      <c r="U54" s="89">
        <f t="shared" si="14"/>
        <v>2337.8249817002675</v>
      </c>
      <c r="V54" s="89">
        <f t="shared" si="14"/>
        <v>2723.8885142307327</v>
      </c>
      <c r="W54" s="89">
        <f t="shared" si="14"/>
        <v>2880.5280349191889</v>
      </c>
      <c r="X54" s="89">
        <f t="shared" si="14"/>
        <v>730.04567142748681</v>
      </c>
      <c r="Y54" s="89">
        <f t="shared" si="14"/>
        <v>0</v>
      </c>
      <c r="AA54" s="355">
        <f t="shared" si="8"/>
        <v>57568.466733765439</v>
      </c>
      <c r="AB54" s="356">
        <f t="shared" si="2"/>
        <v>28784.23336688272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f>[10]TAX!F$50</f>
        <v>2883.8402773199996</v>
      </c>
      <c r="F56" s="169">
        <f>[10]TAX!G$50</f>
        <v>2883.8402773199996</v>
      </c>
      <c r="G56" s="169">
        <f>[10]TAX!H$50</f>
        <v>2883.8402773199996</v>
      </c>
      <c r="H56" s="169">
        <f>[10]TAX!I$50</f>
        <v>3044.0536260599997</v>
      </c>
      <c r="I56" s="169">
        <f>[10]TAX!J$50</f>
        <v>3044.0536260599997</v>
      </c>
      <c r="J56" s="169">
        <f>[10]TAX!K$50</f>
        <v>3044.0536260599997</v>
      </c>
      <c r="K56" s="169">
        <f>[10]TAX!L$50</f>
        <v>3204.2669747999994</v>
      </c>
      <c r="L56" s="169">
        <f>[10]TAX!M$50</f>
        <v>3204.2669747999994</v>
      </c>
      <c r="M56" s="169">
        <f>[10]TAX!N$50</f>
        <v>3364.48032354</v>
      </c>
      <c r="N56" s="169">
        <f>[10]TAX!O$50</f>
        <v>2159.4862486441625</v>
      </c>
      <c r="O56" s="169">
        <f>[10]TAX!P$50</f>
        <v>0</v>
      </c>
      <c r="P56" s="169">
        <f>[10]TAX!Q$50</f>
        <v>0</v>
      </c>
      <c r="Q56" s="169">
        <f>[10]TAX!R$50</f>
        <v>0</v>
      </c>
      <c r="R56" s="169">
        <f>[10]TAX!S$50</f>
        <v>0</v>
      </c>
      <c r="S56" s="169">
        <f>[10]TAX!T$50</f>
        <v>0</v>
      </c>
      <c r="T56" s="169">
        <f>[10]TAX!U$50</f>
        <v>0</v>
      </c>
      <c r="U56" s="169">
        <f>[10]TAX!V$50</f>
        <v>0</v>
      </c>
      <c r="V56" s="169">
        <f>[10]TAX!W$50</f>
        <v>0</v>
      </c>
      <c r="W56" s="169">
        <f>[10]TAX!X$50</f>
        <v>0</v>
      </c>
      <c r="X56" s="169">
        <f>[10]TAX!Y$50</f>
        <v>0</v>
      </c>
      <c r="Y56" s="169">
        <f>[10]TAX!Z$50</f>
        <v>0</v>
      </c>
      <c r="AA56" s="355">
        <f t="shared" si="8"/>
        <v>26832.341954604162</v>
      </c>
      <c r="AB56" s="356">
        <f t="shared" si="2"/>
        <v>13416.170977302081</v>
      </c>
    </row>
    <row r="57" spans="1:28" outlineLevel="1">
      <c r="A57" s="12"/>
      <c r="D57" s="419" t="s">
        <v>181</v>
      </c>
      <c r="E57" s="420">
        <f>E56/(0.017*C1*8760)</f>
        <v>1.383216433233567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423">
        <f>N56/M56</f>
        <v>0.64184838102189268</v>
      </c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0.64184838102189268</v>
      </c>
      <c r="AB58" s="356">
        <f t="shared" si="2"/>
        <v>0.32092419051094634</v>
      </c>
    </row>
    <row r="59" spans="1:28" outlineLevel="1">
      <c r="A59" s="1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0.5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5">D62+1</f>
        <v>2000</v>
      </c>
      <c r="F62" s="7">
        <f t="shared" si="15"/>
        <v>2001</v>
      </c>
      <c r="G62" s="7">
        <f t="shared" si="15"/>
        <v>2002</v>
      </c>
      <c r="H62" s="7">
        <f t="shared" si="15"/>
        <v>2003</v>
      </c>
      <c r="I62" s="7">
        <f t="shared" si="15"/>
        <v>2004</v>
      </c>
      <c r="J62" s="7">
        <f t="shared" si="15"/>
        <v>2005</v>
      </c>
      <c r="K62" s="7">
        <f t="shared" si="15"/>
        <v>2006</v>
      </c>
      <c r="L62" s="7">
        <f t="shared" si="15"/>
        <v>2007</v>
      </c>
      <c r="M62" s="7">
        <f t="shared" si="15"/>
        <v>2008</v>
      </c>
      <c r="N62" s="7">
        <f t="shared" si="15"/>
        <v>2009</v>
      </c>
      <c r="O62" s="7">
        <f t="shared" si="15"/>
        <v>2010</v>
      </c>
      <c r="P62" s="7">
        <f t="shared" si="15"/>
        <v>2011</v>
      </c>
      <c r="Q62" s="7">
        <f t="shared" si="15"/>
        <v>2012</v>
      </c>
      <c r="R62" s="7">
        <f t="shared" si="15"/>
        <v>2013</v>
      </c>
      <c r="S62" s="7">
        <f t="shared" si="15"/>
        <v>2014</v>
      </c>
      <c r="T62" s="7">
        <f t="shared" si="15"/>
        <v>2015</v>
      </c>
      <c r="U62" s="7">
        <f t="shared" si="15"/>
        <v>2016</v>
      </c>
      <c r="V62" s="7">
        <f t="shared" si="15"/>
        <v>2017</v>
      </c>
      <c r="W62" s="7">
        <f t="shared" si="15"/>
        <v>2018</v>
      </c>
      <c r="X62" s="7">
        <f t="shared" si="15"/>
        <v>2019</v>
      </c>
      <c r="Y62" s="7">
        <f t="shared" si="15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6">E39</f>
        <v>6294.2399750881068</v>
      </c>
      <c r="F64" s="16">
        <f t="shared" si="16"/>
        <v>6108.364960067327</v>
      </c>
      <c r="G64" s="20">
        <f t="shared" si="16"/>
        <v>6054.3684614548702</v>
      </c>
      <c r="H64" s="16">
        <f t="shared" si="16"/>
        <v>6067.3171526613396</v>
      </c>
      <c r="I64" s="16">
        <f t="shared" si="16"/>
        <v>6071.2583245503401</v>
      </c>
      <c r="J64" s="16">
        <f t="shared" si="16"/>
        <v>6770.0687096951624</v>
      </c>
      <c r="K64" s="16">
        <f t="shared" si="16"/>
        <v>6977.7998531619687</v>
      </c>
      <c r="L64" s="16">
        <f t="shared" si="16"/>
        <v>7169.8186449039104</v>
      </c>
      <c r="M64" s="16">
        <f t="shared" si="16"/>
        <v>7356.2992511771954</v>
      </c>
      <c r="N64" s="16">
        <f t="shared" si="16"/>
        <v>7542.3242018605915</v>
      </c>
      <c r="O64" s="16">
        <f t="shared" si="16"/>
        <v>7727.8843869552056</v>
      </c>
      <c r="P64" s="16">
        <f t="shared" si="16"/>
        <v>7867.124123154058</v>
      </c>
      <c r="Q64" s="16">
        <f t="shared" si="16"/>
        <v>8005.8803237068933</v>
      </c>
      <c r="R64" s="16">
        <f t="shared" si="16"/>
        <v>8144.1433211993772</v>
      </c>
      <c r="S64" s="16">
        <f t="shared" si="16"/>
        <v>8281.9032549331987</v>
      </c>
      <c r="T64" s="16">
        <f t="shared" si="16"/>
        <v>6278.9860542020879</v>
      </c>
      <c r="U64" s="16">
        <f t="shared" si="16"/>
        <v>6719.9513873688538</v>
      </c>
      <c r="V64" s="16">
        <f t="shared" si="16"/>
        <v>7345.1554886327649</v>
      </c>
      <c r="W64" s="16">
        <f t="shared" si="16"/>
        <v>7598.8227286140709</v>
      </c>
      <c r="X64" s="16">
        <f t="shared" si="16"/>
        <v>4116.2601966437032</v>
      </c>
      <c r="Y64" s="16">
        <f t="shared" si="16"/>
        <v>0</v>
      </c>
      <c r="AA64" s="355">
        <f t="shared" si="8"/>
        <v>132203.73082494293</v>
      </c>
      <c r="AB64" s="356">
        <f t="shared" si="2"/>
        <v>66101.865412471467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94"/>
      <c r="E66" s="171">
        <f>-SUM([10]DEBT!E$60:E$61)</f>
        <v>-5539.0680000000002</v>
      </c>
      <c r="F66" s="171">
        <f>-SUM([10]DEBT!F$60:F$61)</f>
        <v>-4495.831304783047</v>
      </c>
      <c r="G66" s="171">
        <f>-SUM([10]DEBT!G$60:G$61)</f>
        <v>-4438.9954143900522</v>
      </c>
      <c r="H66" s="171">
        <f>-SUM([10]DEBT!H$60:H$61)</f>
        <v>-4355.6327141172242</v>
      </c>
      <c r="I66" s="171">
        <f>-SUM([10]DEBT!I$60:I$61)</f>
        <v>-4318.3490395691388</v>
      </c>
      <c r="J66" s="171">
        <f>-SUM([10]DEBT!J$60:J$61)</f>
        <v>-4660.7164450541513</v>
      </c>
      <c r="K66" s="171">
        <f>-SUM([10]DEBT!K$60:K$61)</f>
        <v>-4765.9364939681855</v>
      </c>
      <c r="L66" s="171">
        <f>-SUM([10]DEBT!L$60:L$61)</f>
        <v>-4835.0491299464557</v>
      </c>
      <c r="M66" s="171">
        <f>-SUM([10]DEBT!M$60:M$61)</f>
        <v>-4930.2356154402905</v>
      </c>
      <c r="N66" s="171">
        <f>-SUM([10]DEBT!N$60:N$61)</f>
        <v>-5053.7741000290498</v>
      </c>
      <c r="O66" s="171">
        <f>-SUM([10]DEBT!O$60:O$61)</f>
        <v>-5177.7024911937087</v>
      </c>
      <c r="P66" s="171">
        <f>-SUM([10]DEBT!P$60:P$61)</f>
        <v>-5273.9381396671379</v>
      </c>
      <c r="Q66" s="171">
        <f>-SUM([10]DEBT!Q$60:Q$61)</f>
        <v>-5367.340748418319</v>
      </c>
      <c r="R66" s="171">
        <f>-SUM([10]DEBT!R$60:R$61)</f>
        <v>-5460.2351064971244</v>
      </c>
      <c r="S66" s="171">
        <f>-SUM([10]DEBT!S$60:S$61)</f>
        <v>-2251.1183658436953</v>
      </c>
      <c r="T66" s="171">
        <f>-SUM([10]DEBT!T$60:T$61)</f>
        <v>0</v>
      </c>
      <c r="U66" s="171">
        <f>-SUM([10]DEBT!U$60:U$61)</f>
        <v>0</v>
      </c>
      <c r="V66" s="171">
        <f>-SUM([10]DEBT!V$60:V$61)</f>
        <v>0</v>
      </c>
      <c r="W66" s="171">
        <f>-SUM([10]DEBT!W$60:W$61)</f>
        <v>0</v>
      </c>
      <c r="X66" s="171">
        <f>-SUM([10]DEBT!X$60:X$61)</f>
        <v>0</v>
      </c>
      <c r="Y66" s="171">
        <f>-SUM([10]DEBT!Y$60:Y$61)</f>
        <v>0</v>
      </c>
      <c r="AA66" s="355">
        <f t="shared" si="8"/>
        <v>-65384.855108917574</v>
      </c>
      <c r="AB66" s="356">
        <f t="shared" si="2"/>
        <v>-32692.427554458787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415">
        <f>-E64/E66</f>
        <v>1.1363355667574593</v>
      </c>
      <c r="F68" s="415">
        <f>-F64/F66</f>
        <v>1.3586730786737327</v>
      </c>
      <c r="G68" s="415">
        <f t="shared" ref="G68:Y68" si="17">-G64/G66</f>
        <v>1.3639050947942422</v>
      </c>
      <c r="H68" s="415">
        <f t="shared" si="17"/>
        <v>1.392981812492202</v>
      </c>
      <c r="I68" s="415">
        <f t="shared" si="17"/>
        <v>1.4059211677701942</v>
      </c>
      <c r="J68" s="415">
        <f t="shared" si="17"/>
        <v>1.4525811191280278</v>
      </c>
      <c r="K68" s="415">
        <f t="shared" si="17"/>
        <v>1.4640983701719774</v>
      </c>
      <c r="L68" s="415">
        <f t="shared" si="17"/>
        <v>1.4828843414427333</v>
      </c>
      <c r="M68" s="415">
        <f t="shared" si="17"/>
        <v>1.4920786398400652</v>
      </c>
      <c r="N68" s="415">
        <f t="shared" si="17"/>
        <v>1.4924141943378983</v>
      </c>
      <c r="O68" s="415">
        <f t="shared" si="17"/>
        <v>1.4925315620391233</v>
      </c>
      <c r="P68" s="415">
        <f t="shared" si="17"/>
        <v>1.4916982176910001</v>
      </c>
      <c r="Q68" s="415">
        <f t="shared" si="17"/>
        <v>1.4915915905033821</v>
      </c>
      <c r="R68" s="415">
        <f t="shared" si="17"/>
        <v>1.4915371155920878</v>
      </c>
      <c r="S68" s="415">
        <f t="shared" si="17"/>
        <v>3.6790172300998614</v>
      </c>
      <c r="T68" s="415" t="e">
        <f t="shared" si="17"/>
        <v>#DIV/0!</v>
      </c>
      <c r="U68" s="415" t="e">
        <f t="shared" si="17"/>
        <v>#DIV/0!</v>
      </c>
      <c r="V68" s="415" t="e">
        <f t="shared" si="17"/>
        <v>#DIV/0!</v>
      </c>
      <c r="W68" s="415" t="e">
        <f t="shared" si="17"/>
        <v>#DIV/0!</v>
      </c>
      <c r="X68" s="415" t="e">
        <f t="shared" si="17"/>
        <v>#DIV/0!</v>
      </c>
      <c r="Y68" s="415" t="e">
        <f t="shared" si="17"/>
        <v>#DIV/0!</v>
      </c>
      <c r="AA68" s="355" t="e">
        <f t="shared" si="8"/>
        <v>#DIV/0!</v>
      </c>
      <c r="AB68" s="356" t="e">
        <f t="shared" si="2"/>
        <v>#DIV/0!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8">SUM(E64:E66)</f>
        <v>755.17197508810659</v>
      </c>
      <c r="F69" s="91">
        <f t="shared" si="18"/>
        <v>1612.53365528428</v>
      </c>
      <c r="G69" s="91">
        <f t="shared" si="18"/>
        <v>1615.3730470648179</v>
      </c>
      <c r="H69" s="91">
        <f t="shared" si="18"/>
        <v>1711.6844385441154</v>
      </c>
      <c r="I69" s="91">
        <f t="shared" si="18"/>
        <v>1752.9092849812014</v>
      </c>
      <c r="J69" s="91">
        <f t="shared" si="18"/>
        <v>2109.3522646410111</v>
      </c>
      <c r="K69" s="91">
        <f t="shared" si="18"/>
        <v>2211.8633591937833</v>
      </c>
      <c r="L69" s="91">
        <f t="shared" si="18"/>
        <v>2334.7695149574547</v>
      </c>
      <c r="M69" s="91">
        <f t="shared" si="18"/>
        <v>2426.0636357369049</v>
      </c>
      <c r="N69" s="91">
        <f t="shared" si="18"/>
        <v>2488.5501018315417</v>
      </c>
      <c r="O69" s="91">
        <f t="shared" si="18"/>
        <v>2550.1818957614969</v>
      </c>
      <c r="P69" s="91">
        <f t="shared" si="18"/>
        <v>2593.1859834869201</v>
      </c>
      <c r="Q69" s="91">
        <f t="shared" si="18"/>
        <v>2638.5395752885743</v>
      </c>
      <c r="R69" s="91">
        <f t="shared" si="18"/>
        <v>2683.9082147022527</v>
      </c>
      <c r="S69" s="91">
        <f t="shared" si="18"/>
        <v>6030.7848890895038</v>
      </c>
      <c r="T69" s="91">
        <f t="shared" si="18"/>
        <v>6278.9860542020879</v>
      </c>
      <c r="U69" s="91">
        <f t="shared" si="18"/>
        <v>6719.9513873688538</v>
      </c>
      <c r="V69" s="91">
        <f t="shared" si="18"/>
        <v>7345.1554886327649</v>
      </c>
      <c r="W69" s="91">
        <f t="shared" si="18"/>
        <v>7598.8227286140709</v>
      </c>
      <c r="X69" s="91">
        <f t="shared" si="18"/>
        <v>4116.2601966437032</v>
      </c>
      <c r="Y69" s="91">
        <f t="shared" si="18"/>
        <v>0</v>
      </c>
      <c r="AA69" s="355">
        <f t="shared" si="8"/>
        <v>66818.87571602533</v>
      </c>
      <c r="AB69" s="356">
        <f t="shared" si="2"/>
        <v>33409.437858012665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19">F89</f>
        <v>5574.9462913087409</v>
      </c>
      <c r="G71" s="94">
        <f t="shared" si="19"/>
        <v>9592.5535255297218</v>
      </c>
      <c r="H71" s="94">
        <f t="shared" si="19"/>
        <v>5232.3817423814098</v>
      </c>
      <c r="I71" s="94">
        <f t="shared" si="19"/>
        <v>2598.3166917718813</v>
      </c>
      <c r="J71" s="94">
        <f t="shared" si="19"/>
        <v>2278.9987900703413</v>
      </c>
      <c r="K71" s="94">
        <f t="shared" si="19"/>
        <v>194.69025385852004</v>
      </c>
      <c r="L71" s="94">
        <f t="shared" si="19"/>
        <v>-1891.9857096272226</v>
      </c>
      <c r="M71" s="94">
        <f t="shared" si="19"/>
        <v>-2045.9053528011827</v>
      </c>
      <c r="N71" s="94">
        <f t="shared" si="19"/>
        <v>-2210.3695859201921</v>
      </c>
      <c r="O71" s="94">
        <f t="shared" si="19"/>
        <v>-2386.1312705880428</v>
      </c>
      <c r="P71" s="94">
        <f t="shared" si="19"/>
        <v>-2556.4871859987106</v>
      </c>
      <c r="Q71" s="94">
        <f t="shared" si="19"/>
        <v>-2739.1962453875453</v>
      </c>
      <c r="R71" s="94">
        <f t="shared" si="19"/>
        <v>-2935.5932442004596</v>
      </c>
      <c r="S71" s="94">
        <f t="shared" si="19"/>
        <v>-3133.9491043466978</v>
      </c>
      <c r="T71" s="94">
        <f t="shared" si="19"/>
        <v>-2401.7121657322987</v>
      </c>
      <c r="U71" s="94">
        <f t="shared" si="19"/>
        <v>-2570.3814056685865</v>
      </c>
      <c r="V71" s="94">
        <f t="shared" si="19"/>
        <v>-2809.5219744020324</v>
      </c>
      <c r="W71" s="94">
        <f t="shared" si="19"/>
        <v>-2906.5496936948821</v>
      </c>
      <c r="X71" s="94">
        <f t="shared" si="19"/>
        <v>-1574.4695252162162</v>
      </c>
      <c r="Y71" s="94">
        <f t="shared" si="19"/>
        <v>0</v>
      </c>
      <c r="AA71" s="355">
        <f t="shared" si="8"/>
        <v>-6690.365168663453</v>
      </c>
      <c r="AB71" s="356">
        <f t="shared" si="2"/>
        <v>-3345.1825843317265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20">E69+E71</f>
        <v>755.17197508810659</v>
      </c>
      <c r="F73" s="24">
        <f t="shared" si="20"/>
        <v>7187.4799465930209</v>
      </c>
      <c r="G73" s="24">
        <f t="shared" si="20"/>
        <v>11207.926572594541</v>
      </c>
      <c r="H73" s="24">
        <f t="shared" si="20"/>
        <v>6944.0661809255253</v>
      </c>
      <c r="I73" s="24">
        <f t="shared" si="20"/>
        <v>4351.2259767530832</v>
      </c>
      <c r="J73" s="24">
        <f t="shared" si="20"/>
        <v>4388.3510547113528</v>
      </c>
      <c r="K73" s="24">
        <f t="shared" si="20"/>
        <v>2406.5536130523033</v>
      </c>
      <c r="L73" s="24">
        <f t="shared" si="20"/>
        <v>442.7838053302321</v>
      </c>
      <c r="M73" s="24">
        <f t="shared" si="20"/>
        <v>380.15828293572213</v>
      </c>
      <c r="N73" s="24">
        <f t="shared" si="20"/>
        <v>278.18051591134963</v>
      </c>
      <c r="O73" s="24">
        <f t="shared" si="20"/>
        <v>164.05062517345414</v>
      </c>
      <c r="P73" s="24">
        <f t="shared" si="20"/>
        <v>36.698797488209493</v>
      </c>
      <c r="Q73" s="24">
        <f t="shared" si="20"/>
        <v>-100.65667009897106</v>
      </c>
      <c r="R73" s="24">
        <f t="shared" si="20"/>
        <v>-251.68502949820686</v>
      </c>
      <c r="S73" s="24">
        <f t="shared" si="20"/>
        <v>2896.835784742806</v>
      </c>
      <c r="T73" s="24">
        <f t="shared" si="20"/>
        <v>3877.2738884697892</v>
      </c>
      <c r="U73" s="24">
        <f t="shared" si="20"/>
        <v>4149.5699817002678</v>
      </c>
      <c r="V73" s="24">
        <f t="shared" si="20"/>
        <v>4535.6335142307325</v>
      </c>
      <c r="W73" s="24">
        <f t="shared" si="20"/>
        <v>4692.2730349191888</v>
      </c>
      <c r="X73" s="24">
        <f t="shared" si="20"/>
        <v>2541.7906714274868</v>
      </c>
      <c r="Y73" s="24">
        <f t="shared" si="20"/>
        <v>0</v>
      </c>
      <c r="AA73" s="355">
        <f t="shared" si="8"/>
        <v>60128.510547361897</v>
      </c>
      <c r="AB73" s="356">
        <f t="shared" si="2"/>
        <v>30064.255273680948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1">AA75*$C$60</f>
        <v>0</v>
      </c>
    </row>
    <row r="76" spans="1:28" ht="12.75" customHeight="1" outlineLevel="1">
      <c r="A76" s="13" t="s">
        <v>135</v>
      </c>
      <c r="B76" s="22"/>
      <c r="C76" s="159">
        <f>+C$60</f>
        <v>0.5</v>
      </c>
      <c r="D76" s="24"/>
      <c r="E76" s="24">
        <f t="shared" ref="E76:Y76" si="22">$C$76*E54</f>
        <v>2256.7644859684528</v>
      </c>
      <c r="F76" s="24">
        <f t="shared" si="22"/>
        <v>1471.8587104152341</v>
      </c>
      <c r="G76" s="91">
        <f t="shared" si="22"/>
        <v>1490.3978159499861</v>
      </c>
      <c r="H76" s="24">
        <f t="shared" si="22"/>
        <v>1611.045929584699</v>
      </c>
      <c r="I76" s="24">
        <f t="shared" si="22"/>
        <v>1649.8695161434407</v>
      </c>
      <c r="J76" s="24">
        <f t="shared" si="22"/>
        <v>1907.6195871247492</v>
      </c>
      <c r="K76" s="24">
        <f t="shared" si="22"/>
        <v>2104.6336828481349</v>
      </c>
      <c r="L76" s="24">
        <f t="shared" si="22"/>
        <v>2223.4520667396209</v>
      </c>
      <c r="M76" s="24">
        <f t="shared" si="22"/>
        <v>2427.8010674624584</v>
      </c>
      <c r="N76" s="24">
        <f t="shared" si="22"/>
        <v>1958.0578391007984</v>
      </c>
      <c r="O76" s="24">
        <f t="shared" si="22"/>
        <v>1020.1877086119167</v>
      </c>
      <c r="P76" s="24">
        <f t="shared" si="22"/>
        <v>1157.6972220316391</v>
      </c>
      <c r="Q76" s="24">
        <f t="shared" si="22"/>
        <v>1305.1780640873321</v>
      </c>
      <c r="R76" s="24">
        <f t="shared" si="22"/>
        <v>1463.7076677042928</v>
      </c>
      <c r="S76" s="24">
        <f t="shared" si="22"/>
        <v>1623.8184437046873</v>
      </c>
      <c r="T76" s="24">
        <f t="shared" si="22"/>
        <v>1032.7644442348947</v>
      </c>
      <c r="U76" s="24">
        <f t="shared" si="22"/>
        <v>1168.9124908501337</v>
      </c>
      <c r="V76" s="24">
        <f t="shared" si="22"/>
        <v>1361.9442571153663</v>
      </c>
      <c r="W76" s="24">
        <f t="shared" si="22"/>
        <v>1440.2640174595945</v>
      </c>
      <c r="X76" s="24">
        <f t="shared" si="22"/>
        <v>365.0228357137434</v>
      </c>
      <c r="Y76" s="24">
        <f t="shared" si="22"/>
        <v>0</v>
      </c>
      <c r="AA76" s="355">
        <f t="shared" si="8"/>
        <v>28784.23336688272</v>
      </c>
      <c r="AB76" s="356">
        <f>AA76</f>
        <v>28784.23336688272</v>
      </c>
    </row>
    <row r="77" spans="1:28" outlineLevel="1">
      <c r="A77" s="13" t="s">
        <v>136</v>
      </c>
      <c r="B77" s="22"/>
      <c r="C77" s="159">
        <f>+C60</f>
        <v>0.5</v>
      </c>
      <c r="D77" s="24"/>
      <c r="E77" s="24">
        <f t="shared" ref="E77:Y77" si="23">$C$77*E73</f>
        <v>377.5859875440533</v>
      </c>
      <c r="F77" s="24">
        <f t="shared" si="23"/>
        <v>3593.7399732965105</v>
      </c>
      <c r="G77" s="91">
        <f t="shared" si="23"/>
        <v>5603.9632862972703</v>
      </c>
      <c r="H77" s="24">
        <f t="shared" si="23"/>
        <v>3472.0330904627626</v>
      </c>
      <c r="I77" s="24">
        <f t="shared" si="23"/>
        <v>2175.6129883765416</v>
      </c>
      <c r="J77" s="24">
        <f t="shared" si="23"/>
        <v>2194.1755273556764</v>
      </c>
      <c r="K77" s="24">
        <f t="shared" si="23"/>
        <v>1203.2768065261516</v>
      </c>
      <c r="L77" s="24">
        <f t="shared" si="23"/>
        <v>221.39190266511605</v>
      </c>
      <c r="M77" s="24">
        <f t="shared" si="23"/>
        <v>190.07914146786106</v>
      </c>
      <c r="N77" s="24">
        <f t="shared" si="23"/>
        <v>139.09025795567482</v>
      </c>
      <c r="O77" s="24">
        <f t="shared" si="23"/>
        <v>82.025312586727068</v>
      </c>
      <c r="P77" s="24">
        <f t="shared" si="23"/>
        <v>18.349398744104747</v>
      </c>
      <c r="Q77" s="24">
        <f t="shared" si="23"/>
        <v>-50.328335049485531</v>
      </c>
      <c r="R77" s="24">
        <f t="shared" si="23"/>
        <v>-125.84251474910343</v>
      </c>
      <c r="S77" s="24">
        <f t="shared" si="23"/>
        <v>1448.417892371403</v>
      </c>
      <c r="T77" s="24">
        <f t="shared" si="23"/>
        <v>1938.6369442348946</v>
      </c>
      <c r="U77" s="24">
        <f t="shared" si="23"/>
        <v>2074.7849908501339</v>
      </c>
      <c r="V77" s="24">
        <f t="shared" si="23"/>
        <v>2267.8167571153663</v>
      </c>
      <c r="W77" s="24">
        <f t="shared" si="23"/>
        <v>2346.1365174595944</v>
      </c>
      <c r="X77" s="24">
        <f t="shared" si="23"/>
        <v>1270.8953357137434</v>
      </c>
      <c r="Y77" s="24">
        <f t="shared" si="23"/>
        <v>0</v>
      </c>
      <c r="AA77" s="355">
        <f t="shared" si="8"/>
        <v>30064.255273680948</v>
      </c>
      <c r="AB77" s="356">
        <f>AA77</f>
        <v>30064.255273680948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1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1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1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1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1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1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1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1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4">G62</f>
        <v>2002</v>
      </c>
      <c r="H86" s="99">
        <f t="shared" si="24"/>
        <v>2003</v>
      </c>
      <c r="I86" s="99">
        <f t="shared" si="24"/>
        <v>2004</v>
      </c>
      <c r="J86" s="99">
        <f t="shared" si="24"/>
        <v>2005</v>
      </c>
      <c r="K86" s="99">
        <f t="shared" si="24"/>
        <v>2006</v>
      </c>
      <c r="L86" s="99">
        <f t="shared" si="24"/>
        <v>2007</v>
      </c>
      <c r="M86" s="99">
        <f t="shared" si="24"/>
        <v>2008</v>
      </c>
      <c r="N86" s="99">
        <f t="shared" si="24"/>
        <v>2009</v>
      </c>
      <c r="O86" s="99">
        <f t="shared" si="24"/>
        <v>2010</v>
      </c>
      <c r="P86" s="99">
        <f t="shared" si="24"/>
        <v>2011</v>
      </c>
      <c r="Q86" s="99">
        <f t="shared" si="24"/>
        <v>2012</v>
      </c>
      <c r="R86" s="99">
        <f t="shared" si="24"/>
        <v>2013</v>
      </c>
      <c r="S86" s="99">
        <f t="shared" si="24"/>
        <v>2014</v>
      </c>
      <c r="T86" s="99">
        <f t="shared" si="24"/>
        <v>2015</v>
      </c>
      <c r="U86" s="99">
        <f t="shared" si="24"/>
        <v>2016</v>
      </c>
      <c r="V86" s="99">
        <f t="shared" si="24"/>
        <v>2017</v>
      </c>
      <c r="W86" s="99">
        <f t="shared" si="24"/>
        <v>2018</v>
      </c>
      <c r="X86" s="99">
        <f t="shared" si="24"/>
        <v>2019</v>
      </c>
      <c r="Y86" s="99">
        <f t="shared" si="24"/>
        <v>2020</v>
      </c>
      <c r="AA86" s="355">
        <f t="shared" si="8"/>
        <v>40210</v>
      </c>
      <c r="AB86" s="356">
        <f t="shared" si="21"/>
        <v>20105</v>
      </c>
    </row>
    <row r="87" spans="1:30" s="128" customFormat="1">
      <c r="AA87" s="355">
        <f t="shared" si="8"/>
        <v>0</v>
      </c>
      <c r="AB87" s="356">
        <f t="shared" si="21"/>
        <v>0</v>
      </c>
    </row>
    <row r="88" spans="1:30" s="128" customFormat="1">
      <c r="A88" s="11" t="s">
        <v>31</v>
      </c>
      <c r="F88" s="129">
        <f>F69</f>
        <v>1612.53365528428</v>
      </c>
      <c r="G88" s="129">
        <f t="shared" ref="G88:Y88" si="25">G69</f>
        <v>1615.3730470648179</v>
      </c>
      <c r="H88" s="129">
        <f t="shared" si="25"/>
        <v>1711.6844385441154</v>
      </c>
      <c r="I88" s="129">
        <f t="shared" si="25"/>
        <v>1752.9092849812014</v>
      </c>
      <c r="J88" s="129">
        <f t="shared" si="25"/>
        <v>2109.3522646410111</v>
      </c>
      <c r="K88" s="129">
        <f t="shared" si="25"/>
        <v>2211.8633591937833</v>
      </c>
      <c r="L88" s="129">
        <f t="shared" si="25"/>
        <v>2334.7695149574547</v>
      </c>
      <c r="M88" s="129">
        <f t="shared" si="25"/>
        <v>2426.0636357369049</v>
      </c>
      <c r="N88" s="129">
        <f t="shared" si="25"/>
        <v>2488.5501018315417</v>
      </c>
      <c r="O88" s="129">
        <f t="shared" si="25"/>
        <v>2550.1818957614969</v>
      </c>
      <c r="P88" s="129">
        <f t="shared" si="25"/>
        <v>2593.1859834869201</v>
      </c>
      <c r="Q88" s="129">
        <f t="shared" si="25"/>
        <v>2638.5395752885743</v>
      </c>
      <c r="R88" s="129">
        <f t="shared" si="25"/>
        <v>2683.9082147022527</v>
      </c>
      <c r="S88" s="129">
        <f t="shared" si="25"/>
        <v>6030.7848890895038</v>
      </c>
      <c r="T88" s="129">
        <f t="shared" si="25"/>
        <v>6278.9860542020879</v>
      </c>
      <c r="U88" s="129">
        <f t="shared" si="25"/>
        <v>6719.9513873688538</v>
      </c>
      <c r="V88" s="129">
        <f t="shared" si="25"/>
        <v>7345.1554886327649</v>
      </c>
      <c r="W88" s="129">
        <f t="shared" si="25"/>
        <v>7598.8227286140709</v>
      </c>
      <c r="X88" s="129">
        <f t="shared" si="25"/>
        <v>4116.2601966437032</v>
      </c>
      <c r="Y88" s="129">
        <f t="shared" si="25"/>
        <v>0</v>
      </c>
      <c r="AA88" s="355">
        <f t="shared" si="8"/>
        <v>66818.87571602533</v>
      </c>
      <c r="AB88" s="356">
        <f t="shared" si="21"/>
        <v>33409.437858012665</v>
      </c>
    </row>
    <row r="89" spans="1:30" s="128" customFormat="1">
      <c r="A89" s="128" t="s">
        <v>42</v>
      </c>
      <c r="F89" s="100">
        <f>F126+F127</f>
        <v>5574.9462913087409</v>
      </c>
      <c r="G89" s="100">
        <f t="shared" ref="G89:Y89" si="26">G126+G127</f>
        <v>9592.5535255297218</v>
      </c>
      <c r="H89" s="100">
        <f t="shared" si="26"/>
        <v>5232.3817423814098</v>
      </c>
      <c r="I89" s="100">
        <f t="shared" si="26"/>
        <v>2598.3166917718813</v>
      </c>
      <c r="J89" s="100">
        <f t="shared" si="26"/>
        <v>2278.9987900703413</v>
      </c>
      <c r="K89" s="100">
        <f t="shared" si="26"/>
        <v>194.69025385852004</v>
      </c>
      <c r="L89" s="100">
        <f t="shared" si="26"/>
        <v>-1891.9857096272226</v>
      </c>
      <c r="M89" s="100">
        <f t="shared" si="26"/>
        <v>-2045.9053528011827</v>
      </c>
      <c r="N89" s="100">
        <f t="shared" si="26"/>
        <v>-2210.3695859201921</v>
      </c>
      <c r="O89" s="100">
        <f t="shared" si="26"/>
        <v>-2386.1312705880428</v>
      </c>
      <c r="P89" s="100">
        <f t="shared" si="26"/>
        <v>-2556.4871859987106</v>
      </c>
      <c r="Q89" s="100">
        <f t="shared" si="26"/>
        <v>-2739.1962453875453</v>
      </c>
      <c r="R89" s="100">
        <f t="shared" si="26"/>
        <v>-2935.5932442004596</v>
      </c>
      <c r="S89" s="100">
        <f t="shared" si="26"/>
        <v>-3133.9491043466978</v>
      </c>
      <c r="T89" s="100">
        <f t="shared" si="26"/>
        <v>-2401.7121657322987</v>
      </c>
      <c r="U89" s="100">
        <f t="shared" si="26"/>
        <v>-2570.3814056685865</v>
      </c>
      <c r="V89" s="100">
        <f t="shared" si="26"/>
        <v>-2809.5219744020324</v>
      </c>
      <c r="W89" s="100">
        <f t="shared" si="26"/>
        <v>-2906.5496936948821</v>
      </c>
      <c r="X89" s="100">
        <f t="shared" si="26"/>
        <v>-1574.4695252162162</v>
      </c>
      <c r="Y89" s="100">
        <f t="shared" si="26"/>
        <v>0</v>
      </c>
      <c r="AA89" s="355">
        <f t="shared" si="8"/>
        <v>-6690.365168663453</v>
      </c>
      <c r="AB89" s="356">
        <f t="shared" si="21"/>
        <v>-3345.1825843317265</v>
      </c>
    </row>
    <row r="90" spans="1:30" s="128" customFormat="1">
      <c r="A90" s="128" t="s">
        <v>109</v>
      </c>
      <c r="F90" s="100">
        <f>F56</f>
        <v>2883.8402773199996</v>
      </c>
      <c r="G90" s="100">
        <f t="shared" ref="G90:Y90" si="27">G56</f>
        <v>2883.8402773199996</v>
      </c>
      <c r="H90" s="100">
        <f t="shared" si="27"/>
        <v>3044.0536260599997</v>
      </c>
      <c r="I90" s="100">
        <f t="shared" si="27"/>
        <v>3044.0536260599997</v>
      </c>
      <c r="J90" s="100">
        <f t="shared" si="27"/>
        <v>3044.0536260599997</v>
      </c>
      <c r="K90" s="100">
        <f t="shared" si="27"/>
        <v>3204.2669747999994</v>
      </c>
      <c r="L90" s="100">
        <f t="shared" si="27"/>
        <v>3204.2669747999994</v>
      </c>
      <c r="M90" s="100">
        <f t="shared" si="27"/>
        <v>3364.48032354</v>
      </c>
      <c r="N90" s="100">
        <f t="shared" si="27"/>
        <v>2159.4862486441625</v>
      </c>
      <c r="O90" s="100">
        <f t="shared" si="27"/>
        <v>0</v>
      </c>
      <c r="P90" s="100">
        <f t="shared" si="27"/>
        <v>0</v>
      </c>
      <c r="Q90" s="100">
        <f t="shared" si="27"/>
        <v>0</v>
      </c>
      <c r="R90" s="100">
        <f t="shared" si="27"/>
        <v>0</v>
      </c>
      <c r="S90" s="100">
        <f t="shared" si="27"/>
        <v>0</v>
      </c>
      <c r="T90" s="100">
        <f t="shared" si="27"/>
        <v>0</v>
      </c>
      <c r="U90" s="100">
        <f t="shared" si="27"/>
        <v>0</v>
      </c>
      <c r="V90" s="100">
        <f t="shared" si="27"/>
        <v>0</v>
      </c>
      <c r="W90" s="100">
        <f t="shared" si="27"/>
        <v>0</v>
      </c>
      <c r="X90" s="100">
        <f t="shared" si="27"/>
        <v>0</v>
      </c>
      <c r="Y90" s="100">
        <f t="shared" si="27"/>
        <v>0</v>
      </c>
      <c r="AA90" s="355">
        <f t="shared" si="8"/>
        <v>26832.341954604162</v>
      </c>
      <c r="AB90" s="356">
        <f t="shared" si="21"/>
        <v>13416.170977302081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f>Y99</f>
        <v>32930.081573149626</v>
      </c>
      <c r="Y91" s="101"/>
      <c r="AA91" s="355">
        <f t="shared" si="8"/>
        <v>32930.081573149626</v>
      </c>
      <c r="AB91" s="356">
        <f t="shared" si="21"/>
        <v>16465.040786574813</v>
      </c>
    </row>
    <row r="92" spans="1:30" s="128" customFormat="1">
      <c r="A92" s="128" t="s">
        <v>44</v>
      </c>
      <c r="E92" s="173">
        <v>-59108.830513743735</v>
      </c>
      <c r="F92" s="129">
        <f>SUM(F88:F91)</f>
        <v>10071.320223913021</v>
      </c>
      <c r="G92" s="129">
        <f t="shared" ref="G92:Y92" si="28">SUM(G88:G91)</f>
        <v>14091.76684991454</v>
      </c>
      <c r="H92" s="129">
        <f t="shared" si="28"/>
        <v>9988.1198069855254</v>
      </c>
      <c r="I92" s="129">
        <f t="shared" si="28"/>
        <v>7395.2796028130833</v>
      </c>
      <c r="J92" s="129">
        <f t="shared" si="28"/>
        <v>7432.404680771353</v>
      </c>
      <c r="K92" s="129">
        <f t="shared" si="28"/>
        <v>5610.8205878523022</v>
      </c>
      <c r="L92" s="129">
        <f t="shared" si="28"/>
        <v>3647.0507801302315</v>
      </c>
      <c r="M92" s="129">
        <f t="shared" si="28"/>
        <v>3744.6386064757221</v>
      </c>
      <c r="N92" s="129">
        <f t="shared" si="28"/>
        <v>2437.6667645555121</v>
      </c>
      <c r="O92" s="129">
        <f t="shared" si="28"/>
        <v>164.05062517345414</v>
      </c>
      <c r="P92" s="129">
        <f t="shared" si="28"/>
        <v>36.698797488209493</v>
      </c>
      <c r="Q92" s="129">
        <f t="shared" si="28"/>
        <v>-100.65667009897106</v>
      </c>
      <c r="R92" s="129">
        <f t="shared" si="28"/>
        <v>-251.68502949820686</v>
      </c>
      <c r="S92" s="129">
        <f t="shared" si="28"/>
        <v>2896.835784742806</v>
      </c>
      <c r="T92" s="129">
        <f t="shared" si="28"/>
        <v>3877.2738884697892</v>
      </c>
      <c r="U92" s="129">
        <f t="shared" si="28"/>
        <v>4149.5699817002678</v>
      </c>
      <c r="V92" s="129">
        <f t="shared" si="28"/>
        <v>4535.6335142307325</v>
      </c>
      <c r="W92" s="129">
        <f t="shared" si="28"/>
        <v>4692.2730349191888</v>
      </c>
      <c r="X92" s="129">
        <f t="shared" si="28"/>
        <v>35471.872244577113</v>
      </c>
      <c r="Y92" s="129">
        <f t="shared" si="28"/>
        <v>0</v>
      </c>
      <c r="AA92" s="355">
        <f t="shared" si="8"/>
        <v>119890.93407511567</v>
      </c>
      <c r="AB92" s="356">
        <f t="shared" si="21"/>
        <v>59945.467037557835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1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1"/>
        <v>0</v>
      </c>
    </row>
    <row r="95" spans="1:30" s="128" customFormat="1" ht="13.5" thickBot="1">
      <c r="A95" s="128" t="s">
        <v>46</v>
      </c>
      <c r="E95" s="174">
        <f>NPV(C96,E92:Y92)</f>
        <v>-4.3388738066231434E-11</v>
      </c>
      <c r="R95" s="133"/>
      <c r="U95" s="134" t="s">
        <v>112</v>
      </c>
      <c r="V95" s="135"/>
      <c r="W95" s="135"/>
      <c r="X95" s="135"/>
      <c r="Y95" s="136">
        <f>X88</f>
        <v>4116.2601966437032</v>
      </c>
      <c r="AA95" s="355">
        <f t="shared" si="8"/>
        <v>4116.2601966437032</v>
      </c>
      <c r="AB95" s="356">
        <f t="shared" si="21"/>
        <v>2058.1300983218516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1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4116.2601966437032</v>
      </c>
      <c r="AA97" s="355">
        <f t="shared" si="8"/>
        <v>4116.2601966437032</v>
      </c>
      <c r="AB97" s="356">
        <f t="shared" si="21"/>
        <v>2058.1300983218516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1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32930.081573149626</v>
      </c>
      <c r="AA99" s="355">
        <f t="shared" si="8"/>
        <v>32930.081573149626</v>
      </c>
      <c r="AB99" s="356">
        <f t="shared" si="21"/>
        <v>16465.040786574813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1"/>
        <v>0</v>
      </c>
    </row>
    <row r="101" spans="1:28" s="128" customFormat="1">
      <c r="A101" s="128" t="s">
        <v>53</v>
      </c>
      <c r="D101" s="177">
        <f>[10]DEBT!$F$37</f>
        <v>38702.225140916002</v>
      </c>
      <c r="F101" s="409" t="s">
        <v>154</v>
      </c>
      <c r="G101" s="409"/>
      <c r="H101" s="410">
        <f>-AA66-AA46</f>
        <v>38702.225140916009</v>
      </c>
      <c r="AA101" s="355">
        <f t="shared" si="8"/>
        <v>38702.225140916009</v>
      </c>
      <c r="AB101" s="356">
        <f t="shared" si="21"/>
        <v>19351.112570458004</v>
      </c>
    </row>
    <row r="102" spans="1:28" s="128" customFormat="1" ht="15">
      <c r="A102" s="128" t="s">
        <v>54</v>
      </c>
      <c r="D102" s="101">
        <f>-E92</f>
        <v>59108.830513743735</v>
      </c>
      <c r="AA102" s="355">
        <f t="shared" si="8"/>
        <v>0</v>
      </c>
      <c r="AB102" s="356">
        <f t="shared" si="21"/>
        <v>0</v>
      </c>
    </row>
    <row r="103" spans="1:28" s="128" customFormat="1">
      <c r="D103" s="142">
        <f>D101+D102</f>
        <v>97811.055654659736</v>
      </c>
      <c r="AA103" s="355">
        <f t="shared" si="8"/>
        <v>0</v>
      </c>
      <c r="AB103" s="356">
        <f t="shared" si="21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29">SUM(F104:Y104)</f>
        <v>0</v>
      </c>
      <c r="AB104" s="356">
        <f t="shared" si="21"/>
        <v>0</v>
      </c>
    </row>
    <row r="105" spans="1:28" s="128" customFormat="1">
      <c r="A105" s="128" t="s">
        <v>56</v>
      </c>
      <c r="D105" s="142">
        <f>D103*D104</f>
        <v>88029.950089193764</v>
      </c>
      <c r="AA105" s="355">
        <f t="shared" si="29"/>
        <v>0</v>
      </c>
      <c r="AB105" s="356">
        <f t="shared" si="21"/>
        <v>0</v>
      </c>
    </row>
    <row r="106" spans="1:28" s="128" customFormat="1">
      <c r="AA106" s="355">
        <f t="shared" si="29"/>
        <v>0</v>
      </c>
      <c r="AB106" s="356">
        <f t="shared" si="21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30">G107+1</f>
        <v>2003</v>
      </c>
      <c r="I107" s="99">
        <f t="shared" si="30"/>
        <v>2004</v>
      </c>
      <c r="J107" s="99">
        <f t="shared" si="30"/>
        <v>2005</v>
      </c>
      <c r="K107" s="99">
        <f t="shared" si="30"/>
        <v>2006</v>
      </c>
      <c r="L107" s="99">
        <f t="shared" si="30"/>
        <v>2007</v>
      </c>
      <c r="M107" s="99">
        <f t="shared" si="30"/>
        <v>2008</v>
      </c>
      <c r="N107" s="99">
        <f t="shared" si="30"/>
        <v>2009</v>
      </c>
      <c r="O107" s="99">
        <f t="shared" si="30"/>
        <v>2010</v>
      </c>
      <c r="P107" s="99">
        <f t="shared" si="30"/>
        <v>2011</v>
      </c>
      <c r="Q107" s="99">
        <f t="shared" si="30"/>
        <v>2012</v>
      </c>
      <c r="R107" s="99">
        <f t="shared" si="30"/>
        <v>2013</v>
      </c>
      <c r="S107" s="99">
        <f t="shared" si="30"/>
        <v>2014</v>
      </c>
      <c r="T107" s="99">
        <f t="shared" si="30"/>
        <v>2015</v>
      </c>
      <c r="U107" s="99">
        <f t="shared" si="30"/>
        <v>2016</v>
      </c>
      <c r="V107" s="99">
        <f t="shared" si="30"/>
        <v>2017</v>
      </c>
      <c r="W107" s="99">
        <f t="shared" si="30"/>
        <v>2018</v>
      </c>
      <c r="X107" s="99">
        <f t="shared" si="30"/>
        <v>2019</v>
      </c>
      <c r="Y107" s="99">
        <f t="shared" si="30"/>
        <v>2020</v>
      </c>
      <c r="AA107" s="355">
        <f t="shared" si="29"/>
        <v>40210</v>
      </c>
      <c r="AB107" s="356">
        <f t="shared" si="21"/>
        <v>20105</v>
      </c>
    </row>
    <row r="108" spans="1:28" s="128" customFormat="1">
      <c r="A108" s="103" t="s">
        <v>57</v>
      </c>
      <c r="AA108" s="355">
        <f t="shared" si="29"/>
        <v>0</v>
      </c>
      <c r="AB108" s="356">
        <f t="shared" si="21"/>
        <v>0</v>
      </c>
    </row>
    <row r="109" spans="1:28" s="128" customFormat="1">
      <c r="A109" s="128" t="s">
        <v>58</v>
      </c>
      <c r="B109" s="179">
        <v>30</v>
      </c>
      <c r="C109" s="128" t="s">
        <v>0</v>
      </c>
      <c r="D109" s="143">
        <f>D105</f>
        <v>88029.950089193764</v>
      </c>
      <c r="F109" s="132">
        <f>ROUND(D109/$B$109,0)</f>
        <v>2934</v>
      </c>
      <c r="G109" s="132">
        <f>F109</f>
        <v>2934</v>
      </c>
      <c r="H109" s="132">
        <f t="shared" ref="H109:X110" si="31">G109</f>
        <v>2934</v>
      </c>
      <c r="I109" s="132">
        <f t="shared" si="31"/>
        <v>2934</v>
      </c>
      <c r="J109" s="132">
        <f t="shared" si="31"/>
        <v>2934</v>
      </c>
      <c r="K109" s="132">
        <f t="shared" si="31"/>
        <v>2934</v>
      </c>
      <c r="L109" s="132">
        <f t="shared" si="31"/>
        <v>2934</v>
      </c>
      <c r="M109" s="132">
        <f t="shared" si="31"/>
        <v>2934</v>
      </c>
      <c r="N109" s="132">
        <f t="shared" si="31"/>
        <v>2934</v>
      </c>
      <c r="O109" s="132">
        <f t="shared" si="31"/>
        <v>2934</v>
      </c>
      <c r="P109" s="132">
        <f t="shared" si="31"/>
        <v>2934</v>
      </c>
      <c r="Q109" s="132">
        <f t="shared" si="31"/>
        <v>2934</v>
      </c>
      <c r="R109" s="132">
        <f t="shared" si="31"/>
        <v>2934</v>
      </c>
      <c r="S109" s="132">
        <f t="shared" si="31"/>
        <v>2934</v>
      </c>
      <c r="T109" s="132">
        <f t="shared" si="31"/>
        <v>2934</v>
      </c>
      <c r="U109" s="132">
        <f t="shared" si="31"/>
        <v>2934</v>
      </c>
      <c r="V109" s="132">
        <f t="shared" si="31"/>
        <v>2934</v>
      </c>
      <c r="W109" s="132">
        <f t="shared" si="31"/>
        <v>2934</v>
      </c>
      <c r="X109" s="132">
        <f t="shared" si="31"/>
        <v>2934</v>
      </c>
      <c r="Y109" s="360"/>
      <c r="AA109" s="355">
        <f t="shared" si="29"/>
        <v>55746</v>
      </c>
      <c r="AB109" s="356">
        <f t="shared" si="21"/>
        <v>27873</v>
      </c>
    </row>
    <row r="110" spans="1:28" s="128" customFormat="1">
      <c r="A110" s="128" t="s">
        <v>138</v>
      </c>
      <c r="D110" s="143">
        <f>D104*'FPLE_Wind Summary'!J17</f>
        <v>9185.1647333941091</v>
      </c>
      <c r="F110" s="132">
        <f>ROUND(D110/$B$109,0)</f>
        <v>306</v>
      </c>
      <c r="G110" s="132">
        <f>F110</f>
        <v>306</v>
      </c>
      <c r="H110" s="132">
        <f t="shared" si="31"/>
        <v>306</v>
      </c>
      <c r="I110" s="132">
        <f t="shared" si="31"/>
        <v>306</v>
      </c>
      <c r="J110" s="132">
        <f t="shared" si="31"/>
        <v>306</v>
      </c>
      <c r="K110" s="132">
        <f t="shared" si="31"/>
        <v>306</v>
      </c>
      <c r="L110" s="132">
        <f t="shared" si="31"/>
        <v>306</v>
      </c>
      <c r="M110" s="132">
        <f t="shared" si="31"/>
        <v>306</v>
      </c>
      <c r="N110" s="132">
        <f t="shared" si="31"/>
        <v>306</v>
      </c>
      <c r="O110" s="132">
        <f t="shared" si="31"/>
        <v>306</v>
      </c>
      <c r="P110" s="132">
        <f t="shared" si="31"/>
        <v>306</v>
      </c>
      <c r="Q110" s="132">
        <f t="shared" si="31"/>
        <v>306</v>
      </c>
      <c r="R110" s="132">
        <f t="shared" si="31"/>
        <v>306</v>
      </c>
      <c r="S110" s="132">
        <f t="shared" si="31"/>
        <v>306</v>
      </c>
      <c r="T110" s="132">
        <f t="shared" si="31"/>
        <v>306</v>
      </c>
      <c r="U110" s="132">
        <f t="shared" si="31"/>
        <v>306</v>
      </c>
      <c r="V110" s="132">
        <f t="shared" si="31"/>
        <v>306</v>
      </c>
      <c r="W110" s="132">
        <f t="shared" si="31"/>
        <v>306</v>
      </c>
      <c r="X110" s="132">
        <f t="shared" si="31"/>
        <v>306</v>
      </c>
      <c r="Y110" s="360"/>
      <c r="AA110" s="355">
        <f t="shared" si="29"/>
        <v>5814</v>
      </c>
      <c r="AB110" s="356">
        <f t="shared" si="21"/>
        <v>2907</v>
      </c>
    </row>
    <row r="111" spans="1:28" s="128" customFormat="1">
      <c r="AA111" s="355">
        <f t="shared" si="29"/>
        <v>0</v>
      </c>
      <c r="AB111" s="356">
        <f t="shared" si="21"/>
        <v>0</v>
      </c>
    </row>
    <row r="112" spans="1:28" s="128" customFormat="1">
      <c r="A112" s="103" t="s">
        <v>59</v>
      </c>
      <c r="AA112" s="355">
        <f t="shared" si="29"/>
        <v>0</v>
      </c>
      <c r="AB112" s="356">
        <f t="shared" si="21"/>
        <v>0</v>
      </c>
    </row>
    <row r="113" spans="1:28" s="128" customFormat="1">
      <c r="A113" s="104" t="s">
        <v>60</v>
      </c>
      <c r="D113" s="143">
        <f>D109</f>
        <v>88029.950089193764</v>
      </c>
      <c r="AA113" s="355">
        <f t="shared" si="29"/>
        <v>0</v>
      </c>
      <c r="AB113" s="356">
        <f t="shared" si="21"/>
        <v>0</v>
      </c>
    </row>
    <row r="114" spans="1:28" s="128" customFormat="1">
      <c r="A114" s="128" t="s">
        <v>61</v>
      </c>
      <c r="E114" s="144"/>
      <c r="F114" s="180">
        <v>0.2</v>
      </c>
      <c r="G114" s="180">
        <v>0.32</v>
      </c>
      <c r="H114" s="180">
        <v>0.192</v>
      </c>
      <c r="I114" s="180">
        <v>0.1152</v>
      </c>
      <c r="J114" s="180">
        <v>0.1152</v>
      </c>
      <c r="K114" s="180">
        <v>5.7599999999999998E-2</v>
      </c>
      <c r="L114" s="180">
        <v>0</v>
      </c>
      <c r="M114" s="180">
        <v>0</v>
      </c>
      <c r="N114" s="180">
        <v>0</v>
      </c>
      <c r="O114" s="180">
        <v>0</v>
      </c>
      <c r="P114" s="180">
        <v>0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45"/>
      <c r="AA114" s="355">
        <f t="shared" si="29"/>
        <v>0.99999999999999989</v>
      </c>
      <c r="AB114" s="356">
        <f t="shared" si="21"/>
        <v>0.49999999999999994</v>
      </c>
    </row>
    <row r="115" spans="1:28" s="128" customFormat="1">
      <c r="A115" s="128" t="s">
        <v>59</v>
      </c>
      <c r="F115" s="132">
        <f t="shared" ref="F115:X115" si="32">$D$113*F114</f>
        <v>17605.990017838754</v>
      </c>
      <c r="G115" s="132">
        <f t="shared" si="32"/>
        <v>28169.584028542005</v>
      </c>
      <c r="H115" s="132">
        <f t="shared" si="32"/>
        <v>16901.750417125204</v>
      </c>
      <c r="I115" s="132">
        <f t="shared" si="32"/>
        <v>10141.050250275121</v>
      </c>
      <c r="J115" s="132">
        <f t="shared" si="32"/>
        <v>10141.050250275121</v>
      </c>
      <c r="K115" s="132">
        <f t="shared" si="32"/>
        <v>5070.5251251375603</v>
      </c>
      <c r="L115" s="132">
        <f t="shared" si="32"/>
        <v>0</v>
      </c>
      <c r="M115" s="132">
        <f t="shared" si="32"/>
        <v>0</v>
      </c>
      <c r="N115" s="132">
        <f t="shared" si="32"/>
        <v>0</v>
      </c>
      <c r="O115" s="132">
        <f t="shared" si="32"/>
        <v>0</v>
      </c>
      <c r="P115" s="132">
        <f t="shared" si="32"/>
        <v>0</v>
      </c>
      <c r="Q115" s="132">
        <f t="shared" si="32"/>
        <v>0</v>
      </c>
      <c r="R115" s="132">
        <f t="shared" si="32"/>
        <v>0</v>
      </c>
      <c r="S115" s="132">
        <f t="shared" si="32"/>
        <v>0</v>
      </c>
      <c r="T115" s="132">
        <f t="shared" si="32"/>
        <v>0</v>
      </c>
      <c r="U115" s="132">
        <f t="shared" si="32"/>
        <v>0</v>
      </c>
      <c r="V115" s="132">
        <f t="shared" si="32"/>
        <v>0</v>
      </c>
      <c r="W115" s="132">
        <f t="shared" si="32"/>
        <v>0</v>
      </c>
      <c r="X115" s="132">
        <f t="shared" si="32"/>
        <v>0</v>
      </c>
      <c r="Y115" s="360"/>
      <c r="AA115" s="355">
        <f t="shared" si="29"/>
        <v>88029.950089193764</v>
      </c>
      <c r="AB115" s="356">
        <f t="shared" si="21"/>
        <v>44014.975044596882</v>
      </c>
    </row>
    <row r="116" spans="1:28" s="128" customFormat="1">
      <c r="A116" s="128" t="s">
        <v>138</v>
      </c>
      <c r="D116" s="143">
        <f>D110</f>
        <v>9185.1647333941091</v>
      </c>
      <c r="F116" s="132">
        <f>$D$116*F114</f>
        <v>1837.0329466788219</v>
      </c>
      <c r="G116" s="132">
        <f t="shared" ref="G116:X116" si="33">$D$116*G114</f>
        <v>2939.2527146861148</v>
      </c>
      <c r="H116" s="132">
        <f t="shared" si="33"/>
        <v>1763.5516288116689</v>
      </c>
      <c r="I116" s="132">
        <f t="shared" si="33"/>
        <v>1058.1309772870013</v>
      </c>
      <c r="J116" s="132">
        <f t="shared" si="33"/>
        <v>1058.1309772870013</v>
      </c>
      <c r="K116" s="132">
        <f t="shared" si="33"/>
        <v>529.06548864350066</v>
      </c>
      <c r="L116" s="132">
        <f t="shared" si="33"/>
        <v>0</v>
      </c>
      <c r="M116" s="132">
        <f t="shared" si="33"/>
        <v>0</v>
      </c>
      <c r="N116" s="132">
        <f t="shared" si="33"/>
        <v>0</v>
      </c>
      <c r="O116" s="132">
        <f t="shared" si="33"/>
        <v>0</v>
      </c>
      <c r="P116" s="132">
        <f t="shared" si="33"/>
        <v>0</v>
      </c>
      <c r="Q116" s="132">
        <f t="shared" si="33"/>
        <v>0</v>
      </c>
      <c r="R116" s="132">
        <f t="shared" si="33"/>
        <v>0</v>
      </c>
      <c r="S116" s="132">
        <f t="shared" si="33"/>
        <v>0</v>
      </c>
      <c r="T116" s="132">
        <f t="shared" si="33"/>
        <v>0</v>
      </c>
      <c r="U116" s="132">
        <f t="shared" si="33"/>
        <v>0</v>
      </c>
      <c r="V116" s="132">
        <f t="shared" si="33"/>
        <v>0</v>
      </c>
      <c r="W116" s="132">
        <f t="shared" si="33"/>
        <v>0</v>
      </c>
      <c r="X116" s="132">
        <f t="shared" si="33"/>
        <v>0</v>
      </c>
      <c r="Y116" s="360"/>
      <c r="AA116" s="355">
        <f t="shared" si="29"/>
        <v>9185.1647333941073</v>
      </c>
      <c r="AB116" s="356">
        <f t="shared" si="21"/>
        <v>4592.5823666970537</v>
      </c>
    </row>
    <row r="117" spans="1:28" s="128" customFormat="1">
      <c r="AA117" s="355">
        <f t="shared" si="29"/>
        <v>0</v>
      </c>
      <c r="AB117" s="356">
        <f t="shared" si="21"/>
        <v>0</v>
      </c>
    </row>
    <row r="118" spans="1:28" s="128" customFormat="1">
      <c r="AA118" s="355">
        <f t="shared" si="29"/>
        <v>0</v>
      </c>
      <c r="AB118" s="356">
        <f t="shared" si="21"/>
        <v>0</v>
      </c>
    </row>
    <row r="119" spans="1:28" s="128" customFormat="1" ht="13.5" thickBot="1">
      <c r="F119" s="99">
        <f>F107</f>
        <v>2001</v>
      </c>
      <c r="G119" s="99">
        <f t="shared" ref="G119:Y119" si="34">G107</f>
        <v>2002</v>
      </c>
      <c r="H119" s="99">
        <f t="shared" si="34"/>
        <v>2003</v>
      </c>
      <c r="I119" s="99">
        <f t="shared" si="34"/>
        <v>2004</v>
      </c>
      <c r="J119" s="99">
        <f t="shared" si="34"/>
        <v>2005</v>
      </c>
      <c r="K119" s="99">
        <f t="shared" si="34"/>
        <v>2006</v>
      </c>
      <c r="L119" s="99">
        <f t="shared" si="34"/>
        <v>2007</v>
      </c>
      <c r="M119" s="99">
        <f t="shared" si="34"/>
        <v>2008</v>
      </c>
      <c r="N119" s="99">
        <f t="shared" si="34"/>
        <v>2009</v>
      </c>
      <c r="O119" s="99">
        <f t="shared" si="34"/>
        <v>2010</v>
      </c>
      <c r="P119" s="99">
        <f t="shared" si="34"/>
        <v>2011</v>
      </c>
      <c r="Q119" s="99">
        <f t="shared" si="34"/>
        <v>2012</v>
      </c>
      <c r="R119" s="99">
        <f t="shared" si="34"/>
        <v>2013</v>
      </c>
      <c r="S119" s="99">
        <f t="shared" si="34"/>
        <v>2014</v>
      </c>
      <c r="T119" s="99">
        <f t="shared" si="34"/>
        <v>2015</v>
      </c>
      <c r="U119" s="99">
        <f t="shared" si="34"/>
        <v>2016</v>
      </c>
      <c r="V119" s="99">
        <f t="shared" si="34"/>
        <v>2017</v>
      </c>
      <c r="W119" s="99">
        <f t="shared" si="34"/>
        <v>2018</v>
      </c>
      <c r="X119" s="99">
        <f t="shared" si="34"/>
        <v>2019</v>
      </c>
      <c r="Y119" s="99">
        <f t="shared" si="34"/>
        <v>2020</v>
      </c>
      <c r="AA119" s="355">
        <f t="shared" si="29"/>
        <v>40210</v>
      </c>
      <c r="AB119" s="356">
        <f t="shared" si="21"/>
        <v>20105</v>
      </c>
    </row>
    <row r="120" spans="1:28" s="128" customFormat="1">
      <c r="A120" s="98" t="s">
        <v>62</v>
      </c>
      <c r="AA120" s="355">
        <f t="shared" si="29"/>
        <v>0</v>
      </c>
      <c r="AB120" s="356">
        <f t="shared" si="21"/>
        <v>0</v>
      </c>
    </row>
    <row r="121" spans="1:28" s="128" customFormat="1">
      <c r="A121" s="146" t="str">
        <f>A64</f>
        <v>EBITDA</v>
      </c>
      <c r="F121" s="132">
        <f>F39</f>
        <v>6108.364960067327</v>
      </c>
      <c r="G121" s="132">
        <f t="shared" ref="G121:Y121" si="35">G39</f>
        <v>6054.3684614548702</v>
      </c>
      <c r="H121" s="132">
        <f t="shared" si="35"/>
        <v>6067.3171526613396</v>
      </c>
      <c r="I121" s="132">
        <f t="shared" si="35"/>
        <v>6071.2583245503401</v>
      </c>
      <c r="J121" s="132">
        <f>J39</f>
        <v>6770.0687096951624</v>
      </c>
      <c r="K121" s="132">
        <f t="shared" si="35"/>
        <v>6977.7998531619687</v>
      </c>
      <c r="L121" s="132">
        <f t="shared" si="35"/>
        <v>7169.8186449039104</v>
      </c>
      <c r="M121" s="132">
        <f t="shared" si="35"/>
        <v>7356.2992511771954</v>
      </c>
      <c r="N121" s="132">
        <f t="shared" si="35"/>
        <v>7542.3242018605915</v>
      </c>
      <c r="O121" s="132">
        <f t="shared" si="35"/>
        <v>7727.8843869552056</v>
      </c>
      <c r="P121" s="132">
        <f t="shared" si="35"/>
        <v>7867.124123154058</v>
      </c>
      <c r="Q121" s="132">
        <f t="shared" si="35"/>
        <v>8005.8803237068933</v>
      </c>
      <c r="R121" s="132">
        <f t="shared" si="35"/>
        <v>8144.1433211993772</v>
      </c>
      <c r="S121" s="132">
        <f t="shared" si="35"/>
        <v>8281.9032549331987</v>
      </c>
      <c r="T121" s="132">
        <f t="shared" si="35"/>
        <v>6278.9860542020879</v>
      </c>
      <c r="U121" s="132">
        <f t="shared" si="35"/>
        <v>6719.9513873688538</v>
      </c>
      <c r="V121" s="132">
        <f t="shared" si="35"/>
        <v>7345.1554886327649</v>
      </c>
      <c r="W121" s="132">
        <f t="shared" si="35"/>
        <v>7598.8227286140709</v>
      </c>
      <c r="X121" s="132">
        <f t="shared" si="35"/>
        <v>4116.2601966437032</v>
      </c>
      <c r="Y121" s="132">
        <f t="shared" si="35"/>
        <v>0</v>
      </c>
      <c r="AA121" s="355">
        <f t="shared" si="29"/>
        <v>132203.73082494293</v>
      </c>
      <c r="AB121" s="356">
        <f t="shared" si="21"/>
        <v>66101.865412471467</v>
      </c>
    </row>
    <row r="122" spans="1:28" s="128" customFormat="1">
      <c r="A122" s="128" t="s">
        <v>63</v>
      </c>
      <c r="F122" s="132">
        <f>-F115</f>
        <v>-17605.990017838754</v>
      </c>
      <c r="G122" s="132">
        <f t="shared" ref="G122:Y122" si="36">-G115</f>
        <v>-28169.584028542005</v>
      </c>
      <c r="H122" s="132">
        <f t="shared" si="36"/>
        <v>-16901.750417125204</v>
      </c>
      <c r="I122" s="132">
        <f t="shared" si="36"/>
        <v>-10141.050250275121</v>
      </c>
      <c r="J122" s="132">
        <f t="shared" si="36"/>
        <v>-10141.050250275121</v>
      </c>
      <c r="K122" s="132">
        <f t="shared" si="36"/>
        <v>-5070.5251251375603</v>
      </c>
      <c r="L122" s="132">
        <f t="shared" si="36"/>
        <v>0</v>
      </c>
      <c r="M122" s="132">
        <f t="shared" si="36"/>
        <v>0</v>
      </c>
      <c r="N122" s="132">
        <f t="shared" si="36"/>
        <v>0</v>
      </c>
      <c r="O122" s="132">
        <f t="shared" si="36"/>
        <v>0</v>
      </c>
      <c r="P122" s="132">
        <f t="shared" si="36"/>
        <v>0</v>
      </c>
      <c r="Q122" s="132">
        <f t="shared" si="36"/>
        <v>0</v>
      </c>
      <c r="R122" s="132">
        <f t="shared" si="36"/>
        <v>0</v>
      </c>
      <c r="S122" s="132">
        <f t="shared" si="36"/>
        <v>0</v>
      </c>
      <c r="T122" s="132">
        <f t="shared" si="36"/>
        <v>0</v>
      </c>
      <c r="U122" s="132">
        <f t="shared" si="36"/>
        <v>0</v>
      </c>
      <c r="V122" s="132">
        <f t="shared" si="36"/>
        <v>0</v>
      </c>
      <c r="W122" s="132">
        <f t="shared" si="36"/>
        <v>0</v>
      </c>
      <c r="X122" s="132">
        <f t="shared" si="36"/>
        <v>0</v>
      </c>
      <c r="Y122" s="132">
        <f t="shared" si="36"/>
        <v>0</v>
      </c>
      <c r="AA122" s="355">
        <f t="shared" si="29"/>
        <v>-88029.950089193764</v>
      </c>
      <c r="AB122" s="356">
        <f t="shared" si="21"/>
        <v>-44014.975044596882</v>
      </c>
    </row>
    <row r="123" spans="1:28" s="128" customFormat="1">
      <c r="A123" s="128" t="s">
        <v>64</v>
      </c>
      <c r="F123" s="147">
        <f>-F46</f>
        <v>-3077.3979260422766</v>
      </c>
      <c r="G123" s="147">
        <f t="shared" ref="G123:Y123" si="37">-G46</f>
        <v>-2963.355741487303</v>
      </c>
      <c r="H123" s="147">
        <f t="shared" si="37"/>
        <v>-2844.9961273829613</v>
      </c>
      <c r="I123" s="147">
        <f t="shared" si="37"/>
        <v>-2723.1928893651061</v>
      </c>
      <c r="J123" s="147">
        <f t="shared" si="37"/>
        <v>-2587.1852308457719</v>
      </c>
      <c r="K123" s="147">
        <f t="shared" si="37"/>
        <v>-2416.2688557591014</v>
      </c>
      <c r="L123" s="147">
        <f t="shared" si="37"/>
        <v>-2223.4507765974458</v>
      </c>
      <c r="M123" s="147">
        <f t="shared" si="37"/>
        <v>-2007.527086991096</v>
      </c>
      <c r="N123" s="147">
        <f t="shared" si="37"/>
        <v>-1763.5801863829652</v>
      </c>
      <c r="O123" s="147">
        <f t="shared" si="37"/>
        <v>-1489.6326991433295</v>
      </c>
      <c r="P123" s="147">
        <f t="shared" si="37"/>
        <v>-1183.4974930920691</v>
      </c>
      <c r="Q123" s="147">
        <f t="shared" si="37"/>
        <v>-844.58295014468354</v>
      </c>
      <c r="R123" s="147">
        <f t="shared" si="37"/>
        <v>-469.38974159033165</v>
      </c>
      <c r="S123" s="147">
        <f t="shared" si="37"/>
        <v>-88.572263177126729</v>
      </c>
      <c r="T123" s="147">
        <f t="shared" si="37"/>
        <v>0</v>
      </c>
      <c r="U123" s="147">
        <f t="shared" si="37"/>
        <v>0</v>
      </c>
      <c r="V123" s="147">
        <f t="shared" si="37"/>
        <v>0</v>
      </c>
      <c r="W123" s="147">
        <f t="shared" si="37"/>
        <v>0</v>
      </c>
      <c r="X123" s="147">
        <f t="shared" si="37"/>
        <v>0</v>
      </c>
      <c r="Y123" s="147">
        <f t="shared" si="37"/>
        <v>0</v>
      </c>
      <c r="AA123" s="355">
        <f t="shared" si="29"/>
        <v>-26682.629968001569</v>
      </c>
      <c r="AB123" s="356">
        <f t="shared" si="21"/>
        <v>-13341.314984000785</v>
      </c>
    </row>
    <row r="124" spans="1:28" s="128" customFormat="1">
      <c r="A124" s="128" t="s">
        <v>65</v>
      </c>
      <c r="F124" s="132">
        <f>SUM(F121:F123)</f>
        <v>-14575.022983813704</v>
      </c>
      <c r="G124" s="132">
        <f t="shared" ref="G124:Y124" si="38">SUM(G121:G123)</f>
        <v>-25078.571308574439</v>
      </c>
      <c r="H124" s="132">
        <f t="shared" si="38"/>
        <v>-13679.429391846825</v>
      </c>
      <c r="I124" s="132">
        <f t="shared" si="38"/>
        <v>-6792.984815089887</v>
      </c>
      <c r="J124" s="132">
        <f t="shared" si="38"/>
        <v>-5958.1667714257301</v>
      </c>
      <c r="K124" s="132">
        <f t="shared" si="38"/>
        <v>-508.99412773469294</v>
      </c>
      <c r="L124" s="132">
        <f t="shared" si="38"/>
        <v>4946.3678683064645</v>
      </c>
      <c r="M124" s="132">
        <f t="shared" si="38"/>
        <v>5348.772164186099</v>
      </c>
      <c r="N124" s="132">
        <f t="shared" si="38"/>
        <v>5778.7440154776268</v>
      </c>
      <c r="O124" s="132">
        <f t="shared" si="38"/>
        <v>6238.2516878118759</v>
      </c>
      <c r="P124" s="132">
        <f t="shared" si="38"/>
        <v>6683.6266300619891</v>
      </c>
      <c r="Q124" s="132">
        <f t="shared" si="38"/>
        <v>7161.2973735622099</v>
      </c>
      <c r="R124" s="132">
        <f t="shared" si="38"/>
        <v>7674.7535796090451</v>
      </c>
      <c r="S124" s="132">
        <f t="shared" si="38"/>
        <v>8193.3309917560728</v>
      </c>
      <c r="T124" s="132">
        <f t="shared" si="38"/>
        <v>6278.9860542020879</v>
      </c>
      <c r="U124" s="132">
        <f t="shared" si="38"/>
        <v>6719.9513873688538</v>
      </c>
      <c r="V124" s="132">
        <f t="shared" si="38"/>
        <v>7345.1554886327649</v>
      </c>
      <c r="W124" s="132">
        <f t="shared" si="38"/>
        <v>7598.8227286140709</v>
      </c>
      <c r="X124" s="132">
        <f t="shared" si="38"/>
        <v>4116.2601966437032</v>
      </c>
      <c r="Y124" s="132">
        <f t="shared" si="38"/>
        <v>0</v>
      </c>
      <c r="AA124" s="355">
        <f t="shared" si="29"/>
        <v>17491.150767747575</v>
      </c>
      <c r="AB124" s="356">
        <f t="shared" si="21"/>
        <v>8745.5753838737874</v>
      </c>
    </row>
    <row r="125" spans="1:28" s="128" customFormat="1">
      <c r="AA125" s="355">
        <f t="shared" si="29"/>
        <v>0</v>
      </c>
      <c r="AB125" s="356">
        <f t="shared" si="21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728.75114919068528</v>
      </c>
      <c r="G126" s="132">
        <f t="shared" ref="G126:Y126" si="39">-G124*$C$126</f>
        <v>1253.9285654287221</v>
      </c>
      <c r="H126" s="132">
        <f t="shared" si="39"/>
        <v>683.97146959234124</v>
      </c>
      <c r="I126" s="132">
        <f t="shared" si="39"/>
        <v>339.64924075449437</v>
      </c>
      <c r="J126" s="132">
        <f t="shared" si="39"/>
        <v>297.90833857128649</v>
      </c>
      <c r="K126" s="132">
        <f t="shared" si="39"/>
        <v>25.449706386734647</v>
      </c>
      <c r="L126" s="132">
        <f t="shared" si="39"/>
        <v>-247.31839341532324</v>
      </c>
      <c r="M126" s="132">
        <f t="shared" si="39"/>
        <v>-267.43860820930496</v>
      </c>
      <c r="N126" s="132">
        <f t="shared" si="39"/>
        <v>-288.93720077388133</v>
      </c>
      <c r="O126" s="132">
        <f t="shared" si="39"/>
        <v>-311.91258439059379</v>
      </c>
      <c r="P126" s="132">
        <f t="shared" si="39"/>
        <v>-334.1813315030995</v>
      </c>
      <c r="Q126" s="132">
        <f t="shared" si="39"/>
        <v>-358.06486867811054</v>
      </c>
      <c r="R126" s="132">
        <f t="shared" si="39"/>
        <v>-383.7376789804523</v>
      </c>
      <c r="S126" s="132">
        <f t="shared" si="39"/>
        <v>-409.66654958780367</v>
      </c>
      <c r="T126" s="132">
        <f t="shared" si="39"/>
        <v>-313.9493027101044</v>
      </c>
      <c r="U126" s="132">
        <f t="shared" si="39"/>
        <v>-335.99756936844273</v>
      </c>
      <c r="V126" s="132">
        <f t="shared" si="39"/>
        <v>-367.25777443163827</v>
      </c>
      <c r="W126" s="132">
        <f t="shared" si="39"/>
        <v>-379.94113643070358</v>
      </c>
      <c r="X126" s="132">
        <f t="shared" si="39"/>
        <v>-205.81300983218517</v>
      </c>
      <c r="Y126" s="132">
        <f t="shared" si="39"/>
        <v>0</v>
      </c>
      <c r="AA126" s="355">
        <f t="shared" si="29"/>
        <v>-874.5575383873786</v>
      </c>
      <c r="AB126" s="356">
        <f t="shared" si="21"/>
        <v>-437.2787691936893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4846.1951421180556</v>
      </c>
      <c r="G127" s="132">
        <f t="shared" ref="G127:Y127" si="40">-(G124+G126)*$C$127</f>
        <v>8338.6249601010004</v>
      </c>
      <c r="H127" s="132">
        <f t="shared" si="40"/>
        <v>4548.4102727890686</v>
      </c>
      <c r="I127" s="132">
        <f t="shared" si="40"/>
        <v>2258.6674510173871</v>
      </c>
      <c r="J127" s="132">
        <f t="shared" si="40"/>
        <v>1981.090451499055</v>
      </c>
      <c r="K127" s="132">
        <f t="shared" si="40"/>
        <v>169.24054747178539</v>
      </c>
      <c r="L127" s="132">
        <f t="shared" si="40"/>
        <v>-1644.6673162118993</v>
      </c>
      <c r="M127" s="132">
        <f t="shared" si="40"/>
        <v>-1778.4667445918778</v>
      </c>
      <c r="N127" s="132">
        <f t="shared" si="40"/>
        <v>-1921.4323851463109</v>
      </c>
      <c r="O127" s="132">
        <f t="shared" si="40"/>
        <v>-2074.2186861974487</v>
      </c>
      <c r="P127" s="132">
        <f t="shared" si="40"/>
        <v>-2222.3058544956111</v>
      </c>
      <c r="Q127" s="132">
        <f t="shared" si="40"/>
        <v>-2381.1313767094348</v>
      </c>
      <c r="R127" s="132">
        <f t="shared" si="40"/>
        <v>-2551.8555652200075</v>
      </c>
      <c r="S127" s="132">
        <f t="shared" si="40"/>
        <v>-2724.2825547588941</v>
      </c>
      <c r="T127" s="132">
        <f t="shared" si="40"/>
        <v>-2087.7628630221943</v>
      </c>
      <c r="U127" s="132">
        <f t="shared" si="40"/>
        <v>-2234.3838363001437</v>
      </c>
      <c r="V127" s="132">
        <f t="shared" si="40"/>
        <v>-2442.2641999703942</v>
      </c>
      <c r="W127" s="132">
        <f t="shared" si="40"/>
        <v>-2526.6085572641787</v>
      </c>
      <c r="X127" s="132">
        <f t="shared" si="40"/>
        <v>-1368.6565153840311</v>
      </c>
      <c r="Y127" s="132">
        <f t="shared" si="40"/>
        <v>0</v>
      </c>
      <c r="AA127" s="355">
        <f t="shared" si="29"/>
        <v>-5815.8076302760783</v>
      </c>
      <c r="AB127" s="356">
        <f t="shared" si="21"/>
        <v>-2907.9038151380391</v>
      </c>
    </row>
    <row r="128" spans="1:28" s="128" customFormat="1">
      <c r="AA128" s="355">
        <f t="shared" si="29"/>
        <v>0</v>
      </c>
      <c r="AB128" s="356">
        <f t="shared" si="21"/>
        <v>0</v>
      </c>
    </row>
    <row r="129" spans="1:28" s="128" customFormat="1">
      <c r="AA129" s="355">
        <f t="shared" si="29"/>
        <v>0</v>
      </c>
      <c r="AB129" s="356">
        <f t="shared" si="21"/>
        <v>0</v>
      </c>
    </row>
    <row r="130" spans="1:28" s="128" customFormat="1">
      <c r="D130" s="146"/>
      <c r="AA130" s="355">
        <f t="shared" si="29"/>
        <v>0</v>
      </c>
      <c r="AB130" s="356">
        <f t="shared" si="21"/>
        <v>0</v>
      </c>
    </row>
    <row r="131" spans="1:28" s="128" customFormat="1">
      <c r="AA131" s="355">
        <f t="shared" si="29"/>
        <v>0</v>
      </c>
      <c r="AB131" s="356">
        <f t="shared" si="21"/>
        <v>0</v>
      </c>
    </row>
    <row r="132" spans="1:28" s="128" customFormat="1">
      <c r="AA132" s="355">
        <f t="shared" si="29"/>
        <v>0</v>
      </c>
      <c r="AB132" s="356">
        <f t="shared" si="21"/>
        <v>0</v>
      </c>
    </row>
    <row r="133" spans="1:28" s="128" customFormat="1">
      <c r="AA133" s="355">
        <f t="shared" si="29"/>
        <v>0</v>
      </c>
      <c r="AB133" s="356">
        <f t="shared" si="21"/>
        <v>0</v>
      </c>
    </row>
    <row r="134" spans="1:28" s="128" customFormat="1">
      <c r="AA134" s="355">
        <f t="shared" si="29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1">G119</f>
        <v>2002</v>
      </c>
      <c r="H135" s="99">
        <f t="shared" si="41"/>
        <v>2003</v>
      </c>
      <c r="I135" s="99">
        <f t="shared" si="41"/>
        <v>2004</v>
      </c>
      <c r="J135" s="99">
        <f t="shared" si="41"/>
        <v>2005</v>
      </c>
      <c r="K135" s="99">
        <f t="shared" si="41"/>
        <v>2006</v>
      </c>
      <c r="L135" s="99">
        <f t="shared" si="41"/>
        <v>2007</v>
      </c>
      <c r="M135" s="99">
        <f t="shared" si="41"/>
        <v>2008</v>
      </c>
      <c r="N135" s="99">
        <f t="shared" si="41"/>
        <v>2009</v>
      </c>
      <c r="O135" s="99">
        <f t="shared" si="41"/>
        <v>2010</v>
      </c>
      <c r="P135" s="99">
        <f t="shared" si="41"/>
        <v>2011</v>
      </c>
      <c r="Q135" s="99">
        <f t="shared" si="41"/>
        <v>2012</v>
      </c>
      <c r="R135" s="99">
        <f t="shared" si="41"/>
        <v>2013</v>
      </c>
      <c r="S135" s="99">
        <f t="shared" si="41"/>
        <v>2014</v>
      </c>
      <c r="T135" s="99">
        <f t="shared" si="41"/>
        <v>2015</v>
      </c>
      <c r="U135" s="99">
        <f t="shared" si="41"/>
        <v>2016</v>
      </c>
      <c r="V135" s="99">
        <f t="shared" si="41"/>
        <v>2017</v>
      </c>
      <c r="W135" s="99">
        <f t="shared" si="41"/>
        <v>2018</v>
      </c>
      <c r="X135" s="99">
        <f t="shared" si="41"/>
        <v>2019</v>
      </c>
      <c r="Y135" s="99">
        <f t="shared" si="41"/>
        <v>2020</v>
      </c>
      <c r="AA135" s="355">
        <f t="shared" si="29"/>
        <v>40210</v>
      </c>
      <c r="AB135" s="356">
        <f t="shared" ref="AB135:AB151" si="42">AA135</f>
        <v>40210</v>
      </c>
    </row>
    <row r="136" spans="1:28" s="128" customFormat="1">
      <c r="AA136" s="355">
        <f t="shared" si="29"/>
        <v>0</v>
      </c>
      <c r="AB136" s="356">
        <f t="shared" si="42"/>
        <v>0</v>
      </c>
    </row>
    <row r="137" spans="1:28" s="128" customFormat="1">
      <c r="A137" s="128" t="s">
        <v>78</v>
      </c>
      <c r="F137" s="181">
        <f>F46</f>
        <v>3077.3979260422766</v>
      </c>
      <c r="G137" s="181">
        <f t="shared" ref="G137:Y137" si="43">G46</f>
        <v>2963.355741487303</v>
      </c>
      <c r="H137" s="181">
        <f t="shared" si="43"/>
        <v>2844.9961273829613</v>
      </c>
      <c r="I137" s="181">
        <f t="shared" si="43"/>
        <v>2723.1928893651061</v>
      </c>
      <c r="J137" s="181">
        <f t="shared" si="43"/>
        <v>2587.1852308457719</v>
      </c>
      <c r="K137" s="181">
        <f t="shared" si="43"/>
        <v>2416.2688557591014</v>
      </c>
      <c r="L137" s="181">
        <f t="shared" si="43"/>
        <v>2223.4507765974458</v>
      </c>
      <c r="M137" s="181">
        <f t="shared" si="43"/>
        <v>2007.527086991096</v>
      </c>
      <c r="N137" s="181">
        <f t="shared" si="43"/>
        <v>1763.5801863829652</v>
      </c>
      <c r="O137" s="181">
        <f t="shared" si="43"/>
        <v>1489.6326991433295</v>
      </c>
      <c r="P137" s="181">
        <f t="shared" si="43"/>
        <v>1183.4974930920691</v>
      </c>
      <c r="Q137" s="181">
        <f t="shared" si="43"/>
        <v>844.58295014468354</v>
      </c>
      <c r="R137" s="181">
        <f t="shared" si="43"/>
        <v>469.38974159033165</v>
      </c>
      <c r="S137" s="181">
        <f t="shared" si="43"/>
        <v>88.572263177126729</v>
      </c>
      <c r="T137" s="181">
        <f t="shared" si="43"/>
        <v>0</v>
      </c>
      <c r="U137" s="181">
        <f t="shared" si="43"/>
        <v>0</v>
      </c>
      <c r="V137" s="181">
        <f t="shared" si="43"/>
        <v>0</v>
      </c>
      <c r="W137" s="181">
        <f t="shared" si="43"/>
        <v>0</v>
      </c>
      <c r="X137" s="181">
        <f t="shared" si="43"/>
        <v>0</v>
      </c>
      <c r="Y137" s="181">
        <f t="shared" si="43"/>
        <v>0</v>
      </c>
      <c r="AA137" s="355">
        <f t="shared" si="29"/>
        <v>26682.629968001569</v>
      </c>
      <c r="AB137" s="356">
        <f t="shared" si="42"/>
        <v>26682.629968001569</v>
      </c>
    </row>
    <row r="138" spans="1:28" s="128" customFormat="1">
      <c r="A138" s="128" t="s">
        <v>67</v>
      </c>
      <c r="F138" s="147">
        <f t="shared" ref="F138:Y138" si="44">SUM(F33:F35)</f>
        <v>52.02</v>
      </c>
      <c r="G138" s="147">
        <f t="shared" si="44"/>
        <v>53.060400000000001</v>
      </c>
      <c r="H138" s="147">
        <f t="shared" si="44"/>
        <v>54.121608000000002</v>
      </c>
      <c r="I138" s="147">
        <f t="shared" si="44"/>
        <v>55.204040160000005</v>
      </c>
      <c r="J138" s="147">
        <f t="shared" si="44"/>
        <v>56.308120963200004</v>
      </c>
      <c r="K138" s="147">
        <f t="shared" si="44"/>
        <v>57.434283382464002</v>
      </c>
      <c r="L138" s="147">
        <f t="shared" si="44"/>
        <v>58.582969050113284</v>
      </c>
      <c r="M138" s="147">
        <f t="shared" si="44"/>
        <v>59.754628431115549</v>
      </c>
      <c r="N138" s="147">
        <f t="shared" si="44"/>
        <v>60.949720999737863</v>
      </c>
      <c r="O138" s="147">
        <f t="shared" si="44"/>
        <v>62.168715419732621</v>
      </c>
      <c r="P138" s="147">
        <f t="shared" si="44"/>
        <v>63.412089728127278</v>
      </c>
      <c r="Q138" s="147">
        <f t="shared" si="44"/>
        <v>64.680331522689826</v>
      </c>
      <c r="R138" s="147">
        <f t="shared" si="44"/>
        <v>65.973938153143621</v>
      </c>
      <c r="S138" s="147">
        <f t="shared" si="44"/>
        <v>67.293416916206496</v>
      </c>
      <c r="T138" s="147">
        <f t="shared" si="44"/>
        <v>68.639285254530634</v>
      </c>
      <c r="U138" s="147">
        <f t="shared" si="44"/>
        <v>70.012070959621255</v>
      </c>
      <c r="V138" s="147">
        <f t="shared" si="44"/>
        <v>71.412312378813681</v>
      </c>
      <c r="W138" s="147">
        <f t="shared" si="44"/>
        <v>72.840558626389949</v>
      </c>
      <c r="X138" s="147">
        <f t="shared" si="44"/>
        <v>36.639798804945741</v>
      </c>
      <c r="Y138" s="147">
        <f t="shared" si="44"/>
        <v>0</v>
      </c>
      <c r="AA138" s="355">
        <f t="shared" si="29"/>
        <v>1150.5082887508318</v>
      </c>
      <c r="AB138" s="356">
        <f t="shared" si="42"/>
        <v>1150.5082887508318</v>
      </c>
    </row>
    <row r="139" spans="1:28" s="128" customFormat="1">
      <c r="A139" s="128" t="s">
        <v>68</v>
      </c>
      <c r="F139" s="132">
        <f>F137+F138</f>
        <v>3129.4179260422766</v>
      </c>
      <c r="G139" s="132">
        <f t="shared" ref="G139:Y139" si="45">G137+G138</f>
        <v>3016.4161414873029</v>
      </c>
      <c r="H139" s="132">
        <f t="shared" si="45"/>
        <v>2899.1177353829612</v>
      </c>
      <c r="I139" s="132">
        <f t="shared" si="45"/>
        <v>2778.3969295251063</v>
      </c>
      <c r="J139" s="132">
        <f t="shared" si="45"/>
        <v>2643.493351808972</v>
      </c>
      <c r="K139" s="132">
        <f t="shared" si="45"/>
        <v>2473.7031391415653</v>
      </c>
      <c r="L139" s="132">
        <f t="shared" si="45"/>
        <v>2282.033745647559</v>
      </c>
      <c r="M139" s="132">
        <f t="shared" si="45"/>
        <v>2067.2817154222116</v>
      </c>
      <c r="N139" s="132">
        <f t="shared" si="45"/>
        <v>1824.529907382703</v>
      </c>
      <c r="O139" s="132">
        <f t="shared" si="45"/>
        <v>1551.8014145630623</v>
      </c>
      <c r="P139" s="132">
        <f t="shared" si="45"/>
        <v>1246.9095828201964</v>
      </c>
      <c r="Q139" s="132">
        <f t="shared" si="45"/>
        <v>909.26328166737335</v>
      </c>
      <c r="R139" s="132">
        <f t="shared" si="45"/>
        <v>535.36367974347525</v>
      </c>
      <c r="S139" s="132">
        <f t="shared" si="45"/>
        <v>155.86568009333322</v>
      </c>
      <c r="T139" s="132">
        <f t="shared" si="45"/>
        <v>68.639285254530634</v>
      </c>
      <c r="U139" s="132">
        <f t="shared" si="45"/>
        <v>70.012070959621255</v>
      </c>
      <c r="V139" s="132">
        <f t="shared" si="45"/>
        <v>71.412312378813681</v>
      </c>
      <c r="W139" s="132">
        <f t="shared" si="45"/>
        <v>72.840558626389949</v>
      </c>
      <c r="X139" s="132">
        <f t="shared" si="45"/>
        <v>36.639798804945741</v>
      </c>
      <c r="Y139" s="132">
        <f t="shared" si="45"/>
        <v>0</v>
      </c>
      <c r="AA139" s="355">
        <f t="shared" si="29"/>
        <v>27833.138256752398</v>
      </c>
      <c r="AB139" s="356">
        <f t="shared" si="42"/>
        <v>27833.138256752398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156.47089630211383</v>
      </c>
      <c r="G140" s="132">
        <f t="shared" ref="G140:Y140" si="46">G139*$C$140</f>
        <v>150.82080707436515</v>
      </c>
      <c r="H140" s="132">
        <f t="shared" si="46"/>
        <v>144.95588676914807</v>
      </c>
      <c r="I140" s="132">
        <f t="shared" si="46"/>
        <v>138.91984647625532</v>
      </c>
      <c r="J140" s="132">
        <f t="shared" si="46"/>
        <v>132.17466759044859</v>
      </c>
      <c r="K140" s="132">
        <f t="shared" si="46"/>
        <v>123.68515695707828</v>
      </c>
      <c r="L140" s="132">
        <f t="shared" si="46"/>
        <v>114.10168728237795</v>
      </c>
      <c r="M140" s="132">
        <f t="shared" si="46"/>
        <v>103.36408577111058</v>
      </c>
      <c r="N140" s="132">
        <f t="shared" si="46"/>
        <v>91.226495369135151</v>
      </c>
      <c r="O140" s="132">
        <f t="shared" si="46"/>
        <v>77.590070728153123</v>
      </c>
      <c r="P140" s="132">
        <f t="shared" si="46"/>
        <v>62.345479141009825</v>
      </c>
      <c r="Q140" s="132">
        <f t="shared" si="46"/>
        <v>45.463164083368667</v>
      </c>
      <c r="R140" s="132">
        <f t="shared" si="46"/>
        <v>26.768183987173764</v>
      </c>
      <c r="S140" s="132">
        <f t="shared" si="46"/>
        <v>7.7932840046666616</v>
      </c>
      <c r="T140" s="132">
        <f t="shared" si="46"/>
        <v>3.4319642627265319</v>
      </c>
      <c r="U140" s="132">
        <f t="shared" si="46"/>
        <v>3.5006035479810631</v>
      </c>
      <c r="V140" s="132">
        <f t="shared" si="46"/>
        <v>3.5706156189406841</v>
      </c>
      <c r="W140" s="132">
        <f t="shared" si="46"/>
        <v>3.6420279313194976</v>
      </c>
      <c r="X140" s="132">
        <f t="shared" si="46"/>
        <v>1.8319899402472872</v>
      </c>
      <c r="Y140" s="132">
        <f t="shared" si="46"/>
        <v>0</v>
      </c>
      <c r="AA140" s="355">
        <f t="shared" si="29"/>
        <v>1391.6569128376198</v>
      </c>
      <c r="AB140" s="356">
        <f t="shared" si="42"/>
        <v>1391.6569128376198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1040.5314604090568</v>
      </c>
      <c r="G141" s="147">
        <f t="shared" ref="G141:Y141" si="47">(G139-G140)*$C$141</f>
        <v>1002.958367044528</v>
      </c>
      <c r="H141" s="147">
        <f t="shared" si="47"/>
        <v>963.95664701483452</v>
      </c>
      <c r="I141" s="147">
        <f t="shared" si="47"/>
        <v>923.8169790670978</v>
      </c>
      <c r="J141" s="147">
        <f t="shared" si="47"/>
        <v>878.96153947648304</v>
      </c>
      <c r="K141" s="147">
        <f t="shared" si="47"/>
        <v>822.5062937645705</v>
      </c>
      <c r="L141" s="147">
        <f t="shared" si="47"/>
        <v>758.77622042781331</v>
      </c>
      <c r="M141" s="147">
        <f t="shared" si="47"/>
        <v>687.37117037788528</v>
      </c>
      <c r="N141" s="147">
        <f t="shared" si="47"/>
        <v>606.65619420474866</v>
      </c>
      <c r="O141" s="147">
        <f t="shared" si="47"/>
        <v>515.97397034221819</v>
      </c>
      <c r="P141" s="147">
        <f t="shared" si="47"/>
        <v>414.59743628771531</v>
      </c>
      <c r="Q141" s="147">
        <f t="shared" si="47"/>
        <v>302.33004115440161</v>
      </c>
      <c r="R141" s="147">
        <f t="shared" si="47"/>
        <v>178.0084235147055</v>
      </c>
      <c r="S141" s="147">
        <f t="shared" si="47"/>
        <v>51.82533863103329</v>
      </c>
      <c r="T141" s="147">
        <f t="shared" si="47"/>
        <v>22.822562347131431</v>
      </c>
      <c r="U141" s="147">
        <f t="shared" si="47"/>
        <v>23.279013594074069</v>
      </c>
      <c r="V141" s="147">
        <f t="shared" si="47"/>
        <v>23.744593865955551</v>
      </c>
      <c r="W141" s="147">
        <f t="shared" si="47"/>
        <v>24.219485743274653</v>
      </c>
      <c r="X141" s="147">
        <f t="shared" si="47"/>
        <v>12.182733102644457</v>
      </c>
      <c r="Y141" s="147">
        <f t="shared" si="47"/>
        <v>0</v>
      </c>
      <c r="AA141" s="355">
        <f t="shared" si="29"/>
        <v>9254.5184703701725</v>
      </c>
      <c r="AB141" s="356">
        <f t="shared" si="42"/>
        <v>9254.5184703701725</v>
      </c>
    </row>
    <row r="142" spans="1:28" s="128" customFormat="1">
      <c r="A142" s="128" t="s">
        <v>71</v>
      </c>
      <c r="F142" s="132">
        <f>F139-F140-F141</f>
        <v>1932.4155693311059</v>
      </c>
      <c r="G142" s="132">
        <f t="shared" ref="G142:Y142" si="48">G139-G140-G141</f>
        <v>1862.6369673684094</v>
      </c>
      <c r="H142" s="132">
        <f t="shared" si="48"/>
        <v>1790.2052015989786</v>
      </c>
      <c r="I142" s="132">
        <f t="shared" si="48"/>
        <v>1715.6601039817533</v>
      </c>
      <c r="J142" s="132">
        <f t="shared" si="48"/>
        <v>1632.3571447420402</v>
      </c>
      <c r="K142" s="132">
        <f t="shared" si="48"/>
        <v>1527.5116884199167</v>
      </c>
      <c r="L142" s="132">
        <f t="shared" si="48"/>
        <v>1409.1558379373678</v>
      </c>
      <c r="M142" s="132">
        <f t="shared" si="48"/>
        <v>1276.5464592732155</v>
      </c>
      <c r="N142" s="132">
        <f t="shared" si="48"/>
        <v>1126.6472178088193</v>
      </c>
      <c r="O142" s="132">
        <f t="shared" si="48"/>
        <v>958.23737349269106</v>
      </c>
      <c r="P142" s="132">
        <f t="shared" si="48"/>
        <v>769.96666739147145</v>
      </c>
      <c r="Q142" s="132">
        <f t="shared" si="48"/>
        <v>561.47007642960307</v>
      </c>
      <c r="R142" s="132">
        <f t="shared" si="48"/>
        <v>330.58707224159599</v>
      </c>
      <c r="S142" s="132">
        <f t="shared" si="48"/>
        <v>96.247057457633261</v>
      </c>
      <c r="T142" s="132">
        <f t="shared" si="48"/>
        <v>42.384758644672665</v>
      </c>
      <c r="U142" s="132">
        <f t="shared" si="48"/>
        <v>43.232453817566125</v>
      </c>
      <c r="V142" s="132">
        <f t="shared" si="48"/>
        <v>44.097102893917452</v>
      </c>
      <c r="W142" s="132">
        <f t="shared" si="48"/>
        <v>44.979044951795792</v>
      </c>
      <c r="X142" s="132">
        <f t="shared" si="48"/>
        <v>22.625075762053996</v>
      </c>
      <c r="Y142" s="132">
        <f t="shared" si="48"/>
        <v>0</v>
      </c>
      <c r="AA142" s="355">
        <f t="shared" si="29"/>
        <v>17186.962873544606</v>
      </c>
      <c r="AB142" s="356">
        <f t="shared" si="42"/>
        <v>17186.962873544606</v>
      </c>
    </row>
    <row r="143" spans="1:28" s="128" customFormat="1">
      <c r="AA143" s="355">
        <f t="shared" si="29"/>
        <v>0</v>
      </c>
      <c r="AB143" s="356">
        <f t="shared" si="42"/>
        <v>0</v>
      </c>
    </row>
    <row r="144" spans="1:28" s="128" customFormat="1">
      <c r="A144" s="146" t="str">
        <f>A76</f>
        <v>Net Income to FPLE</v>
      </c>
      <c r="F144" s="149">
        <f>F76</f>
        <v>1471.8587104152341</v>
      </c>
      <c r="G144" s="149">
        <f t="shared" ref="G144:Y144" si="49">G76</f>
        <v>1490.3978159499861</v>
      </c>
      <c r="H144" s="149">
        <f t="shared" si="49"/>
        <v>1611.045929584699</v>
      </c>
      <c r="I144" s="149">
        <f t="shared" si="49"/>
        <v>1649.8695161434407</v>
      </c>
      <c r="J144" s="149">
        <f t="shared" si="49"/>
        <v>1907.6195871247492</v>
      </c>
      <c r="K144" s="149">
        <f t="shared" si="49"/>
        <v>2104.6336828481349</v>
      </c>
      <c r="L144" s="149">
        <f t="shared" si="49"/>
        <v>2223.4520667396209</v>
      </c>
      <c r="M144" s="149">
        <f t="shared" si="49"/>
        <v>2427.8010674624584</v>
      </c>
      <c r="N144" s="149">
        <f t="shared" si="49"/>
        <v>1958.0578391007984</v>
      </c>
      <c r="O144" s="149">
        <f t="shared" si="49"/>
        <v>1020.1877086119167</v>
      </c>
      <c r="P144" s="149">
        <f t="shared" si="49"/>
        <v>1157.6972220316391</v>
      </c>
      <c r="Q144" s="149">
        <f t="shared" si="49"/>
        <v>1305.1780640873321</v>
      </c>
      <c r="R144" s="149">
        <f t="shared" si="49"/>
        <v>1463.7076677042928</v>
      </c>
      <c r="S144" s="149">
        <f t="shared" si="49"/>
        <v>1623.8184437046873</v>
      </c>
      <c r="T144" s="149">
        <f t="shared" si="49"/>
        <v>1032.7644442348947</v>
      </c>
      <c r="U144" s="149">
        <f t="shared" si="49"/>
        <v>1168.9124908501337</v>
      </c>
      <c r="V144" s="149">
        <f t="shared" si="49"/>
        <v>1361.9442571153663</v>
      </c>
      <c r="W144" s="149">
        <f t="shared" si="49"/>
        <v>1440.2640174595945</v>
      </c>
      <c r="X144" s="149">
        <f t="shared" si="49"/>
        <v>365.0228357137434</v>
      </c>
      <c r="Y144" s="149">
        <f t="shared" si="49"/>
        <v>0</v>
      </c>
      <c r="AA144" s="355">
        <f t="shared" si="29"/>
        <v>28784.23336688272</v>
      </c>
      <c r="AB144" s="356">
        <f t="shared" si="42"/>
        <v>28784.23336688272</v>
      </c>
    </row>
    <row r="145" spans="1:28" s="128" customFormat="1">
      <c r="A145" s="103" t="s">
        <v>79</v>
      </c>
      <c r="F145" s="142">
        <f>F142+F144</f>
        <v>3404.2742797463397</v>
      </c>
      <c r="G145" s="142">
        <f t="shared" ref="G145:Y145" si="50">G142+G144</f>
        <v>3353.0347833183955</v>
      </c>
      <c r="H145" s="142">
        <f t="shared" si="50"/>
        <v>3401.2511311836779</v>
      </c>
      <c r="I145" s="142">
        <f t="shared" si="50"/>
        <v>3365.529620125194</v>
      </c>
      <c r="J145" s="142">
        <f t="shared" si="50"/>
        <v>3539.9767318667891</v>
      </c>
      <c r="K145" s="142">
        <f t="shared" si="50"/>
        <v>3632.1453712680513</v>
      </c>
      <c r="L145" s="142">
        <f t="shared" si="50"/>
        <v>3632.6079046769887</v>
      </c>
      <c r="M145" s="142">
        <f t="shared" si="50"/>
        <v>3704.3475267356739</v>
      </c>
      <c r="N145" s="142">
        <f t="shared" si="50"/>
        <v>3084.7050569096177</v>
      </c>
      <c r="O145" s="142">
        <f t="shared" si="50"/>
        <v>1978.4250821046078</v>
      </c>
      <c r="P145" s="142">
        <f t="shared" si="50"/>
        <v>1927.6638894231105</v>
      </c>
      <c r="Q145" s="142">
        <f t="shared" si="50"/>
        <v>1866.6481405169352</v>
      </c>
      <c r="R145" s="142">
        <f t="shared" si="50"/>
        <v>1794.2947399458888</v>
      </c>
      <c r="S145" s="142">
        <f t="shared" si="50"/>
        <v>1720.0655011623205</v>
      </c>
      <c r="T145" s="142">
        <f t="shared" si="50"/>
        <v>1075.1492028795674</v>
      </c>
      <c r="U145" s="142">
        <f t="shared" si="50"/>
        <v>1212.1449446676997</v>
      </c>
      <c r="V145" s="142">
        <f t="shared" si="50"/>
        <v>1406.0413600092838</v>
      </c>
      <c r="W145" s="142">
        <f t="shared" si="50"/>
        <v>1485.2430624113902</v>
      </c>
      <c r="X145" s="142">
        <f t="shared" si="50"/>
        <v>387.6479114757974</v>
      </c>
      <c r="Y145" s="142">
        <f t="shared" si="50"/>
        <v>0</v>
      </c>
      <c r="AA145" s="355">
        <f t="shared" si="29"/>
        <v>45971.196240427329</v>
      </c>
      <c r="AB145" s="356">
        <f t="shared" si="42"/>
        <v>45971.196240427329</v>
      </c>
    </row>
    <row r="146" spans="1:28" s="128" customFormat="1">
      <c r="AA146" s="355">
        <f t="shared" si="29"/>
        <v>0</v>
      </c>
      <c r="AB146" s="356">
        <f t="shared" si="42"/>
        <v>0</v>
      </c>
    </row>
    <row r="147" spans="1:28" s="128" customFormat="1">
      <c r="AA147" s="355">
        <f t="shared" si="29"/>
        <v>0</v>
      </c>
      <c r="AB147" s="356">
        <f t="shared" si="42"/>
        <v>0</v>
      </c>
    </row>
    <row r="148" spans="1:28" s="128" customFormat="1">
      <c r="AA148" s="355">
        <f t="shared" si="29"/>
        <v>0</v>
      </c>
      <c r="AB148" s="356">
        <f t="shared" si="42"/>
        <v>0</v>
      </c>
    </row>
    <row r="149" spans="1:28" s="128" customFormat="1">
      <c r="A149" s="105" t="s">
        <v>110</v>
      </c>
      <c r="AA149" s="355">
        <f t="shared" si="29"/>
        <v>0</v>
      </c>
      <c r="AB149" s="356">
        <f t="shared" si="42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(1-((F140+F141)/F139))*F138</f>
        <v>32.122350000000004</v>
      </c>
      <c r="G150" s="129">
        <f t="shared" ref="G150:X150" si="51">(1-((G140+G141)/G139))*G138</f>
        <v>32.764797000000002</v>
      </c>
      <c r="H150" s="129">
        <f t="shared" si="51"/>
        <v>33.420092940000004</v>
      </c>
      <c r="I150" s="129">
        <f t="shared" si="51"/>
        <v>34.088494798800006</v>
      </c>
      <c r="J150" s="129">
        <f t="shared" si="51"/>
        <v>34.770264694776003</v>
      </c>
      <c r="K150" s="129">
        <f t="shared" si="51"/>
        <v>35.465669988671515</v>
      </c>
      <c r="L150" s="129">
        <f t="shared" si="51"/>
        <v>36.174983388444957</v>
      </c>
      <c r="M150" s="129">
        <f t="shared" si="51"/>
        <v>36.898483056213855</v>
      </c>
      <c r="N150" s="129">
        <f t="shared" si="51"/>
        <v>37.63645271733813</v>
      </c>
      <c r="O150" s="129">
        <f t="shared" si="51"/>
        <v>38.389181771684889</v>
      </c>
      <c r="P150" s="129">
        <f t="shared" si="51"/>
        <v>39.156965407118591</v>
      </c>
      <c r="Q150" s="129">
        <f t="shared" si="51"/>
        <v>39.940104715260972</v>
      </c>
      <c r="R150" s="129">
        <f t="shared" si="51"/>
        <v>40.738906809566188</v>
      </c>
      <c r="S150" s="129">
        <f t="shared" si="51"/>
        <v>41.553684945757517</v>
      </c>
      <c r="T150" s="129">
        <f t="shared" si="51"/>
        <v>42.384758644672679</v>
      </c>
      <c r="U150" s="129">
        <f t="shared" si="51"/>
        <v>43.232453817566117</v>
      </c>
      <c r="V150" s="129">
        <f t="shared" si="51"/>
        <v>44.097102893917445</v>
      </c>
      <c r="W150" s="129">
        <f t="shared" si="51"/>
        <v>44.979044951795807</v>
      </c>
      <c r="X150" s="129">
        <f t="shared" si="51"/>
        <v>22.625075762053992</v>
      </c>
      <c r="Y150" s="129"/>
      <c r="AA150" s="355">
        <f t="shared" si="29"/>
        <v>710.43886830363863</v>
      </c>
      <c r="AB150" s="356">
        <f t="shared" si="42"/>
        <v>710.43886830363863</v>
      </c>
    </row>
    <row r="151" spans="1:28" s="128" customFormat="1">
      <c r="A151" s="128" t="s">
        <v>111</v>
      </c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AA151" s="355">
        <f t="shared" si="29"/>
        <v>0</v>
      </c>
      <c r="AB151" s="356">
        <f t="shared" si="42"/>
        <v>0</v>
      </c>
    </row>
    <row r="152" spans="1:28" s="128" customFormat="1">
      <c r="F152" s="129">
        <f>F150+F151</f>
        <v>32.122350000000004</v>
      </c>
      <c r="G152" s="129">
        <f t="shared" ref="G152:Y152" si="52">G150+G151</f>
        <v>32.764797000000002</v>
      </c>
      <c r="H152" s="129">
        <f t="shared" si="52"/>
        <v>33.420092940000004</v>
      </c>
      <c r="I152" s="129">
        <f t="shared" si="52"/>
        <v>34.088494798800006</v>
      </c>
      <c r="J152" s="129">
        <f t="shared" si="52"/>
        <v>34.770264694776003</v>
      </c>
      <c r="K152" s="129">
        <f t="shared" si="52"/>
        <v>35.465669988671515</v>
      </c>
      <c r="L152" s="129">
        <f t="shared" si="52"/>
        <v>36.174983388444957</v>
      </c>
      <c r="M152" s="129">
        <f t="shared" si="52"/>
        <v>36.898483056213855</v>
      </c>
      <c r="N152" s="129">
        <f t="shared" si="52"/>
        <v>37.63645271733813</v>
      </c>
      <c r="O152" s="129">
        <f t="shared" si="52"/>
        <v>38.389181771684889</v>
      </c>
      <c r="P152" s="129">
        <f t="shared" si="52"/>
        <v>39.156965407118591</v>
      </c>
      <c r="Q152" s="129">
        <f t="shared" si="52"/>
        <v>39.940104715260972</v>
      </c>
      <c r="R152" s="129">
        <f t="shared" si="52"/>
        <v>40.738906809566188</v>
      </c>
      <c r="S152" s="129">
        <f t="shared" si="52"/>
        <v>41.553684945757517</v>
      </c>
      <c r="T152" s="129">
        <f t="shared" si="52"/>
        <v>42.384758644672679</v>
      </c>
      <c r="U152" s="129">
        <f t="shared" si="52"/>
        <v>43.232453817566117</v>
      </c>
      <c r="V152" s="129">
        <f t="shared" si="52"/>
        <v>44.097102893917445</v>
      </c>
      <c r="W152" s="129">
        <f t="shared" si="52"/>
        <v>44.979044951795807</v>
      </c>
      <c r="X152" s="129">
        <f t="shared" si="52"/>
        <v>22.625075762053992</v>
      </c>
      <c r="Y152" s="129">
        <f t="shared" si="52"/>
        <v>0</v>
      </c>
      <c r="AA152" s="355">
        <f t="shared" si="29"/>
        <v>710.43886830363863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324.34846512879989</v>
      </c>
    </row>
    <row r="156" spans="1:28" s="128" customFormat="1" ht="13.5" thickBot="1">
      <c r="A156" s="128" t="s">
        <v>48</v>
      </c>
      <c r="C156" s="152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115</v>
      </c>
      <c r="B160" s="109"/>
      <c r="C160" s="109"/>
      <c r="D160" s="110">
        <f>-E92*C76</f>
        <v>29554.415256871867</v>
      </c>
    </row>
    <row r="161" spans="1:25" s="128" customFormat="1">
      <c r="A161" s="108" t="s">
        <v>74</v>
      </c>
      <c r="B161" s="109"/>
      <c r="C161" s="109"/>
      <c r="D161" s="183">
        <f>[10]DEBT!$E$55</f>
        <v>49795</v>
      </c>
      <c r="F161" s="150"/>
    </row>
    <row r="162" spans="1:25" s="128" customFormat="1">
      <c r="A162" s="108" t="s">
        <v>116</v>
      </c>
      <c r="B162" s="109"/>
      <c r="C162" s="109"/>
      <c r="D162" s="183">
        <f>-[10]FINANCIALS!$G$117*C60</f>
        <v>-5789.5053826005151</v>
      </c>
      <c r="E162" s="425" t="s">
        <v>203</v>
      </c>
      <c r="F162" s="150"/>
    </row>
    <row r="163" spans="1:25" s="128" customFormat="1">
      <c r="A163" s="108" t="s">
        <v>75</v>
      </c>
      <c r="B163" s="109"/>
      <c r="C163" s="109"/>
      <c r="D163" s="111">
        <f>C155</f>
        <v>324.34846512879989</v>
      </c>
    </row>
    <row r="164" spans="1:25" s="128" customFormat="1" ht="13.5" thickBot="1">
      <c r="A164" s="112" t="s">
        <v>76</v>
      </c>
      <c r="B164" s="99"/>
      <c r="C164" s="99"/>
      <c r="D164" s="127">
        <f>SUM(D160:D163)</f>
        <v>73884.258339400156</v>
      </c>
    </row>
    <row r="165" spans="1:25" outlineLevel="1">
      <c r="A165" s="17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outlineLevel="1">
      <c r="A167" s="6"/>
      <c r="B167" s="6"/>
      <c r="C167" s="31"/>
      <c r="D167" s="6"/>
      <c r="E167" s="6"/>
      <c r="F167" s="6"/>
      <c r="G167" s="6"/>
      <c r="H167" s="31"/>
      <c r="I167" s="6"/>
      <c r="J167" s="6"/>
      <c r="K167" s="6"/>
      <c r="L167" s="6"/>
      <c r="M167" s="31"/>
      <c r="N167" s="31"/>
      <c r="O167" s="31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>
      <c r="A168" s="6"/>
      <c r="B168" s="6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outlineLevel="1">
      <c r="A169" s="6" t="s">
        <v>156</v>
      </c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 t="s">
        <v>157</v>
      </c>
      <c r="B170" s="6"/>
      <c r="C170" s="31"/>
      <c r="D170" s="31"/>
      <c r="E170" s="31"/>
      <c r="F170" s="31"/>
      <c r="G170" s="6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 t="s">
        <v>158</v>
      </c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 t="s">
        <v>159</v>
      </c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6" t="s">
        <v>160</v>
      </c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6" t="s">
        <v>185</v>
      </c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 t="s">
        <v>202</v>
      </c>
      <c r="B175" s="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6" t="s">
        <v>186</v>
      </c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 t="s">
        <v>189</v>
      </c>
      <c r="B177" s="6"/>
      <c r="C177" s="415">
        <f>E57</f>
        <v>1.383216433233567</v>
      </c>
      <c r="D177" s="31" t="s">
        <v>201</v>
      </c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 t="s">
        <v>179</v>
      </c>
      <c r="B178" s="6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 t="s">
        <v>163</v>
      </c>
      <c r="B179" s="1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6" t="s">
        <v>183</v>
      </c>
      <c r="B180" s="1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6" t="s">
        <v>172</v>
      </c>
      <c r="B181" s="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6" t="s">
        <v>171</v>
      </c>
      <c r="B182" s="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 t="s">
        <v>204</v>
      </c>
      <c r="B183" s="6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outlineLevel="1">
      <c r="A184" s="17" t="s">
        <v>173</v>
      </c>
      <c r="B184" s="6"/>
      <c r="C184" s="31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6"/>
      <c r="B185" s="6" t="s">
        <v>174</v>
      </c>
      <c r="C185" s="31"/>
      <c r="D185" s="31"/>
      <c r="E185" s="6"/>
      <c r="F185" s="6"/>
      <c r="G185" s="31"/>
      <c r="H185" s="6"/>
      <c r="I185" s="6"/>
      <c r="J185" s="6"/>
      <c r="K185" s="6"/>
      <c r="L185" s="6"/>
      <c r="M185" s="6"/>
      <c r="N185" s="6"/>
      <c r="O185" s="6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6"/>
      <c r="B186" s="17" t="s">
        <v>175</v>
      </c>
      <c r="C186" s="6"/>
      <c r="D186" s="31"/>
      <c r="E186" s="31"/>
      <c r="F186" s="31"/>
      <c r="G186" s="184"/>
      <c r="H186" s="185"/>
      <c r="I186" s="185"/>
      <c r="J186" s="185"/>
      <c r="K186" s="185"/>
      <c r="L186" s="185"/>
      <c r="M186" s="185"/>
      <c r="N186" s="185"/>
      <c r="O186" s="185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6"/>
      <c r="B187" s="6" t="s">
        <v>178</v>
      </c>
      <c r="C187" s="6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36"/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17" t="s">
        <v>199</v>
      </c>
      <c r="B189" s="36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36" t="s">
        <v>200</v>
      </c>
      <c r="B190" s="6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6" t="s">
        <v>205</v>
      </c>
      <c r="B191" s="1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6"/>
      <c r="B192" s="17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1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1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6"/>
      <c r="B195" s="17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6"/>
      <c r="B196" s="6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8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39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40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39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9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38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outlineLevel="1">
      <c r="A219" s="40"/>
      <c r="B219" s="6"/>
      <c r="C219" s="6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" customHeight="1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4.25" customHeight="1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outlineLevel="1">
      <c r="A223" s="40"/>
      <c r="B223" s="6"/>
      <c r="C223" s="6"/>
      <c r="D223" s="6"/>
      <c r="E223" s="27"/>
      <c r="F223" s="27"/>
      <c r="G223" s="27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outlineLevel="1">
      <c r="A224" s="40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42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27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6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17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6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6"/>
      <c r="B236" s="6"/>
      <c r="C236" s="6"/>
      <c r="D236" s="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spans="1:25" outlineLevel="1">
      <c r="A237" s="3"/>
      <c r="B237" s="3"/>
      <c r="C237" s="3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outlineLevel="1">
      <c r="A238" s="40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9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38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27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40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6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20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39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27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40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27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40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39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40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9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8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9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8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39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40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9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39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9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38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40"/>
      <c r="B279" s="6"/>
      <c r="C279" s="6"/>
      <c r="D279" s="6"/>
      <c r="E279" s="27"/>
      <c r="F279" s="27"/>
      <c r="G279" s="27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outlineLevel="1">
      <c r="A280" s="6"/>
      <c r="B280" s="6"/>
      <c r="C280" s="6"/>
      <c r="D280" s="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6"/>
      <c r="B281" s="6"/>
      <c r="C281" s="6"/>
      <c r="D281" s="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6"/>
      <c r="B282" s="6"/>
      <c r="C282" s="6"/>
      <c r="D282" s="6"/>
      <c r="E282" s="6"/>
      <c r="F282" s="6"/>
      <c r="G282" s="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spans="1:25" outlineLevel="1">
      <c r="A283" s="3"/>
      <c r="B283" s="3"/>
      <c r="C283" s="3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17"/>
      <c r="B284" s="17"/>
      <c r="C284" s="1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17"/>
      <c r="B285" s="43"/>
      <c r="C285" s="43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17"/>
      <c r="B288" s="17"/>
      <c r="C288" s="17"/>
      <c r="D288" s="1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17"/>
      <c r="C289" s="17"/>
      <c r="D289" s="17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17"/>
      <c r="C290" s="17"/>
      <c r="D290" s="17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44"/>
      <c r="C292" s="44"/>
      <c r="D292" s="44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44"/>
      <c r="B293" s="3"/>
      <c r="C293" s="3"/>
      <c r="D293" s="3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6"/>
      <c r="B294" s="6"/>
      <c r="C294" s="6"/>
      <c r="D294" s="6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17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17"/>
      <c r="C304" s="17"/>
      <c r="D304" s="17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44"/>
      <c r="B306" s="44"/>
      <c r="C306" s="44"/>
      <c r="D306" s="44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17"/>
      <c r="B307" s="17"/>
      <c r="C307" s="17"/>
      <c r="D307" s="17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44"/>
      <c r="B309" s="44"/>
      <c r="C309" s="44"/>
      <c r="D309" s="44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17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17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17"/>
      <c r="C312" s="17"/>
      <c r="D312" s="17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6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17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44"/>
      <c r="B315" s="46"/>
      <c r="C315" s="46"/>
      <c r="D315" s="46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17"/>
      <c r="B316" s="17"/>
      <c r="C316" s="17"/>
      <c r="D316" s="17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6"/>
      <c r="B317" s="6"/>
      <c r="C317" s="6"/>
      <c r="D317" s="6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17"/>
      <c r="B318" s="17"/>
      <c r="C318" s="17"/>
      <c r="D318" s="17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44"/>
      <c r="C323" s="44"/>
      <c r="D323" s="44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44"/>
      <c r="B324" s="6"/>
      <c r="C324" s="6"/>
      <c r="D324" s="6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17"/>
      <c r="B325" s="17"/>
      <c r="C325" s="17"/>
      <c r="D325" s="17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17"/>
      <c r="B326" s="17"/>
      <c r="C326" s="17"/>
      <c r="D326" s="17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6"/>
      <c r="B327" s="6"/>
      <c r="C327" s="6"/>
      <c r="D327" s="6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47"/>
      <c r="C328" s="47"/>
      <c r="D328" s="6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17"/>
      <c r="B329" s="43"/>
      <c r="C329" s="43"/>
      <c r="D329" s="43"/>
      <c r="E329" s="45"/>
      <c r="F329" s="45"/>
      <c r="G329" s="45"/>
      <c r="H329" s="45"/>
      <c r="I329" s="45"/>
      <c r="J329" s="45"/>
      <c r="K329" s="45"/>
      <c r="L329" s="45"/>
      <c r="M329" s="6"/>
      <c r="N329" s="4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48"/>
      <c r="C331" s="48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17"/>
      <c r="B334" s="6"/>
      <c r="C334" s="6"/>
      <c r="D334" s="6"/>
      <c r="E334" s="6"/>
      <c r="F334" s="6"/>
      <c r="G334" s="20"/>
      <c r="H334" s="20"/>
      <c r="I334" s="20"/>
      <c r="J334" s="20"/>
      <c r="K334" s="20"/>
      <c r="L334" s="20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1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outlineLevel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s="187" customFormat="1" outlineLevel="1">
      <c r="A340" s="186"/>
    </row>
    <row r="341" spans="1:25" outlineLevel="1">
      <c r="A341" s="1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7"/>
      <c r="B342" s="6"/>
      <c r="C342" s="6"/>
      <c r="D342" s="6"/>
      <c r="E342" s="6"/>
      <c r="F342" s="6"/>
      <c r="G342" s="51"/>
      <c r="H342" s="51"/>
      <c r="I342" s="51"/>
      <c r="J342" s="51"/>
      <c r="K342" s="51"/>
      <c r="L342" s="5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17"/>
      <c r="B343" s="6"/>
      <c r="C343" s="6"/>
      <c r="D343" s="6"/>
      <c r="E343" s="6"/>
      <c r="F343" s="6"/>
      <c r="G343" s="51"/>
      <c r="H343" s="51"/>
      <c r="I343" s="51"/>
      <c r="J343" s="51"/>
      <c r="K343" s="51"/>
      <c r="L343" s="51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6"/>
      <c r="B344" s="52"/>
      <c r="C344" s="52"/>
      <c r="D344" s="52"/>
      <c r="E344" s="6"/>
      <c r="F344" s="6"/>
      <c r="G344" s="53"/>
      <c r="H344" s="53"/>
      <c r="I344" s="53"/>
      <c r="J344" s="53"/>
      <c r="K344" s="53"/>
      <c r="L344" s="53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17"/>
      <c r="B345" s="56"/>
      <c r="C345" s="56"/>
      <c r="D345" s="5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8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88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88"/>
      <c r="B350" s="6"/>
      <c r="C350" s="6"/>
      <c r="D350" s="6"/>
      <c r="E350" s="6"/>
      <c r="F350" s="6"/>
      <c r="G350" s="20"/>
      <c r="H350" s="20"/>
      <c r="I350" s="20"/>
      <c r="J350" s="20"/>
      <c r="K350" s="20"/>
      <c r="L350" s="20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88"/>
      <c r="B351" s="6"/>
      <c r="C351" s="6"/>
      <c r="D351" s="6"/>
      <c r="E351" s="6"/>
      <c r="F351" s="6"/>
      <c r="G351" s="51"/>
      <c r="H351" s="51"/>
      <c r="I351" s="51"/>
      <c r="J351" s="51"/>
      <c r="K351" s="51"/>
      <c r="L351" s="51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7"/>
      <c r="B352" s="6"/>
      <c r="C352" s="6"/>
      <c r="D352" s="6"/>
      <c r="E352" s="6"/>
      <c r="F352" s="6"/>
      <c r="G352" s="56"/>
      <c r="H352" s="56"/>
      <c r="I352" s="56"/>
      <c r="J352" s="56"/>
      <c r="K352" s="56"/>
      <c r="L352" s="5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88"/>
      <c r="B353" s="14"/>
      <c r="C353" s="14"/>
      <c r="D353" s="14"/>
      <c r="E353" s="6"/>
      <c r="F353" s="6"/>
      <c r="G353" s="189"/>
      <c r="H353" s="189"/>
      <c r="I353" s="189"/>
      <c r="J353" s="189"/>
      <c r="K353" s="189"/>
      <c r="L353" s="18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188"/>
      <c r="B354" s="6"/>
      <c r="C354" s="6"/>
      <c r="D354" s="6"/>
      <c r="E354" s="6"/>
      <c r="F354" s="6"/>
      <c r="G354" s="189"/>
      <c r="H354" s="189"/>
      <c r="I354" s="189"/>
      <c r="J354" s="189"/>
      <c r="K354" s="189"/>
      <c r="L354" s="18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188"/>
      <c r="B355" s="6"/>
      <c r="C355" s="6"/>
      <c r="D355" s="6"/>
      <c r="E355" s="6"/>
      <c r="F355" s="6"/>
      <c r="G355" s="189"/>
      <c r="H355" s="189"/>
      <c r="I355" s="189"/>
      <c r="J355" s="189"/>
      <c r="K355" s="189"/>
      <c r="L355" s="18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188"/>
      <c r="B356" s="6"/>
      <c r="C356" s="6"/>
      <c r="D356" s="6"/>
      <c r="E356" s="6"/>
      <c r="F356" s="6"/>
      <c r="G356" s="189"/>
      <c r="H356" s="189"/>
      <c r="I356" s="189"/>
      <c r="J356" s="189"/>
      <c r="K356" s="189"/>
      <c r="L356" s="18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88"/>
      <c r="B357" s="6"/>
      <c r="C357" s="6"/>
      <c r="D357" s="6"/>
      <c r="E357" s="6"/>
      <c r="F357" s="6"/>
      <c r="G357" s="56"/>
      <c r="H357" s="56"/>
      <c r="I357" s="56"/>
      <c r="J357" s="56"/>
      <c r="K357" s="56"/>
      <c r="L357" s="5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1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6"/>
      <c r="F361" s="6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20"/>
      <c r="F362" s="20"/>
      <c r="G362" s="20"/>
      <c r="H362" s="20"/>
      <c r="I362" s="20"/>
      <c r="J362" s="20"/>
      <c r="K362" s="20"/>
      <c r="L362" s="20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1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6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188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188"/>
      <c r="B367" s="6"/>
      <c r="C367" s="6"/>
      <c r="D367" s="6"/>
      <c r="E367" s="6"/>
      <c r="F367" s="6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188"/>
      <c r="B368" s="6"/>
      <c r="C368" s="6"/>
      <c r="D368" s="6"/>
      <c r="E368" s="20"/>
      <c r="F368" s="20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51"/>
      <c r="H374" s="51"/>
      <c r="I374" s="51"/>
      <c r="J374" s="51"/>
      <c r="K374" s="51"/>
      <c r="L374" s="51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6"/>
      <c r="E376" s="59"/>
      <c r="F376" s="59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14"/>
      <c r="E377" s="20"/>
      <c r="F377" s="20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6"/>
      <c r="E378" s="59"/>
      <c r="F378" s="59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17"/>
      <c r="B379" s="6"/>
      <c r="C379" s="6"/>
      <c r="D379" s="6"/>
      <c r="E379" s="6"/>
      <c r="F379" s="6"/>
      <c r="G379" s="59"/>
      <c r="H379" s="59"/>
      <c r="I379" s="59"/>
      <c r="J379" s="59"/>
      <c r="K379" s="59"/>
      <c r="L379" s="5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1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45"/>
      <c r="H384" s="45"/>
      <c r="I384" s="45"/>
      <c r="J384" s="45"/>
      <c r="K384" s="45"/>
      <c r="L384" s="4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outlineLevel="1">
      <c r="A385" s="6"/>
      <c r="B385" s="6"/>
      <c r="C385" s="6"/>
      <c r="D385" s="6"/>
      <c r="E385" s="6"/>
      <c r="F385" s="6"/>
      <c r="G385" s="59"/>
      <c r="H385" s="59"/>
      <c r="I385" s="59"/>
      <c r="J385" s="59"/>
      <c r="K385" s="59"/>
      <c r="L385" s="59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outlineLevel="1">
      <c r="A387" s="6"/>
      <c r="B387" s="6"/>
      <c r="C387" s="6"/>
      <c r="D387" s="6"/>
      <c r="E387" s="6"/>
      <c r="F387" s="6"/>
      <c r="G387" s="45"/>
      <c r="H387" s="45"/>
      <c r="I387" s="45"/>
      <c r="J387" s="45"/>
      <c r="K387" s="45"/>
      <c r="L387" s="4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outlineLevel="1">
      <c r="A388" s="6"/>
      <c r="B388" s="6"/>
      <c r="C388" s="6"/>
      <c r="D388" s="6"/>
      <c r="E388" s="6"/>
      <c r="F388" s="6"/>
      <c r="G388" s="45"/>
      <c r="H388" s="45"/>
      <c r="I388" s="45"/>
      <c r="J388" s="45"/>
      <c r="K388" s="45"/>
      <c r="L388" s="4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outlineLevel="1">
      <c r="A389" s="6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outlineLevel="1">
      <c r="A390" s="6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idden="1" outlineLevel="2">
      <c r="A391" s="17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idden="1" outlineLevel="2">
      <c r="A392" s="17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idden="1" outlineLevel="2">
      <c r="A393" s="6"/>
      <c r="B393" s="6"/>
      <c r="C393" s="6"/>
      <c r="D393" s="6"/>
      <c r="E393" s="6"/>
      <c r="F393" s="6"/>
      <c r="G393" s="61"/>
      <c r="H393" s="61"/>
      <c r="I393" s="61"/>
      <c r="J393" s="61"/>
      <c r="K393" s="61"/>
      <c r="L393" s="61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idden="1" outlineLevel="2">
      <c r="A394" s="17"/>
      <c r="B394" s="9"/>
      <c r="C394" s="9"/>
      <c r="D394" s="9"/>
      <c r="E394" s="10"/>
      <c r="F394" s="10"/>
      <c r="G394" s="10"/>
      <c r="H394" s="9"/>
      <c r="I394" s="9"/>
      <c r="J394" s="10"/>
      <c r="K394" s="10"/>
      <c r="L394" s="9"/>
      <c r="M394" s="10"/>
      <c r="N394" s="10"/>
      <c r="O394" s="10"/>
      <c r="P394" s="9"/>
      <c r="Q394" s="10"/>
      <c r="R394" s="10"/>
      <c r="S394" s="6"/>
      <c r="T394" s="6"/>
      <c r="U394" s="6"/>
      <c r="V394" s="6"/>
      <c r="W394" s="6"/>
      <c r="X394" s="10"/>
      <c r="Y394" s="6"/>
    </row>
    <row r="395" spans="1:25" hidden="1" outlineLevel="2">
      <c r="A395" s="1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idden="1" outlineLevel="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idden="1" outlineLevel="2">
      <c r="A397" s="6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6"/>
      <c r="T397" s="6"/>
      <c r="U397" s="6"/>
      <c r="V397" s="6"/>
      <c r="W397" s="6"/>
      <c r="X397" s="45"/>
      <c r="Y397" s="6"/>
    </row>
    <row r="398" spans="1:25" hidden="1" outlineLevel="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idden="1" outlineLevel="2">
      <c r="A399" s="6"/>
      <c r="B399" s="59"/>
      <c r="C399" s="59"/>
      <c r="D399" s="59"/>
      <c r="E399" s="59"/>
      <c r="F399" s="59"/>
      <c r="G399" s="59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6"/>
      <c r="T399" s="6"/>
      <c r="U399" s="6"/>
      <c r="V399" s="6"/>
      <c r="W399" s="6"/>
      <c r="X399" s="45"/>
      <c r="Y399" s="6"/>
    </row>
    <row r="400" spans="1:25" hidden="1" outlineLevel="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30" hidden="1" outlineLevel="2">
      <c r="A401" s="6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6"/>
      <c r="T401" s="6"/>
      <c r="U401" s="6"/>
      <c r="V401" s="6"/>
      <c r="W401" s="6"/>
      <c r="X401" s="45"/>
      <c r="Y401" s="45"/>
      <c r="Z401" s="45"/>
      <c r="AA401" s="45"/>
      <c r="AB401" s="45"/>
      <c r="AC401" s="45"/>
      <c r="AD401" s="45"/>
    </row>
    <row r="402" spans="1:30" hidden="1" outlineLevel="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30" hidden="1" outlineLevel="2">
      <c r="A403" s="6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6"/>
      <c r="T403" s="6"/>
      <c r="U403" s="6"/>
      <c r="V403" s="6"/>
      <c r="W403" s="6"/>
      <c r="X403" s="45"/>
      <c r="Y403" s="6"/>
    </row>
    <row r="404" spans="1:30" hidden="1" outlineLevel="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30" hidden="1" outlineLevel="2">
      <c r="A405" s="6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6"/>
      <c r="T405" s="6"/>
      <c r="U405" s="6"/>
      <c r="V405" s="6"/>
      <c r="W405" s="6"/>
      <c r="X405" s="45"/>
      <c r="Y405" s="45"/>
    </row>
    <row r="406" spans="1:30" hidden="1" outlineLevel="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30" hidden="1" outlineLevel="2">
      <c r="A407" s="6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6"/>
      <c r="T407" s="6"/>
      <c r="U407" s="6"/>
      <c r="V407" s="6"/>
      <c r="W407" s="6"/>
      <c r="X407" s="45"/>
      <c r="Y407" s="45"/>
    </row>
    <row r="408" spans="1:30" hidden="1" outlineLevel="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30" outlineLevel="1" collapsed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30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30" outlineLevel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30" outlineLevel="1">
      <c r="A412" s="3"/>
      <c r="B412" s="3"/>
      <c r="C412" s="3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30" outlineLevel="1">
      <c r="A413" s="17"/>
      <c r="B413" s="17"/>
      <c r="C413" s="1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30" outlineLevel="1">
      <c r="A414" s="17"/>
      <c r="B414" s="43"/>
      <c r="C414" s="43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30" outlineLevel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30" outlineLevel="1">
      <c r="A416" s="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outlineLevel="1">
      <c r="A417" s="17"/>
      <c r="B417" s="17"/>
      <c r="C417" s="1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outlineLevel="1">
      <c r="A418" s="44"/>
      <c r="B418" s="17"/>
      <c r="C418" s="17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17"/>
      <c r="C419" s="17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44"/>
      <c r="C421" s="44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44"/>
      <c r="B422" s="3"/>
      <c r="C422" s="3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6"/>
      <c r="B423" s="6"/>
      <c r="C423" s="6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17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17"/>
      <c r="C433" s="17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44"/>
      <c r="B435" s="44"/>
      <c r="C435" s="44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17"/>
      <c r="B436" s="17"/>
      <c r="C436" s="17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44"/>
      <c r="B437" s="44"/>
      <c r="C437" s="44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17"/>
      <c r="B438" s="17"/>
      <c r="C438" s="17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44"/>
      <c r="B439" s="46"/>
      <c r="C439" s="46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17"/>
      <c r="B440" s="17"/>
      <c r="C440" s="17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6"/>
      <c r="B441" s="6"/>
      <c r="C441" s="6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17"/>
      <c r="B442" s="17"/>
      <c r="C442" s="17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44"/>
      <c r="C445" s="44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44"/>
      <c r="B446" s="6"/>
      <c r="C446" s="6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17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17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44"/>
      <c r="B453" s="17"/>
      <c r="C453" s="17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3"/>
      <c r="B454" s="46"/>
      <c r="C454" s="46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17"/>
      <c r="B455" s="17"/>
      <c r="C455" s="17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6"/>
      <c r="B456" s="6"/>
      <c r="C456" s="6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17"/>
      <c r="B459" s="43"/>
      <c r="C459" s="43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3"/>
      <c r="B462" s="3"/>
      <c r="C462" s="3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17"/>
      <c r="B463" s="17"/>
      <c r="C463" s="1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17"/>
      <c r="B464" s="43"/>
      <c r="C464" s="43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outlineLevel="1">
      <c r="A466" s="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6"/>
      <c r="T466" s="6"/>
      <c r="U466" s="6"/>
      <c r="V466" s="6"/>
      <c r="W466" s="6"/>
      <c r="X466" s="6"/>
      <c r="Y466" s="6"/>
    </row>
    <row r="467" spans="1:25" outlineLevel="1">
      <c r="A467" s="17"/>
      <c r="B467" s="17"/>
      <c r="C467" s="17"/>
      <c r="D467" s="1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17"/>
      <c r="C468" s="17"/>
      <c r="D468" s="17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17"/>
      <c r="C469" s="17"/>
      <c r="D469" s="17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44"/>
      <c r="C470" s="44"/>
      <c r="D470" s="44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44"/>
      <c r="C471" s="44"/>
      <c r="D471" s="44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3"/>
      <c r="C472" s="3"/>
      <c r="D472" s="3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44"/>
      <c r="B473" s="3"/>
      <c r="C473" s="3"/>
      <c r="D473" s="3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17"/>
      <c r="B474" s="17"/>
      <c r="C474" s="17"/>
      <c r="D474" s="17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17"/>
      <c r="C484" s="17"/>
      <c r="D484" s="17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44"/>
      <c r="C485" s="44"/>
      <c r="D485" s="44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44"/>
      <c r="B486" s="44"/>
      <c r="C486" s="44"/>
      <c r="D486" s="44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17"/>
      <c r="B487" s="17"/>
      <c r="C487" s="17"/>
      <c r="D487" s="17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6"/>
      <c r="B488" s="17"/>
      <c r="C488" s="17"/>
      <c r="D488" s="17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44"/>
      <c r="B489" s="44"/>
      <c r="C489" s="44"/>
      <c r="D489" s="44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17"/>
      <c r="B490" s="17"/>
      <c r="C490" s="17"/>
      <c r="D490" s="17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44"/>
      <c r="B491" s="46"/>
      <c r="C491" s="46"/>
      <c r="D491" s="46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17"/>
      <c r="C494" s="17"/>
      <c r="D494" s="17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6"/>
      <c r="T498" s="6"/>
      <c r="U498" s="6"/>
      <c r="V498" s="6"/>
      <c r="W498" s="6"/>
      <c r="X498" s="6"/>
      <c r="Y498" s="6"/>
    </row>
    <row r="499" spans="1:25" outlineLevel="1">
      <c r="A499" s="17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6"/>
      <c r="T499" s="6"/>
      <c r="U499" s="6"/>
      <c r="V499" s="6"/>
      <c r="W499" s="6"/>
      <c r="X499" s="6"/>
      <c r="Y499" s="6"/>
    </row>
    <row r="500" spans="1:25" outlineLevel="1">
      <c r="A500" s="6"/>
      <c r="B500" s="43"/>
      <c r="C500" s="43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spans="1:25" outlineLevel="1">
      <c r="A501" s="6"/>
      <c r="B501" s="45"/>
      <c r="C501" s="45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3"/>
      <c r="C502" s="43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6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6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17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6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6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17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17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6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outlineLevel="1">
      <c r="A514" s="6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outlineLevel="1">
      <c r="A515" s="6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outlineLevel="1">
      <c r="A516" s="6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spans="1:25" outlineLevel="1">
      <c r="A517" s="6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</row>
    <row r="518" spans="1:25" outlineLevel="1">
      <c r="A518" s="6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6"/>
      <c r="T522" s="6"/>
      <c r="U522" s="6"/>
      <c r="V522" s="6"/>
      <c r="W522" s="6"/>
      <c r="X522" s="6"/>
      <c r="Y522" s="6"/>
    </row>
    <row r="523" spans="1:25" outlineLevel="1">
      <c r="A523" s="17"/>
      <c r="B523" s="43"/>
      <c r="C523" s="43"/>
      <c r="D523" s="43"/>
      <c r="E523" s="6"/>
      <c r="F523" s="6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6"/>
      <c r="T523" s="6"/>
      <c r="U523" s="6"/>
      <c r="V523" s="6"/>
      <c r="W523" s="6"/>
      <c r="X523" s="6"/>
      <c r="Y523" s="6"/>
    </row>
    <row r="524" spans="1:25" outlineLevel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1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outlineLevel="1">
      <c r="A529" s="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outlineLevel="1">
      <c r="A530" s="6"/>
      <c r="B530" s="6"/>
      <c r="C530" s="6"/>
      <c r="D530" s="6"/>
      <c r="E530" s="6"/>
      <c r="F530" s="6"/>
      <c r="G530" s="3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outlineLevel="1">
      <c r="A531" s="17"/>
      <c r="B531" s="6"/>
      <c r="C531" s="6"/>
      <c r="D531" s="6"/>
      <c r="E531" s="6"/>
      <c r="F531" s="6"/>
      <c r="G531" s="31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6"/>
      <c r="B535" s="6"/>
      <c r="C535" s="6"/>
      <c r="D535" s="6"/>
      <c r="E535" s="6"/>
      <c r="F535" s="6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6"/>
      <c r="T535" s="6"/>
      <c r="U535" s="6"/>
      <c r="V535" s="6"/>
      <c r="W535" s="6"/>
      <c r="X535" s="6"/>
      <c r="Y535" s="6"/>
    </row>
    <row r="536" spans="1:25" outlineLevel="1">
      <c r="A536" s="188"/>
      <c r="B536" s="6"/>
      <c r="C536" s="6"/>
      <c r="D536" s="6"/>
      <c r="E536" s="6"/>
      <c r="F536" s="6"/>
      <c r="G536" s="3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6"/>
      <c r="T536" s="6"/>
      <c r="U536" s="6"/>
      <c r="V536" s="6"/>
      <c r="W536" s="6"/>
      <c r="X536" s="6"/>
      <c r="Y536" s="6"/>
    </row>
    <row r="537" spans="1:25" outlineLevel="1">
      <c r="A537" s="188"/>
      <c r="B537" s="6"/>
      <c r="C537" s="6"/>
      <c r="D537" s="6"/>
      <c r="E537" s="6"/>
      <c r="F537" s="6"/>
      <c r="G537" s="31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6"/>
      <c r="T537" s="6"/>
      <c r="U537" s="6"/>
      <c r="V537" s="6"/>
      <c r="W537" s="6"/>
      <c r="X537" s="6"/>
      <c r="Y537" s="6"/>
    </row>
    <row r="538" spans="1:25" outlineLevel="1">
      <c r="A538" s="17"/>
      <c r="B538" s="6"/>
      <c r="C538" s="6"/>
      <c r="D538" s="6"/>
      <c r="E538" s="6"/>
      <c r="F538" s="6"/>
      <c r="G538" s="3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6"/>
      <c r="T539" s="6"/>
      <c r="U539" s="6"/>
      <c r="V539" s="6"/>
      <c r="W539" s="6"/>
      <c r="X539" s="6"/>
      <c r="Y539" s="6"/>
    </row>
    <row r="540" spans="1:25" outlineLevel="1">
      <c r="A540" s="6"/>
      <c r="B540" s="6"/>
      <c r="C540" s="6"/>
      <c r="D540" s="6"/>
      <c r="E540" s="6"/>
      <c r="F540" s="6"/>
      <c r="G540" s="3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outlineLevel="1">
      <c r="A541" s="17"/>
      <c r="B541" s="6"/>
      <c r="C541" s="6"/>
      <c r="D541" s="6"/>
      <c r="E541" s="6"/>
      <c r="F541" s="6"/>
      <c r="G541" s="31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6"/>
      <c r="T541" s="6"/>
      <c r="U541" s="6"/>
      <c r="V541" s="6"/>
      <c r="W541" s="6"/>
      <c r="X541" s="6"/>
      <c r="Y541" s="6"/>
    </row>
    <row r="542" spans="1:25" outlineLevel="1">
      <c r="A542" s="6"/>
      <c r="B542" s="14"/>
      <c r="C542" s="14"/>
      <c r="D542" s="6"/>
      <c r="E542" s="6"/>
      <c r="F542" s="6"/>
      <c r="G542" s="3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6"/>
      <c r="T542" s="6"/>
      <c r="U542" s="6"/>
      <c r="V542" s="6"/>
      <c r="W542" s="6"/>
      <c r="X542" s="6"/>
      <c r="Y542" s="6"/>
    </row>
    <row r="543" spans="1:25" outlineLevel="1">
      <c r="A543" s="17"/>
      <c r="B543" s="6"/>
      <c r="C543" s="6"/>
      <c r="D543" s="6"/>
      <c r="E543" s="6"/>
      <c r="F543" s="6"/>
      <c r="G543" s="31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6"/>
      <c r="T543" s="6"/>
      <c r="U543" s="6"/>
      <c r="V543" s="6"/>
      <c r="W543" s="6"/>
      <c r="X543" s="6"/>
      <c r="Y543" s="6"/>
    </row>
    <row r="544" spans="1:25" outlineLevel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outlineLevel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s="67" customFormat="1" outlineLevel="1">
      <c r="A546" s="66"/>
      <c r="B546" s="66"/>
      <c r="C546" s="66"/>
      <c r="D546" s="66"/>
      <c r="E546" s="66"/>
      <c r="F546" s="66"/>
      <c r="G546" s="66"/>
    </row>
    <row r="547" spans="1:25" s="67" customFormat="1" outlineLevel="1">
      <c r="A547" s="66"/>
      <c r="B547" s="66"/>
      <c r="C547" s="66"/>
      <c r="D547" s="66"/>
      <c r="E547" s="66"/>
      <c r="F547" s="68"/>
      <c r="G547" s="69"/>
      <c r="H547" s="66"/>
      <c r="I547" s="70"/>
    </row>
    <row r="548" spans="1:25" s="67" customFormat="1" outlineLevel="1">
      <c r="A548" s="66"/>
      <c r="B548" s="69"/>
      <c r="C548" s="69"/>
      <c r="D548" s="69"/>
      <c r="E548" s="69"/>
      <c r="F548" s="71"/>
      <c r="G548" s="47"/>
      <c r="H548" s="47"/>
      <c r="I548" s="70"/>
    </row>
    <row r="549" spans="1:25" s="67" customFormat="1" outlineLevel="1">
      <c r="A549" s="66"/>
      <c r="B549" s="47"/>
      <c r="C549" s="47"/>
      <c r="D549" s="47"/>
      <c r="E549" s="47"/>
      <c r="F549" s="47"/>
      <c r="G549" s="70"/>
      <c r="H549" s="47"/>
      <c r="I549" s="71"/>
    </row>
    <row r="550" spans="1:25" s="67" customFormat="1" outlineLevel="1">
      <c r="A550" s="72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</row>
    <row r="551" spans="1:25" s="67" customFormat="1" outlineLevel="1">
      <c r="A551" s="40"/>
      <c r="B551" s="66"/>
      <c r="C551" s="66"/>
      <c r="D551" s="66"/>
      <c r="E551" s="66"/>
      <c r="F551" s="66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66"/>
      <c r="C552" s="66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74"/>
      <c r="C553" s="74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9"/>
      <c r="B554" s="155"/>
      <c r="C554" s="155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38"/>
      <c r="B555" s="72"/>
      <c r="C555" s="72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27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40"/>
      <c r="B557" s="66"/>
      <c r="C557" s="66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76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42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76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40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39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39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40"/>
      <c r="B575" s="77"/>
      <c r="C575" s="77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</row>
    <row r="576" spans="1:25" s="67" customFormat="1" outlineLevel="1">
      <c r="A576" s="39"/>
      <c r="B576" s="77"/>
      <c r="C576" s="77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</row>
    <row r="577" spans="1:25" s="67" customFormat="1" outlineLevel="1">
      <c r="A577" s="39"/>
      <c r="B577" s="80"/>
      <c r="C577" s="80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ht="13.9" customHeight="1" outlineLevel="1">
      <c r="A578" s="38"/>
      <c r="B578" s="80"/>
      <c r="C578" s="80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9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8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74"/>
      <c r="C581" s="74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74"/>
      <c r="C582" s="74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74"/>
      <c r="C583" s="74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39"/>
      <c r="B584" s="74"/>
      <c r="C584" s="74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40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40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39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66"/>
      <c r="C592" s="66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39"/>
      <c r="B593" s="82"/>
      <c r="C593" s="8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9"/>
      <c r="B594" s="82"/>
      <c r="C594" s="82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38"/>
      <c r="B595" s="80"/>
      <c r="C595" s="80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66"/>
      <c r="C598" s="66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s="67" customFormat="1" outlineLevel="1">
      <c r="A601" s="40"/>
      <c r="B601" s="80"/>
      <c r="C601" s="80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3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1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83"/>
      <c r="B607" s="6"/>
      <c r="C607" s="6"/>
      <c r="D607" s="6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outlineLevel="1">
      <c r="A609" s="3"/>
      <c r="B609" s="3"/>
      <c r="C609" s="3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1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44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6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17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44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6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44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6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6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17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idden="1" outlineLevel="2">
      <c r="A634" s="44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 collapsed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17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6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6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 outlineLevel="1">
      <c r="A643" s="17"/>
      <c r="B643" s="6"/>
      <c r="C643" s="6"/>
      <c r="D643" s="6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45"/>
      <c r="I648" s="45"/>
      <c r="J648" s="45"/>
      <c r="K648" s="45"/>
      <c r="L648" s="45"/>
      <c r="M648" s="45"/>
      <c r="N648" s="45"/>
      <c r="O648" s="45"/>
      <c r="P648" s="45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857"/>
  <sheetViews>
    <sheetView topLeftCell="A43" zoomScale="75" zoomScaleNormal="75" workbookViewId="0">
      <selection activeCell="K174" sqref="K174"/>
    </sheetView>
  </sheetViews>
  <sheetFormatPr defaultRowHeight="12.75" outlineLevelRow="2" outlineLevelCol="1"/>
  <cols>
    <col min="1" max="1" width="31.7109375" style="5" customWidth="1"/>
    <col min="2" max="2" width="5.28515625" style="5" customWidth="1"/>
    <col min="3" max="3" width="10.7109375" style="5" customWidth="1"/>
    <col min="4" max="7" width="10.7109375" style="5" customWidth="1" outlineLevel="1"/>
    <col min="8" max="25" width="10.7109375" style="5" customWidth="1"/>
    <col min="26" max="26" width="10.7109375" style="6" customWidth="1"/>
    <col min="27" max="27" width="14" style="6" customWidth="1"/>
    <col min="28" max="28" width="10.7109375" style="6" customWidth="1"/>
    <col min="29" max="29" width="10.28515625" style="6" customWidth="1"/>
    <col min="30" max="16384" width="9.140625" style="6"/>
  </cols>
  <sheetData>
    <row r="1" spans="1:28" ht="18.75">
      <c r="A1" s="157" t="s">
        <v>104</v>
      </c>
      <c r="C1" s="418">
        <v>77</v>
      </c>
      <c r="D1" s="418" t="s">
        <v>155</v>
      </c>
    </row>
    <row r="2" spans="1:28"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8" ht="15.75">
      <c r="A3" s="15" t="s">
        <v>106</v>
      </c>
    </row>
    <row r="4" spans="1:28">
      <c r="A4" s="1"/>
    </row>
    <row r="5" spans="1:28" ht="13.5" thickBot="1">
      <c r="A5" s="93" t="s">
        <v>4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  <c r="AA5" s="336" t="s">
        <v>84</v>
      </c>
      <c r="AB5" s="337" t="s">
        <v>134</v>
      </c>
    </row>
    <row r="6" spans="1:28">
      <c r="A6" s="3"/>
      <c r="B6" s="128"/>
      <c r="C6" s="128"/>
      <c r="D6" s="128"/>
      <c r="E6" s="128"/>
      <c r="F6" s="8"/>
      <c r="G6" s="8"/>
      <c r="H6" s="9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334"/>
      <c r="AB6" s="337"/>
    </row>
    <row r="7" spans="1:28">
      <c r="A7" s="3"/>
      <c r="B7" s="128"/>
      <c r="C7" s="128"/>
      <c r="D7" s="128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334"/>
      <c r="AB7" s="337"/>
    </row>
    <row r="8" spans="1:28">
      <c r="A8" s="1" t="s">
        <v>5</v>
      </c>
      <c r="B8" s="9"/>
      <c r="C8" s="9"/>
      <c r="D8" s="9"/>
      <c r="AA8" s="334"/>
      <c r="AB8" s="337"/>
    </row>
    <row r="9" spans="1:28">
      <c r="A9" s="95" t="s">
        <v>6</v>
      </c>
      <c r="B9" s="9"/>
      <c r="C9" s="9"/>
      <c r="D9" s="9"/>
      <c r="AA9" s="334"/>
      <c r="AB9" s="337"/>
    </row>
    <row r="10" spans="1:28">
      <c r="A10" s="4" t="s">
        <v>7</v>
      </c>
      <c r="B10" s="9"/>
      <c r="C10" s="9"/>
      <c r="D10" s="86">
        <v>1</v>
      </c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AA10" s="355">
        <f t="shared" ref="AA10:AA38" si="1">SUM(F10:Y10)</f>
        <v>0</v>
      </c>
      <c r="AB10" s="356">
        <f>AA10*$C$60</f>
        <v>0</v>
      </c>
    </row>
    <row r="11" spans="1:28">
      <c r="A11" s="4" t="s">
        <v>8</v>
      </c>
      <c r="B11" s="9"/>
      <c r="C11" s="9"/>
      <c r="D11" s="86">
        <v>1</v>
      </c>
      <c r="E11" s="163">
        <f>[12]FINANCIALS!N$9</f>
        <v>38348</v>
      </c>
      <c r="F11" s="163">
        <f>[12]FINANCIALS!O$9</f>
        <v>23304</v>
      </c>
      <c r="G11" s="163">
        <f>[12]FINANCIALS!P$9</f>
        <v>10501</v>
      </c>
      <c r="H11" s="163">
        <f>[12]FINANCIALS!Q$9</f>
        <v>10653</v>
      </c>
      <c r="I11" s="163">
        <f>[12]FINANCIALS!R$9</f>
        <v>10804</v>
      </c>
      <c r="J11" s="163">
        <f>[12]FINANCIALS!S$9</f>
        <v>12755.477905752216</v>
      </c>
      <c r="K11" s="163">
        <f>[12]FINANCIALS!T$9</f>
        <v>13289.84523425847</v>
      </c>
      <c r="L11" s="163">
        <f>[12]FINANCIALS!U$9</f>
        <v>13557.028898511593</v>
      </c>
      <c r="M11" s="163">
        <f>[12]FINANCIALS!V$9</f>
        <v>13777.887025901135</v>
      </c>
      <c r="N11" s="163">
        <f>[12]FINANCIALS!W$9</f>
        <v>14004.708322730199</v>
      </c>
      <c r="O11" s="163">
        <f>[12]FINANCIALS!X$9</f>
        <v>14237.653794573645</v>
      </c>
      <c r="P11" s="163">
        <f>[12]FINANCIALS!Y$9</f>
        <v>14485.749349696986</v>
      </c>
      <c r="Q11" s="163">
        <f>[12]FINANCIALS!Z$9</f>
        <v>14740.791580363777</v>
      </c>
      <c r="R11" s="163">
        <f>[12]FINANCIALS!AA$9</f>
        <v>15002.974993489242</v>
      </c>
      <c r="S11" s="163">
        <f>[12]FINANCIALS!AB$9</f>
        <v>15272.499542182219</v>
      </c>
      <c r="T11" s="163">
        <f>[12]FINANCIALS!AC$9</f>
        <v>15549.570778238598</v>
      </c>
      <c r="U11" s="163">
        <f>[12]FINANCIALS!AD$9</f>
        <v>15834.400008904558</v>
      </c>
      <c r="V11" s="163">
        <f>[12]FINANCIALS!AE$9</f>
        <v>16127.204458029162</v>
      </c>
      <c r="W11" s="163">
        <f>[12]FINANCIALS!AF$9</f>
        <v>16428.207431729257</v>
      </c>
      <c r="X11" s="163">
        <f>[12]FINANCIALS!AG$9</f>
        <v>16737.638488692952</v>
      </c>
      <c r="Y11" s="163">
        <f>[12]FINANCIALS!AH$9</f>
        <v>17055.733615251633</v>
      </c>
      <c r="AA11" s="355">
        <f t="shared" si="1"/>
        <v>294119.37142830563</v>
      </c>
      <c r="AB11" s="356">
        <f t="shared" ref="AB11:AB74" si="2">AA11*$C$60</f>
        <v>147059.68571415282</v>
      </c>
    </row>
    <row r="12" spans="1:28">
      <c r="A12" s="4" t="s">
        <v>9</v>
      </c>
      <c r="B12" s="9"/>
      <c r="C12" s="9"/>
      <c r="D12" s="86">
        <v>1</v>
      </c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AA12" s="355">
        <f t="shared" si="1"/>
        <v>0</v>
      </c>
      <c r="AB12" s="356">
        <f t="shared" si="2"/>
        <v>0</v>
      </c>
    </row>
    <row r="13" spans="1:28">
      <c r="A13" s="6"/>
      <c r="B13" s="9"/>
      <c r="C13" s="9"/>
      <c r="D13" s="9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AA13" s="355">
        <f t="shared" si="1"/>
        <v>0</v>
      </c>
      <c r="AB13" s="356">
        <f t="shared" si="2"/>
        <v>0</v>
      </c>
    </row>
    <row r="14" spans="1:28">
      <c r="A14" s="95" t="s">
        <v>10</v>
      </c>
      <c r="B14" s="9"/>
      <c r="C14" s="9"/>
      <c r="D14" s="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AA14" s="355">
        <f t="shared" si="1"/>
        <v>0</v>
      </c>
      <c r="AB14" s="356">
        <f t="shared" si="2"/>
        <v>0</v>
      </c>
    </row>
    <row r="15" spans="1:28">
      <c r="A15" s="4" t="s">
        <v>7</v>
      </c>
      <c r="B15" s="9"/>
      <c r="C15" s="9"/>
      <c r="D15" s="86">
        <v>1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AA15" s="355">
        <f t="shared" si="1"/>
        <v>0</v>
      </c>
      <c r="AB15" s="356">
        <f t="shared" si="2"/>
        <v>0</v>
      </c>
    </row>
    <row r="16" spans="1:28">
      <c r="A16" s="4" t="s">
        <v>11</v>
      </c>
      <c r="B16" s="9"/>
      <c r="C16" s="9"/>
      <c r="D16" s="86">
        <v>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AA16" s="355">
        <f t="shared" si="1"/>
        <v>0</v>
      </c>
      <c r="AB16" s="356">
        <f t="shared" si="2"/>
        <v>0</v>
      </c>
    </row>
    <row r="17" spans="1:28">
      <c r="A17" s="4" t="s">
        <v>12</v>
      </c>
      <c r="B17" s="9"/>
      <c r="C17" s="9"/>
      <c r="D17" s="86">
        <v>1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AA17" s="355">
        <f t="shared" si="1"/>
        <v>0</v>
      </c>
      <c r="AB17" s="356">
        <f t="shared" si="2"/>
        <v>0</v>
      </c>
    </row>
    <row r="18" spans="1:28">
      <c r="A18" s="6"/>
      <c r="B18" s="9"/>
      <c r="C18" s="9"/>
      <c r="D18" s="9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AA18" s="355">
        <f t="shared" si="1"/>
        <v>0</v>
      </c>
      <c r="AB18" s="356">
        <f t="shared" si="2"/>
        <v>0</v>
      </c>
    </row>
    <row r="19" spans="1:28">
      <c r="A19" s="4" t="s">
        <v>13</v>
      </c>
      <c r="B19" s="9"/>
      <c r="C19" s="9"/>
      <c r="D19" s="87">
        <v>1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AA19" s="355">
        <f t="shared" si="1"/>
        <v>0</v>
      </c>
      <c r="AB19" s="356">
        <f t="shared" si="2"/>
        <v>0</v>
      </c>
    </row>
    <row r="20" spans="1:28">
      <c r="A20" s="4" t="s">
        <v>14</v>
      </c>
      <c r="B20" s="9"/>
      <c r="C20" s="9"/>
      <c r="D20" s="86"/>
      <c r="E20" s="86">
        <f t="shared" ref="E20:Y20" si="3">SUM(E10:E19)</f>
        <v>38348</v>
      </c>
      <c r="F20" s="86">
        <f t="shared" si="3"/>
        <v>23304</v>
      </c>
      <c r="G20" s="86">
        <f t="shared" si="3"/>
        <v>10501</v>
      </c>
      <c r="H20" s="86">
        <f t="shared" si="3"/>
        <v>10653</v>
      </c>
      <c r="I20" s="86">
        <f t="shared" si="3"/>
        <v>10804</v>
      </c>
      <c r="J20" s="86">
        <f t="shared" si="3"/>
        <v>12755.477905752216</v>
      </c>
      <c r="K20" s="86">
        <f t="shared" si="3"/>
        <v>13289.84523425847</v>
      </c>
      <c r="L20" s="86">
        <f t="shared" si="3"/>
        <v>13557.028898511593</v>
      </c>
      <c r="M20" s="86">
        <f t="shared" si="3"/>
        <v>13777.887025901135</v>
      </c>
      <c r="N20" s="86">
        <f t="shared" si="3"/>
        <v>14004.708322730199</v>
      </c>
      <c r="O20" s="86">
        <f t="shared" si="3"/>
        <v>14237.653794573645</v>
      </c>
      <c r="P20" s="86">
        <f t="shared" si="3"/>
        <v>14485.749349696986</v>
      </c>
      <c r="Q20" s="86">
        <f t="shared" si="3"/>
        <v>14740.791580363777</v>
      </c>
      <c r="R20" s="86">
        <f t="shared" si="3"/>
        <v>15002.974993489242</v>
      </c>
      <c r="S20" s="86">
        <f t="shared" si="3"/>
        <v>15272.499542182219</v>
      </c>
      <c r="T20" s="86">
        <f t="shared" si="3"/>
        <v>15549.570778238598</v>
      </c>
      <c r="U20" s="86">
        <f t="shared" si="3"/>
        <v>15834.400008904558</v>
      </c>
      <c r="V20" s="86">
        <f t="shared" si="3"/>
        <v>16127.204458029162</v>
      </c>
      <c r="W20" s="86">
        <f t="shared" si="3"/>
        <v>16428.207431729257</v>
      </c>
      <c r="X20" s="86">
        <f t="shared" si="3"/>
        <v>16737.638488692952</v>
      </c>
      <c r="Y20" s="86">
        <f t="shared" si="3"/>
        <v>17055.733615251633</v>
      </c>
      <c r="AA20" s="355">
        <f t="shared" si="1"/>
        <v>294119.37142830563</v>
      </c>
      <c r="AB20" s="356">
        <f t="shared" si="2"/>
        <v>147059.68571415282</v>
      </c>
    </row>
    <row r="21" spans="1:28">
      <c r="A21" s="4"/>
      <c r="AA21" s="355">
        <f t="shared" si="1"/>
        <v>0</v>
      </c>
      <c r="AB21" s="356">
        <f t="shared" si="2"/>
        <v>0</v>
      </c>
    </row>
    <row r="22" spans="1:28" ht="12" customHeight="1">
      <c r="D22" s="86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A22" s="355">
        <f t="shared" si="1"/>
        <v>0</v>
      </c>
      <c r="AB22" s="356">
        <f t="shared" si="2"/>
        <v>0</v>
      </c>
    </row>
    <row r="23" spans="1:28">
      <c r="A23" s="1" t="s">
        <v>15</v>
      </c>
      <c r="D23" s="86"/>
      <c r="E23" s="417">
        <f>E25/$C$1</f>
        <v>33.194805194805198</v>
      </c>
      <c r="F23" s="417">
        <f>F25/$C$1</f>
        <v>29.2987012987013</v>
      </c>
      <c r="G23" s="417">
        <f>G25/$C$1</f>
        <v>26.649350649350648</v>
      </c>
      <c r="H23" s="417">
        <f>H25/$C$1</f>
        <v>27.844155844155843</v>
      </c>
      <c r="I23" s="417">
        <f t="shared" ref="I23:Y23" si="4">I25/$C$1</f>
        <v>27.727272727272727</v>
      </c>
      <c r="J23" s="417">
        <f t="shared" si="4"/>
        <v>28.927441558441558</v>
      </c>
      <c r="K23" s="417">
        <f t="shared" si="4"/>
        <v>29.654517545454542</v>
      </c>
      <c r="L23" s="417">
        <f t="shared" si="4"/>
        <v>30.401224584116878</v>
      </c>
      <c r="M23" s="417">
        <f t="shared" si="4"/>
        <v>31.1680927128231</v>
      </c>
      <c r="N23" s="417">
        <f t="shared" si="4"/>
        <v>31.955666281004383</v>
      </c>
      <c r="O23" s="417">
        <f t="shared" si="4"/>
        <v>32.764504335526567</v>
      </c>
      <c r="P23" s="417">
        <f t="shared" si="4"/>
        <v>33.625946820557672</v>
      </c>
      <c r="Q23" s="417">
        <f t="shared" si="4"/>
        <v>34.51150969516965</v>
      </c>
      <c r="R23" s="417">
        <f t="shared" si="4"/>
        <v>35.421868330270762</v>
      </c>
      <c r="S23" s="417">
        <f t="shared" si="4"/>
        <v>36.357717007154704</v>
      </c>
      <c r="T23" s="417">
        <f t="shared" si="4"/>
        <v>37.340492924684732</v>
      </c>
      <c r="U23" s="417">
        <f t="shared" si="4"/>
        <v>38.366473642014249</v>
      </c>
      <c r="V23" s="417">
        <f t="shared" si="4"/>
        <v>39.421181819428995</v>
      </c>
      <c r="W23" s="417">
        <f t="shared" si="4"/>
        <v>40.505421825811361</v>
      </c>
      <c r="X23" s="417">
        <f t="shared" si="4"/>
        <v>41.620020552372424</v>
      </c>
      <c r="Y23" s="417">
        <f t="shared" si="4"/>
        <v>42.765828043277196</v>
      </c>
      <c r="AA23" s="355">
        <f t="shared" si="1"/>
        <v>676.32738819758924</v>
      </c>
      <c r="AB23" s="356">
        <f t="shared" si="2"/>
        <v>338.16369409879462</v>
      </c>
    </row>
    <row r="24" spans="1:28">
      <c r="A24" s="4" t="s">
        <v>36</v>
      </c>
      <c r="D24" s="86">
        <v>0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AA24" s="355">
        <f t="shared" si="1"/>
        <v>0</v>
      </c>
      <c r="AB24" s="356">
        <f t="shared" si="2"/>
        <v>0</v>
      </c>
    </row>
    <row r="25" spans="1:28">
      <c r="A25" s="4" t="s">
        <v>1</v>
      </c>
      <c r="D25" s="86">
        <v>0</v>
      </c>
      <c r="E25" s="163">
        <f>[12]FINANCIALS!N$14+[12]FINANCIALS!N$16+[12]FINANCIALS!N$24</f>
        <v>2556</v>
      </c>
      <c r="F25" s="163">
        <f>[12]FINANCIALS!O$14+[12]FINANCIALS!O$16+[12]FINANCIALS!O$24</f>
        <v>2256</v>
      </c>
      <c r="G25" s="163">
        <f>[12]FINANCIALS!P$14+[12]FINANCIALS!P$16+[12]FINANCIALS!P$24</f>
        <v>2052</v>
      </c>
      <c r="H25" s="163">
        <f>[12]FINANCIALS!Q$14+[12]FINANCIALS!Q$16+[12]FINANCIALS!Q$24</f>
        <v>2144</v>
      </c>
      <c r="I25" s="163">
        <f>[12]FINANCIALS!R$14+[12]FINANCIALS!R$16+[12]FINANCIALS!R$24</f>
        <v>2135</v>
      </c>
      <c r="J25" s="163">
        <f>[12]FINANCIALS!S$14+[12]FINANCIALS!S$16+[12]FINANCIALS!S$24</f>
        <v>2227.413</v>
      </c>
      <c r="K25" s="163">
        <f>[12]FINANCIALS!T$14+[12]FINANCIALS!T$16+[12]FINANCIALS!T$24</f>
        <v>2283.3978509999997</v>
      </c>
      <c r="L25" s="163">
        <f>[12]FINANCIALS!U$14+[12]FINANCIALS!U$16+[12]FINANCIALS!U$24</f>
        <v>2340.8942929769996</v>
      </c>
      <c r="M25" s="163">
        <f>[12]FINANCIALS!V$14+[12]FINANCIALS!V$16+[12]FINANCIALS!V$24</f>
        <v>2399.9431388873786</v>
      </c>
      <c r="N25" s="163">
        <f>[12]FINANCIALS!W$14+[12]FINANCIALS!W$16+[12]FINANCIALS!W$24</f>
        <v>2460.5863036373376</v>
      </c>
      <c r="O25" s="163">
        <f>[12]FINANCIALS!X$14+[12]FINANCIALS!X$16+[12]FINANCIALS!X$24</f>
        <v>2522.8668338355455</v>
      </c>
      <c r="P25" s="163">
        <f>[12]FINANCIALS!Y$14+[12]FINANCIALS!Y$16+[12]FINANCIALS!Y$24</f>
        <v>2589.1979051829408</v>
      </c>
      <c r="Q25" s="163">
        <f>[12]FINANCIALS!Z$14+[12]FINANCIALS!Z$16+[12]FINANCIALS!Z$24</f>
        <v>2657.3862465280631</v>
      </c>
      <c r="R25" s="163">
        <f>[12]FINANCIALS!AA$14+[12]FINANCIALS!AA$16+[12]FINANCIALS!AA$24</f>
        <v>2727.4838614308487</v>
      </c>
      <c r="S25" s="163">
        <f>[12]FINANCIALS!AB$14+[12]FINANCIALS!AB$16+[12]FINANCIALS!AB$24</f>
        <v>2799.5442095509125</v>
      </c>
      <c r="T25" s="163">
        <f>[12]FINANCIALS!AC$14+[12]FINANCIALS!AC$16+[12]FINANCIALS!AC$24</f>
        <v>2875.2179552007242</v>
      </c>
      <c r="U25" s="163">
        <f>[12]FINANCIALS!AD$14+[12]FINANCIALS!AD$16+[12]FINANCIALS!AD$24</f>
        <v>2954.2184704350971</v>
      </c>
      <c r="V25" s="163">
        <f>[12]FINANCIALS!AE$14+[12]FINANCIALS!AE$16+[12]FINANCIALS!AE$24</f>
        <v>3035.4310000960327</v>
      </c>
      <c r="W25" s="163">
        <f>[12]FINANCIALS!AF$14+[12]FINANCIALS!AF$16+[12]FINANCIALS!AF$24</f>
        <v>3118.9174805874745</v>
      </c>
      <c r="X25" s="163">
        <f>[12]FINANCIALS!AG$14+[12]FINANCIALS!AG$16+[12]FINANCIALS!AG$24</f>
        <v>3204.7415825326766</v>
      </c>
      <c r="Y25" s="163">
        <f>[12]FINANCIALS!AH$14+[12]FINANCIALS!AH$16+[12]FINANCIALS!AH$24</f>
        <v>3292.9687593323442</v>
      </c>
      <c r="AA25" s="355">
        <f t="shared" si="1"/>
        <v>52077.208891214366</v>
      </c>
      <c r="AB25" s="356">
        <f t="shared" si="2"/>
        <v>26038.604445607183</v>
      </c>
    </row>
    <row r="26" spans="1:28">
      <c r="A26" s="4" t="s">
        <v>16</v>
      </c>
      <c r="D26" s="86">
        <v>0</v>
      </c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AA26" s="355">
        <f t="shared" si="1"/>
        <v>0</v>
      </c>
      <c r="AB26" s="356">
        <f t="shared" si="2"/>
        <v>0</v>
      </c>
    </row>
    <row r="27" spans="1:28">
      <c r="A27" s="4" t="s">
        <v>37</v>
      </c>
      <c r="D27" s="86">
        <v>0</v>
      </c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AA27" s="355">
        <f t="shared" si="1"/>
        <v>0</v>
      </c>
      <c r="AB27" s="356">
        <f t="shared" si="2"/>
        <v>0</v>
      </c>
    </row>
    <row r="28" spans="1:28">
      <c r="A28" s="4" t="s">
        <v>2</v>
      </c>
      <c r="D28" s="86">
        <v>0</v>
      </c>
      <c r="E28" s="163">
        <f>[12]FINANCIALS!N$18</f>
        <v>168</v>
      </c>
      <c r="F28" s="163">
        <f>[12]FINANCIALS!O$18</f>
        <v>172</v>
      </c>
      <c r="G28" s="163">
        <f>[12]FINANCIALS!P$18</f>
        <v>176</v>
      </c>
      <c r="H28" s="163">
        <f>[12]FINANCIALS!Q$18</f>
        <v>180</v>
      </c>
      <c r="I28" s="163">
        <f>[12]FINANCIALS!R$18</f>
        <v>180</v>
      </c>
      <c r="J28" s="163">
        <f>[12]FINANCIALS!S$18</f>
        <v>184.85999999999999</v>
      </c>
      <c r="K28" s="163">
        <f>[12]FINANCIALS!T$18</f>
        <v>189.85121999999996</v>
      </c>
      <c r="L28" s="163">
        <f>[12]FINANCIALS!U$18</f>
        <v>194.97720293999993</v>
      </c>
      <c r="M28" s="163">
        <f>[12]FINANCIALS!V$18</f>
        <v>200.2415874193799</v>
      </c>
      <c r="N28" s="163">
        <f>[12]FINANCIALS!W$18</f>
        <v>205.64811027970313</v>
      </c>
      <c r="O28" s="163">
        <f>[12]FINANCIALS!X$18</f>
        <v>211.20060925725511</v>
      </c>
      <c r="P28" s="163">
        <f>[12]FINANCIALS!Y$18</f>
        <v>217.11422631645826</v>
      </c>
      <c r="Q28" s="163">
        <f>[12]FINANCIALS!Z$18</f>
        <v>223.19342465331908</v>
      </c>
      <c r="R28" s="163">
        <f>[12]FINANCIALS!AA$18</f>
        <v>229.44284054361202</v>
      </c>
      <c r="S28" s="163">
        <f>[12]FINANCIALS!AB$18</f>
        <v>235.86724007883316</v>
      </c>
      <c r="T28" s="163">
        <f>[12]FINANCIALS!AC$18</f>
        <v>242.47152280104049</v>
      </c>
      <c r="U28" s="163">
        <f>[12]FINANCIALS!AD$18</f>
        <v>249.26072543946964</v>
      </c>
      <c r="V28" s="163">
        <f>[12]FINANCIALS!AE$18</f>
        <v>256.24002575177479</v>
      </c>
      <c r="W28" s="163">
        <f>[12]FINANCIALS!AF$18</f>
        <v>263.4147464728245</v>
      </c>
      <c r="X28" s="163">
        <f>[12]FINANCIALS!AG$18</f>
        <v>270.7903593740636</v>
      </c>
      <c r="Y28" s="163">
        <f>[12]FINANCIALS!AH$18</f>
        <v>278.37248943653736</v>
      </c>
      <c r="AA28" s="355">
        <f t="shared" si="1"/>
        <v>4360.9463307642709</v>
      </c>
      <c r="AB28" s="356">
        <f t="shared" si="2"/>
        <v>2180.4731653821354</v>
      </c>
    </row>
    <row r="29" spans="1:28">
      <c r="A29" s="4" t="s">
        <v>3</v>
      </c>
      <c r="D29" s="86">
        <v>0</v>
      </c>
      <c r="E29" s="163">
        <f>[12]FINANCIALS!N$19+[12]FINANCIALS!N$20+[12]FINANCIALS!N$22</f>
        <v>182</v>
      </c>
      <c r="F29" s="163">
        <f>[12]FINANCIALS!O$19+[12]FINANCIALS!O$20+[12]FINANCIALS!O$22</f>
        <v>323</v>
      </c>
      <c r="G29" s="163">
        <f>[12]FINANCIALS!P$19+[12]FINANCIALS!P$20+[12]FINANCIALS!P$22</f>
        <v>186</v>
      </c>
      <c r="H29" s="163">
        <f>[12]FINANCIALS!Q$19+[12]FINANCIALS!Q$20+[12]FINANCIALS!Q$22</f>
        <v>190</v>
      </c>
      <c r="I29" s="163">
        <f>[12]FINANCIALS!R$19+[12]FINANCIALS!R$20+[12]FINANCIALS!R$22</f>
        <v>193</v>
      </c>
      <c r="J29" s="163">
        <f>[12]FINANCIALS!S$19+[12]FINANCIALS!S$20+[12]FINANCIALS!S$22</f>
        <v>121.18599999999999</v>
      </c>
      <c r="K29" s="163">
        <f>[12]FINANCIALS!T$19+[12]FINANCIALS!T$20+[12]FINANCIALS!T$22</f>
        <v>124.45802199999999</v>
      </c>
      <c r="L29" s="163">
        <f>[12]FINANCIALS!U$19+[12]FINANCIALS!U$20+[12]FINANCIALS!U$22</f>
        <v>127.81838859399997</v>
      </c>
      <c r="M29" s="163">
        <f>[12]FINANCIALS!V$19+[12]FINANCIALS!V$20+[12]FINANCIALS!V$22</f>
        <v>131.26948508603795</v>
      </c>
      <c r="N29" s="163">
        <f>[12]FINANCIALS!W$19+[12]FINANCIALS!W$20+[12]FINANCIALS!W$22</f>
        <v>134.81376118336095</v>
      </c>
      <c r="O29" s="163">
        <f>[12]FINANCIALS!X$19+[12]FINANCIALS!X$20+[12]FINANCIALS!X$22</f>
        <v>138.45373273531169</v>
      </c>
      <c r="P29" s="163">
        <f>[12]FINANCIALS!Y$19+[12]FINANCIALS!Y$20+[12]FINANCIALS!Y$22</f>
        <v>142.33043725190041</v>
      </c>
      <c r="Q29" s="163">
        <f>[12]FINANCIALS!Z$19+[12]FINANCIALS!Z$20+[12]FINANCIALS!Z$22</f>
        <v>146.31568949495363</v>
      </c>
      <c r="R29" s="163">
        <f>[12]FINANCIALS!AA$19+[12]FINANCIALS!AA$20+[12]FINANCIALS!AA$22</f>
        <v>150.41252880081234</v>
      </c>
      <c r="S29" s="163">
        <f>[12]FINANCIALS!AB$19+[12]FINANCIALS!AB$20+[12]FINANCIALS!AB$22</f>
        <v>154.62407960723507</v>
      </c>
      <c r="T29" s="163">
        <f>[12]FINANCIALS!AC$19+[12]FINANCIALS!AC$20+[12]FINANCIALS!AC$22</f>
        <v>158.95355383623766</v>
      </c>
      <c r="U29" s="163">
        <f>[12]FINANCIALS!AD$19+[12]FINANCIALS!AD$20+[12]FINANCIALS!AD$22</f>
        <v>163.40425334365233</v>
      </c>
      <c r="V29" s="163">
        <f>[12]FINANCIALS!AE$19+[12]FINANCIALS!AE$20+[12]FINANCIALS!AE$22</f>
        <v>167.97957243727458</v>
      </c>
      <c r="W29" s="163">
        <f>[12]FINANCIALS!AF$19+[12]FINANCIALS!AF$20+[12]FINANCIALS!AF$22</f>
        <v>172.68300046551829</v>
      </c>
      <c r="X29" s="163">
        <f>[12]FINANCIALS!AG$19+[12]FINANCIALS!AG$20+[12]FINANCIALS!AG$22</f>
        <v>177.51812447855281</v>
      </c>
      <c r="Y29" s="163">
        <f>[12]FINANCIALS!AH$19+[12]FINANCIALS!AH$20+[12]FINANCIALS!AH$22</f>
        <v>182.48863196395229</v>
      </c>
      <c r="AA29" s="355">
        <f t="shared" si="1"/>
        <v>3286.7092612788001</v>
      </c>
      <c r="AB29" s="356">
        <f t="shared" si="2"/>
        <v>1643.3546306394001</v>
      </c>
    </row>
    <row r="30" spans="1:28">
      <c r="A30" s="4" t="s">
        <v>38</v>
      </c>
      <c r="D30" s="86">
        <v>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AA30" s="355">
        <f t="shared" si="1"/>
        <v>0</v>
      </c>
      <c r="AB30" s="356">
        <f t="shared" si="2"/>
        <v>0</v>
      </c>
    </row>
    <row r="31" spans="1:28">
      <c r="A31" s="4" t="s">
        <v>33</v>
      </c>
      <c r="D31" s="86">
        <v>0</v>
      </c>
      <c r="E31" s="163">
        <f>[12]FINANCIALS!N$15</f>
        <v>544</v>
      </c>
      <c r="F31" s="163">
        <f>[12]FINANCIALS!O$15</f>
        <v>522</v>
      </c>
      <c r="G31" s="163">
        <f>[12]FINANCIALS!P$15</f>
        <v>483</v>
      </c>
      <c r="H31" s="163">
        <f>[12]FINANCIALS!Q$15</f>
        <v>459</v>
      </c>
      <c r="I31" s="163">
        <f>[12]FINANCIALS!R$15</f>
        <v>416</v>
      </c>
      <c r="J31" s="163">
        <f>[12]FINANCIALS!S$15</f>
        <v>200.12879699999996</v>
      </c>
      <c r="K31" s="163">
        <f>[12]FINANCIALS!T$15</f>
        <v>200.12879699999996</v>
      </c>
      <c r="L31" s="163">
        <f>[12]FINANCIALS!U$15</f>
        <v>200.12879699999996</v>
      </c>
      <c r="M31" s="163">
        <f>[12]FINANCIALS!V$15</f>
        <v>200.12879699999996</v>
      </c>
      <c r="N31" s="163">
        <f>[12]FINANCIALS!W$15</f>
        <v>200.12879699999996</v>
      </c>
      <c r="O31" s="163">
        <f>[12]FINANCIALS!X$15</f>
        <v>200.12879699999996</v>
      </c>
      <c r="P31" s="163">
        <f>[12]FINANCIALS!Y$15</f>
        <v>200.12879699999996</v>
      </c>
      <c r="Q31" s="163">
        <f>[12]FINANCIALS!Z$15</f>
        <v>200.12879699999996</v>
      </c>
      <c r="R31" s="163">
        <f>[12]FINANCIALS!AA$15</f>
        <v>200.12879699999996</v>
      </c>
      <c r="S31" s="163">
        <f>[12]FINANCIALS!AB$15</f>
        <v>200.12879699999996</v>
      </c>
      <c r="T31" s="163">
        <f>[12]FINANCIALS!AC$15</f>
        <v>200.12879699999996</v>
      </c>
      <c r="U31" s="163">
        <f>[12]FINANCIALS!AD$15</f>
        <v>200.12879699999996</v>
      </c>
      <c r="V31" s="163">
        <f>[12]FINANCIALS!AE$15</f>
        <v>200.12879699999996</v>
      </c>
      <c r="W31" s="163">
        <f>[12]FINANCIALS!AF$15</f>
        <v>200.12879699999996</v>
      </c>
      <c r="X31" s="163">
        <f>[12]FINANCIALS!AG$15</f>
        <v>200.12879699999996</v>
      </c>
      <c r="Y31" s="163">
        <f>[12]FINANCIALS!AH$15</f>
        <v>200.12879699999996</v>
      </c>
      <c r="AA31" s="355">
        <f t="shared" si="1"/>
        <v>5082.0607519999994</v>
      </c>
      <c r="AB31" s="356">
        <f t="shared" si="2"/>
        <v>2541.0303759999997</v>
      </c>
    </row>
    <row r="32" spans="1:28">
      <c r="A32" s="4" t="s">
        <v>34</v>
      </c>
      <c r="D32" s="86">
        <v>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AA32" s="355">
        <f t="shared" si="1"/>
        <v>0</v>
      </c>
      <c r="AB32" s="356">
        <f t="shared" si="2"/>
        <v>0</v>
      </c>
    </row>
    <row r="33" spans="1:28">
      <c r="A33" s="4" t="s">
        <v>17</v>
      </c>
      <c r="D33" s="86">
        <v>0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AA33" s="355">
        <f t="shared" si="1"/>
        <v>0</v>
      </c>
      <c r="AB33" s="356">
        <f t="shared" si="2"/>
        <v>0</v>
      </c>
    </row>
    <row r="34" spans="1:28">
      <c r="A34" s="4" t="s">
        <v>18</v>
      </c>
      <c r="D34" s="86">
        <v>0</v>
      </c>
      <c r="E34" s="163">
        <f>[12]FINANCIALS!N$21</f>
        <v>300</v>
      </c>
      <c r="F34" s="163">
        <f>[12]FINANCIALS!O$21</f>
        <v>307</v>
      </c>
      <c r="G34" s="163">
        <f>[12]FINANCIALS!P$21</f>
        <v>314</v>
      </c>
      <c r="H34" s="163">
        <f>[12]FINANCIALS!Q$21</f>
        <v>321</v>
      </c>
      <c r="I34" s="163">
        <f>[12]FINANCIALS!R$21</f>
        <v>329</v>
      </c>
      <c r="J34" s="163">
        <f>[12]FINANCIALS!S$21</f>
        <v>337.88299999999998</v>
      </c>
      <c r="K34" s="163">
        <f>[12]FINANCIALS!T$21</f>
        <v>347.00584099999998</v>
      </c>
      <c r="L34" s="163">
        <f>[12]FINANCIALS!U$21</f>
        <v>356.37499870699992</v>
      </c>
      <c r="M34" s="163">
        <f>[12]FINANCIALS!V$21</f>
        <v>365.99712367208889</v>
      </c>
      <c r="N34" s="163">
        <f>[12]FINANCIALS!W$21</f>
        <v>375.87904601123523</v>
      </c>
      <c r="O34" s="163">
        <f>[12]FINANCIALS!X$21</f>
        <v>386.02778025353854</v>
      </c>
      <c r="P34" s="163">
        <f>[12]FINANCIALS!Y$21</f>
        <v>396.8365581006376</v>
      </c>
      <c r="Q34" s="163">
        <f>[12]FINANCIALS!Z$21</f>
        <v>407.94798172745544</v>
      </c>
      <c r="R34" s="163">
        <f>[12]FINANCIALS!AA$21</f>
        <v>419.37052521582422</v>
      </c>
      <c r="S34" s="163">
        <f>[12]FINANCIALS!AB$21</f>
        <v>431.11289992186732</v>
      </c>
      <c r="T34" s="163">
        <f>[12]FINANCIALS!AC$21</f>
        <v>443.1840611196796</v>
      </c>
      <c r="U34" s="163">
        <f>[12]FINANCIALS!AD$21</f>
        <v>455.59321483103065</v>
      </c>
      <c r="V34" s="163">
        <f>[12]FINANCIALS!AE$21</f>
        <v>468.3498248462995</v>
      </c>
      <c r="W34" s="163">
        <f>[12]FINANCIALS!AF$21</f>
        <v>481.46361994199589</v>
      </c>
      <c r="X34" s="163">
        <f>[12]FINANCIALS!AG$21</f>
        <v>494.9446013003718</v>
      </c>
      <c r="Y34" s="163">
        <f>[12]FINANCIALS!AH$21</f>
        <v>508.80305013678225</v>
      </c>
      <c r="AA34" s="355">
        <f t="shared" si="1"/>
        <v>7947.7741267858046</v>
      </c>
      <c r="AB34" s="356">
        <f t="shared" si="2"/>
        <v>3973.8870633929023</v>
      </c>
    </row>
    <row r="35" spans="1:28">
      <c r="A35" s="4" t="s">
        <v>19</v>
      </c>
      <c r="B35" s="6"/>
      <c r="C35" s="6"/>
      <c r="D35" s="87">
        <v>0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AA35" s="355">
        <f t="shared" si="1"/>
        <v>0</v>
      </c>
      <c r="AB35" s="356">
        <f t="shared" si="2"/>
        <v>0</v>
      </c>
    </row>
    <row r="36" spans="1:28">
      <c r="A36" s="4" t="s">
        <v>20</v>
      </c>
      <c r="B36" s="6"/>
      <c r="C36" s="6"/>
      <c r="D36" s="86"/>
      <c r="E36" s="86">
        <f t="shared" ref="E36:Y36" si="5">SUM(E24:E35)</f>
        <v>3750</v>
      </c>
      <c r="F36" s="86">
        <f t="shared" si="5"/>
        <v>3580</v>
      </c>
      <c r="G36" s="86">
        <f t="shared" si="5"/>
        <v>3211</v>
      </c>
      <c r="H36" s="86">
        <f t="shared" si="5"/>
        <v>3294</v>
      </c>
      <c r="I36" s="86">
        <f t="shared" si="5"/>
        <v>3253</v>
      </c>
      <c r="J36" s="86">
        <f t="shared" si="5"/>
        <v>3071.4707969999999</v>
      </c>
      <c r="K36" s="86">
        <f t="shared" si="5"/>
        <v>3144.8417309999995</v>
      </c>
      <c r="L36" s="86">
        <f t="shared" si="5"/>
        <v>3220.1936802179994</v>
      </c>
      <c r="M36" s="86">
        <f t="shared" si="5"/>
        <v>3297.5801320648852</v>
      </c>
      <c r="N36" s="86">
        <f t="shared" si="5"/>
        <v>3377.0560181116371</v>
      </c>
      <c r="O36" s="86">
        <f t="shared" si="5"/>
        <v>3458.6777530816507</v>
      </c>
      <c r="P36" s="86">
        <f t="shared" si="5"/>
        <v>3545.6079238519369</v>
      </c>
      <c r="Q36" s="86">
        <f t="shared" si="5"/>
        <v>3634.9721394037915</v>
      </c>
      <c r="R36" s="86">
        <f t="shared" si="5"/>
        <v>3726.838552991097</v>
      </c>
      <c r="S36" s="86">
        <f t="shared" si="5"/>
        <v>3821.277226158848</v>
      </c>
      <c r="T36" s="86">
        <f t="shared" si="5"/>
        <v>3919.9558899576814</v>
      </c>
      <c r="U36" s="86">
        <f t="shared" si="5"/>
        <v>4022.6054610492497</v>
      </c>
      <c r="V36" s="86">
        <f t="shared" si="5"/>
        <v>4128.1292201313818</v>
      </c>
      <c r="W36" s="86">
        <f t="shared" si="5"/>
        <v>4236.6076444678129</v>
      </c>
      <c r="X36" s="86">
        <f t="shared" si="5"/>
        <v>4348.1234646856647</v>
      </c>
      <c r="Y36" s="86">
        <f t="shared" si="5"/>
        <v>4462.7617278696162</v>
      </c>
      <c r="AA36" s="355">
        <f t="shared" si="1"/>
        <v>72754.699362043248</v>
      </c>
      <c r="AB36" s="356">
        <f t="shared" si="2"/>
        <v>36377.349681021624</v>
      </c>
    </row>
    <row r="37" spans="1:28" outlineLevel="1">
      <c r="A37" s="4"/>
      <c r="B37" s="92"/>
      <c r="C37" s="92"/>
      <c r="D37" s="86"/>
      <c r="E37" s="416">
        <f>E36/E20</f>
        <v>9.7788672160216958E-2</v>
      </c>
      <c r="F37" s="416">
        <f t="shared" ref="F37:Y37" si="6">F36/F20</f>
        <v>0.15362169584620666</v>
      </c>
      <c r="G37" s="416">
        <f t="shared" si="6"/>
        <v>0.30578040186648892</v>
      </c>
      <c r="H37" s="416">
        <f t="shared" si="6"/>
        <v>0.30920867361306675</v>
      </c>
      <c r="I37" s="416">
        <f t="shared" si="6"/>
        <v>0.30109218807848948</v>
      </c>
      <c r="J37" s="416">
        <f t="shared" si="6"/>
        <v>0.24079621474746063</v>
      </c>
      <c r="K37" s="416">
        <f t="shared" si="6"/>
        <v>0.2366349401039862</v>
      </c>
      <c r="L37" s="416">
        <f t="shared" si="6"/>
        <v>0.2375294545969095</v>
      </c>
      <c r="M37" s="416">
        <f t="shared" si="6"/>
        <v>0.23933859566896898</v>
      </c>
      <c r="N37" s="416">
        <f t="shared" si="6"/>
        <v>0.24113719045690804</v>
      </c>
      <c r="O37" s="416">
        <f t="shared" si="6"/>
        <v>0.24292469833757627</v>
      </c>
      <c r="P37" s="416">
        <f t="shared" si="6"/>
        <v>0.2447652405311089</v>
      </c>
      <c r="Q37" s="416">
        <f t="shared" si="6"/>
        <v>0.24659273686807576</v>
      </c>
      <c r="R37" s="416">
        <f t="shared" si="6"/>
        <v>0.2484066363243565</v>
      </c>
      <c r="S37" s="416">
        <f t="shared" si="6"/>
        <v>0.25020640633215191</v>
      </c>
      <c r="T37" s="416">
        <f t="shared" si="6"/>
        <v>0.25209415397134971</v>
      </c>
      <c r="U37" s="416">
        <f t="shared" si="6"/>
        <v>0.25404217771352983</v>
      </c>
      <c r="V37" s="416">
        <f t="shared" si="6"/>
        <v>0.25597301943277173</v>
      </c>
      <c r="W37" s="416">
        <f t="shared" si="6"/>
        <v>0.25788617912659639</v>
      </c>
      <c r="X37" s="416">
        <f t="shared" si="6"/>
        <v>0.25978117926391009</v>
      </c>
      <c r="Y37" s="416">
        <f t="shared" si="6"/>
        <v>0.26165756504773918</v>
      </c>
      <c r="AA37" s="355">
        <f t="shared" si="1"/>
        <v>5.0394693479276516</v>
      </c>
      <c r="AB37" s="356">
        <f t="shared" si="2"/>
        <v>2.5197346739638258</v>
      </c>
    </row>
    <row r="38" spans="1:28" ht="6.75" customHeight="1">
      <c r="A38" s="4"/>
      <c r="D38" s="86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355">
        <f t="shared" si="1"/>
        <v>0</v>
      </c>
      <c r="AB38" s="356">
        <f t="shared" si="2"/>
        <v>0</v>
      </c>
    </row>
    <row r="39" spans="1:28" s="17" customFormat="1">
      <c r="A39" s="1" t="s">
        <v>21</v>
      </c>
      <c r="B39" s="1"/>
      <c r="C39" s="1"/>
      <c r="D39" s="89"/>
      <c r="E39" s="89">
        <f t="shared" ref="E39:Y39" si="7">E20-E36</f>
        <v>34598</v>
      </c>
      <c r="F39" s="89">
        <f t="shared" si="7"/>
        <v>19724</v>
      </c>
      <c r="G39" s="89">
        <f t="shared" si="7"/>
        <v>7290</v>
      </c>
      <c r="H39" s="89">
        <f t="shared" si="7"/>
        <v>7359</v>
      </c>
      <c r="I39" s="89">
        <f t="shared" si="7"/>
        <v>7551</v>
      </c>
      <c r="J39" s="89">
        <f t="shared" si="7"/>
        <v>9684.0071087522156</v>
      </c>
      <c r="K39" s="89">
        <f t="shared" si="7"/>
        <v>10145.003503258471</v>
      </c>
      <c r="L39" s="89">
        <f t="shared" si="7"/>
        <v>10336.835218293594</v>
      </c>
      <c r="M39" s="89">
        <f t="shared" si="7"/>
        <v>10480.306893836248</v>
      </c>
      <c r="N39" s="89">
        <f t="shared" si="7"/>
        <v>10627.652304618561</v>
      </c>
      <c r="O39" s="89">
        <f t="shared" si="7"/>
        <v>10778.976041491995</v>
      </c>
      <c r="P39" s="89">
        <f t="shared" si="7"/>
        <v>10940.14142584505</v>
      </c>
      <c r="Q39" s="89">
        <f t="shared" si="7"/>
        <v>11105.819440959986</v>
      </c>
      <c r="R39" s="89">
        <f t="shared" si="7"/>
        <v>11276.136440498145</v>
      </c>
      <c r="S39" s="89">
        <f t="shared" si="7"/>
        <v>11451.22231602337</v>
      </c>
      <c r="T39" s="89">
        <f t="shared" si="7"/>
        <v>11629.614888280918</v>
      </c>
      <c r="U39" s="89">
        <f t="shared" si="7"/>
        <v>11811.794547855308</v>
      </c>
      <c r="V39" s="89">
        <f t="shared" si="7"/>
        <v>11999.075237897781</v>
      </c>
      <c r="W39" s="89">
        <f t="shared" si="7"/>
        <v>12191.599787261444</v>
      </c>
      <c r="X39" s="89">
        <f t="shared" si="7"/>
        <v>12389.515024007287</v>
      </c>
      <c r="Y39" s="89">
        <f t="shared" si="7"/>
        <v>12592.971887382017</v>
      </c>
      <c r="AA39" s="355">
        <f>SUM(F39:Y39)</f>
        <v>221364.6720662624</v>
      </c>
      <c r="AB39" s="356">
        <f t="shared" si="2"/>
        <v>110682.3360331312</v>
      </c>
    </row>
    <row r="40" spans="1:28" s="17" customFormat="1">
      <c r="A40" s="1"/>
      <c r="B40" s="1"/>
      <c r="C40" s="1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AA40" s="355">
        <f t="shared" ref="AA40:AA103" si="8">SUM(F40:Y40)</f>
        <v>0</v>
      </c>
      <c r="AB40" s="356">
        <f t="shared" si="2"/>
        <v>0</v>
      </c>
    </row>
    <row r="41" spans="1:28">
      <c r="A41" s="4" t="s">
        <v>22</v>
      </c>
      <c r="D41" s="86"/>
      <c r="E41" s="86">
        <v>0</v>
      </c>
      <c r="F41" s="86">
        <f>+F109</f>
        <v>4309</v>
      </c>
      <c r="G41" s="86">
        <f t="shared" ref="G41:Y41" si="9">+G109</f>
        <v>4309</v>
      </c>
      <c r="H41" s="86">
        <f t="shared" si="9"/>
        <v>4309</v>
      </c>
      <c r="I41" s="86">
        <f t="shared" si="9"/>
        <v>4309</v>
      </c>
      <c r="J41" s="86">
        <f t="shared" si="9"/>
        <v>4309</v>
      </c>
      <c r="K41" s="86">
        <f t="shared" si="9"/>
        <v>4309</v>
      </c>
      <c r="L41" s="86">
        <f t="shared" si="9"/>
        <v>4309</v>
      </c>
      <c r="M41" s="86">
        <f t="shared" si="9"/>
        <v>4309</v>
      </c>
      <c r="N41" s="86">
        <f t="shared" si="9"/>
        <v>4309</v>
      </c>
      <c r="O41" s="86">
        <f t="shared" si="9"/>
        <v>4309</v>
      </c>
      <c r="P41" s="86">
        <f t="shared" si="9"/>
        <v>4309</v>
      </c>
      <c r="Q41" s="86">
        <f t="shared" si="9"/>
        <v>4309</v>
      </c>
      <c r="R41" s="86">
        <f t="shared" si="9"/>
        <v>4309</v>
      </c>
      <c r="S41" s="86">
        <f t="shared" si="9"/>
        <v>4309</v>
      </c>
      <c r="T41" s="86">
        <f t="shared" si="9"/>
        <v>4309</v>
      </c>
      <c r="U41" s="86">
        <f t="shared" si="9"/>
        <v>4309</v>
      </c>
      <c r="V41" s="86">
        <f t="shared" si="9"/>
        <v>4309</v>
      </c>
      <c r="W41" s="86">
        <f t="shared" si="9"/>
        <v>4309</v>
      </c>
      <c r="X41" s="86">
        <f t="shared" si="9"/>
        <v>4309</v>
      </c>
      <c r="Y41" s="86">
        <f t="shared" si="9"/>
        <v>4309</v>
      </c>
      <c r="AA41" s="355">
        <f t="shared" si="8"/>
        <v>86180</v>
      </c>
      <c r="AB41" s="356">
        <f t="shared" si="2"/>
        <v>43090</v>
      </c>
    </row>
    <row r="42" spans="1:28">
      <c r="A42" s="4"/>
      <c r="D42" s="86"/>
      <c r="E42" s="86"/>
      <c r="F42" s="86"/>
      <c r="G42" s="51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AA42" s="355">
        <f t="shared" si="8"/>
        <v>0</v>
      </c>
      <c r="AB42" s="356">
        <f t="shared" si="2"/>
        <v>0</v>
      </c>
    </row>
    <row r="43" spans="1:28" ht="7.5" customHeight="1">
      <c r="A43" s="4"/>
      <c r="D43" s="86"/>
      <c r="E43" s="86"/>
      <c r="F43" s="86"/>
      <c r="G43" s="51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355">
        <f t="shared" si="8"/>
        <v>0</v>
      </c>
      <c r="AB43" s="356">
        <f t="shared" si="2"/>
        <v>0</v>
      </c>
    </row>
    <row r="44" spans="1:28" s="17" customFormat="1">
      <c r="A44" s="1" t="s">
        <v>23</v>
      </c>
      <c r="B44" s="1"/>
      <c r="C44" s="1"/>
      <c r="D44" s="89"/>
      <c r="E44" s="89">
        <f t="shared" ref="E44:Y44" si="10">E39-E41</f>
        <v>34598</v>
      </c>
      <c r="F44" s="89">
        <f t="shared" si="10"/>
        <v>15415</v>
      </c>
      <c r="G44" s="89">
        <f t="shared" si="10"/>
        <v>2981</v>
      </c>
      <c r="H44" s="89">
        <f t="shared" si="10"/>
        <v>3050</v>
      </c>
      <c r="I44" s="89">
        <f t="shared" si="10"/>
        <v>3242</v>
      </c>
      <c r="J44" s="89">
        <f t="shared" si="10"/>
        <v>5375.0071087522156</v>
      </c>
      <c r="K44" s="89">
        <f t="shared" si="10"/>
        <v>5836.003503258471</v>
      </c>
      <c r="L44" s="89">
        <f t="shared" si="10"/>
        <v>6027.8352182935942</v>
      </c>
      <c r="M44" s="89">
        <f t="shared" si="10"/>
        <v>6171.3068938362485</v>
      </c>
      <c r="N44" s="89">
        <f t="shared" si="10"/>
        <v>6318.6523046185612</v>
      </c>
      <c r="O44" s="89">
        <f t="shared" si="10"/>
        <v>6469.9760414919947</v>
      </c>
      <c r="P44" s="89">
        <f t="shared" si="10"/>
        <v>6631.1414258450495</v>
      </c>
      <c r="Q44" s="89">
        <f t="shared" si="10"/>
        <v>6796.8194409599855</v>
      </c>
      <c r="R44" s="89">
        <f t="shared" si="10"/>
        <v>6967.136440498145</v>
      </c>
      <c r="S44" s="89">
        <f t="shared" si="10"/>
        <v>7142.2223160233698</v>
      </c>
      <c r="T44" s="89">
        <f t="shared" si="10"/>
        <v>7320.6148882809175</v>
      </c>
      <c r="U44" s="89">
        <f t="shared" si="10"/>
        <v>7502.7945478553083</v>
      </c>
      <c r="V44" s="89">
        <f t="shared" si="10"/>
        <v>7690.0752378977813</v>
      </c>
      <c r="W44" s="89">
        <f t="shared" si="10"/>
        <v>7882.5997872614444</v>
      </c>
      <c r="X44" s="89">
        <f t="shared" si="10"/>
        <v>8080.5150240072871</v>
      </c>
      <c r="Y44" s="89">
        <f t="shared" si="10"/>
        <v>8283.9718873820166</v>
      </c>
      <c r="AA44" s="355">
        <f t="shared" si="8"/>
        <v>135184.67206626237</v>
      </c>
      <c r="AB44" s="356">
        <f t="shared" si="2"/>
        <v>67592.336033131185</v>
      </c>
    </row>
    <row r="45" spans="1:28" s="17" customFormat="1">
      <c r="A45" s="1"/>
      <c r="B45" s="1"/>
      <c r="C45" s="1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AA45" s="355">
        <f t="shared" si="8"/>
        <v>0</v>
      </c>
      <c r="AB45" s="356">
        <f t="shared" si="2"/>
        <v>0</v>
      </c>
    </row>
    <row r="46" spans="1:28">
      <c r="A46" s="5" t="s">
        <v>24</v>
      </c>
      <c r="B46" s="21">
        <v>0</v>
      </c>
      <c r="C46" s="21"/>
      <c r="D46" s="388" t="s">
        <v>140</v>
      </c>
      <c r="E46" s="387">
        <f>E39*$C$60*0.5</f>
        <v>8649.5</v>
      </c>
      <c r="F46" s="387">
        <f t="shared" ref="F46:Y46" si="11">F39*$C$60*0.5</f>
        <v>4931</v>
      </c>
      <c r="G46" s="387">
        <f t="shared" si="11"/>
        <v>1822.5</v>
      </c>
      <c r="H46" s="387">
        <f t="shared" si="11"/>
        <v>1839.75</v>
      </c>
      <c r="I46" s="387">
        <f t="shared" si="11"/>
        <v>1887.75</v>
      </c>
      <c r="J46" s="387">
        <f t="shared" si="11"/>
        <v>2421.0017771880539</v>
      </c>
      <c r="K46" s="387">
        <f t="shared" si="11"/>
        <v>2536.2508758146178</v>
      </c>
      <c r="L46" s="387">
        <f t="shared" si="11"/>
        <v>2584.2088045733985</v>
      </c>
      <c r="M46" s="387">
        <f t="shared" si="11"/>
        <v>2620.0767234590621</v>
      </c>
      <c r="N46" s="387">
        <f t="shared" si="11"/>
        <v>2656.9130761546403</v>
      </c>
      <c r="O46" s="387">
        <f t="shared" si="11"/>
        <v>2694.7440103729987</v>
      </c>
      <c r="P46" s="387">
        <f t="shared" si="11"/>
        <v>2735.0353564612624</v>
      </c>
      <c r="Q46" s="387">
        <f t="shared" si="11"/>
        <v>2776.4548602399964</v>
      </c>
      <c r="R46" s="387">
        <f t="shared" si="11"/>
        <v>2819.0341101245363</v>
      </c>
      <c r="S46" s="387">
        <f t="shared" si="11"/>
        <v>2862.8055790058424</v>
      </c>
      <c r="T46" s="387">
        <f t="shared" si="11"/>
        <v>2907.4037220702294</v>
      </c>
      <c r="U46" s="387">
        <f t="shared" si="11"/>
        <v>2952.9486369638271</v>
      </c>
      <c r="V46" s="387">
        <f t="shared" si="11"/>
        <v>2999.7688094744453</v>
      </c>
      <c r="W46" s="387">
        <f t="shared" si="11"/>
        <v>3047.8999468153611</v>
      </c>
      <c r="X46" s="387">
        <f t="shared" si="11"/>
        <v>3097.3787560018218</v>
      </c>
      <c r="Y46" s="387">
        <f t="shared" si="11"/>
        <v>3148.2429718455041</v>
      </c>
      <c r="AA46" s="355">
        <f t="shared" si="8"/>
        <v>55341.1680165656</v>
      </c>
      <c r="AB46" s="356">
        <f t="shared" si="2"/>
        <v>27670.5840082828</v>
      </c>
    </row>
    <row r="47" spans="1:28" ht="6" customHeight="1">
      <c r="D47" s="86"/>
      <c r="E47" s="25"/>
      <c r="F47" s="25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355">
        <f t="shared" si="8"/>
        <v>0</v>
      </c>
      <c r="AB47" s="356">
        <f t="shared" si="2"/>
        <v>0</v>
      </c>
    </row>
    <row r="48" spans="1:28" ht="6" customHeight="1">
      <c r="D48" s="86"/>
      <c r="E48" s="25"/>
      <c r="F48" s="25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355">
        <f t="shared" si="8"/>
        <v>0</v>
      </c>
      <c r="AB48" s="356">
        <f t="shared" si="2"/>
        <v>0</v>
      </c>
    </row>
    <row r="49" spans="1:28" s="17" customFormat="1">
      <c r="A49" s="1" t="s">
        <v>25</v>
      </c>
      <c r="B49" s="1"/>
      <c r="D49" s="89"/>
      <c r="E49" s="89">
        <f t="shared" ref="E49:Y49" si="12">E44-E46</f>
        <v>25948.5</v>
      </c>
      <c r="F49" s="89">
        <f t="shared" si="12"/>
        <v>10484</v>
      </c>
      <c r="G49" s="89">
        <f t="shared" si="12"/>
        <v>1158.5</v>
      </c>
      <c r="H49" s="89">
        <f t="shared" si="12"/>
        <v>1210.25</v>
      </c>
      <c r="I49" s="89">
        <f t="shared" si="12"/>
        <v>1354.25</v>
      </c>
      <c r="J49" s="89">
        <f t="shared" si="12"/>
        <v>2954.0053315641617</v>
      </c>
      <c r="K49" s="89">
        <f t="shared" si="12"/>
        <v>3299.7526274438533</v>
      </c>
      <c r="L49" s="89">
        <f t="shared" si="12"/>
        <v>3443.6264137201956</v>
      </c>
      <c r="M49" s="89">
        <f t="shared" si="12"/>
        <v>3551.2301703771864</v>
      </c>
      <c r="N49" s="89">
        <f t="shared" si="12"/>
        <v>3661.7392284639209</v>
      </c>
      <c r="O49" s="89">
        <f t="shared" si="12"/>
        <v>3775.232031118996</v>
      </c>
      <c r="P49" s="89">
        <f t="shared" si="12"/>
        <v>3896.1060693837871</v>
      </c>
      <c r="Q49" s="89">
        <f t="shared" si="12"/>
        <v>4020.3645807199891</v>
      </c>
      <c r="R49" s="89">
        <f t="shared" si="12"/>
        <v>4148.1023303736092</v>
      </c>
      <c r="S49" s="89">
        <f t="shared" si="12"/>
        <v>4279.4167370175273</v>
      </c>
      <c r="T49" s="89">
        <f t="shared" si="12"/>
        <v>4413.2111662106881</v>
      </c>
      <c r="U49" s="89">
        <f t="shared" si="12"/>
        <v>4549.8459108914813</v>
      </c>
      <c r="V49" s="89">
        <f t="shared" si="12"/>
        <v>4690.306428423336</v>
      </c>
      <c r="W49" s="89">
        <f t="shared" si="12"/>
        <v>4834.6998404460828</v>
      </c>
      <c r="X49" s="89">
        <f t="shared" si="12"/>
        <v>4983.1362680054654</v>
      </c>
      <c r="Y49" s="89">
        <f t="shared" si="12"/>
        <v>5135.7289155365124</v>
      </c>
      <c r="AA49" s="355">
        <f t="shared" si="8"/>
        <v>79843.504049696785</v>
      </c>
      <c r="AB49" s="356">
        <f t="shared" si="2"/>
        <v>39921.752024848392</v>
      </c>
    </row>
    <row r="50" spans="1:28" s="17" customFormat="1">
      <c r="A50" s="1"/>
      <c r="B50" s="1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355">
        <f t="shared" si="8"/>
        <v>0</v>
      </c>
      <c r="AB50" s="356">
        <f t="shared" si="2"/>
        <v>0</v>
      </c>
    </row>
    <row r="51" spans="1:28">
      <c r="A51" s="4" t="s">
        <v>26</v>
      </c>
      <c r="C51" s="167">
        <v>0.05</v>
      </c>
      <c r="D51" s="86"/>
      <c r="E51" s="86">
        <f t="shared" ref="E51:Y51" si="13">E49*-$C$51</f>
        <v>-1297.4250000000002</v>
      </c>
      <c r="F51" s="86">
        <f t="shared" si="13"/>
        <v>-524.20000000000005</v>
      </c>
      <c r="G51" s="51">
        <f t="shared" si="13"/>
        <v>-57.925000000000004</v>
      </c>
      <c r="H51" s="86">
        <f t="shared" si="13"/>
        <v>-60.512500000000003</v>
      </c>
      <c r="I51" s="86">
        <f t="shared" si="13"/>
        <v>-67.712500000000006</v>
      </c>
      <c r="J51" s="86">
        <f t="shared" si="13"/>
        <v>-147.7002665782081</v>
      </c>
      <c r="K51" s="86">
        <f t="shared" si="13"/>
        <v>-164.98763137219268</v>
      </c>
      <c r="L51" s="86">
        <f t="shared" si="13"/>
        <v>-172.1813206860098</v>
      </c>
      <c r="M51" s="86">
        <f t="shared" si="13"/>
        <v>-177.56150851885934</v>
      </c>
      <c r="N51" s="86">
        <f t="shared" si="13"/>
        <v>-183.08696142319604</v>
      </c>
      <c r="O51" s="86">
        <f t="shared" si="13"/>
        <v>-188.76160155594982</v>
      </c>
      <c r="P51" s="86">
        <f t="shared" si="13"/>
        <v>-194.80530346918937</v>
      </c>
      <c r="Q51" s="86">
        <f t="shared" si="13"/>
        <v>-201.01822903599947</v>
      </c>
      <c r="R51" s="86">
        <f t="shared" si="13"/>
        <v>-207.40511651868047</v>
      </c>
      <c r="S51" s="86">
        <f t="shared" si="13"/>
        <v>-213.97083685087637</v>
      </c>
      <c r="T51" s="86">
        <f t="shared" si="13"/>
        <v>-220.66055831053441</v>
      </c>
      <c r="U51" s="86">
        <f t="shared" si="13"/>
        <v>-227.49229554457406</v>
      </c>
      <c r="V51" s="86">
        <f t="shared" si="13"/>
        <v>-234.51532142116682</v>
      </c>
      <c r="W51" s="86">
        <f t="shared" si="13"/>
        <v>-241.73499202230414</v>
      </c>
      <c r="X51" s="86">
        <f t="shared" si="13"/>
        <v>-249.15681340027328</v>
      </c>
      <c r="Y51" s="86">
        <f t="shared" si="13"/>
        <v>-256.78644577682564</v>
      </c>
      <c r="AA51" s="355">
        <f t="shared" si="8"/>
        <v>-3992.1752024848397</v>
      </c>
      <c r="AB51" s="356">
        <f t="shared" si="2"/>
        <v>-1996.0876012424199</v>
      </c>
    </row>
    <row r="52" spans="1:28">
      <c r="A52" s="4" t="s">
        <v>27</v>
      </c>
      <c r="C52" s="168">
        <v>0.35</v>
      </c>
      <c r="D52" s="85"/>
      <c r="E52" s="85">
        <f>((E49+E51)*-$C$52)+E56</f>
        <v>-8627.8762499999993</v>
      </c>
      <c r="F52" s="85">
        <f t="shared" ref="F52:Y52" si="14">((F49+F51)*-$C$52)+F56</f>
        <v>-3485.9299999999994</v>
      </c>
      <c r="G52" s="85">
        <f t="shared" si="14"/>
        <v>-385.20125000000002</v>
      </c>
      <c r="H52" s="85">
        <f t="shared" si="14"/>
        <v>-402.40812499999998</v>
      </c>
      <c r="I52" s="85">
        <f t="shared" si="14"/>
        <v>-450.28812499999992</v>
      </c>
      <c r="J52" s="85">
        <f t="shared" si="14"/>
        <v>-982.20677274508375</v>
      </c>
      <c r="K52" s="85">
        <f t="shared" si="14"/>
        <v>-1097.1677486250812</v>
      </c>
      <c r="L52" s="85">
        <f t="shared" si="14"/>
        <v>-1145.0057825619649</v>
      </c>
      <c r="M52" s="85">
        <f t="shared" si="14"/>
        <v>-1180.7840316504144</v>
      </c>
      <c r="N52" s="85">
        <f t="shared" si="14"/>
        <v>-1217.5282934642537</v>
      </c>
      <c r="O52" s="85">
        <f t="shared" si="14"/>
        <v>-1255.2646503470662</v>
      </c>
      <c r="P52" s="85">
        <f t="shared" si="14"/>
        <v>-1295.4552680701092</v>
      </c>
      <c r="Q52" s="85">
        <f t="shared" si="14"/>
        <v>-1336.7712230893962</v>
      </c>
      <c r="R52" s="85">
        <f t="shared" si="14"/>
        <v>-1379.2440248492248</v>
      </c>
      <c r="S52" s="85">
        <f t="shared" si="14"/>
        <v>-1422.9060650583278</v>
      </c>
      <c r="T52" s="85">
        <f t="shared" si="14"/>
        <v>-1467.3927127650536</v>
      </c>
      <c r="U52" s="85">
        <f t="shared" si="14"/>
        <v>-1512.8237653714173</v>
      </c>
      <c r="V52" s="85">
        <f t="shared" si="14"/>
        <v>-1559.5268874507592</v>
      </c>
      <c r="W52" s="85">
        <f t="shared" si="14"/>
        <v>-1607.5376969483225</v>
      </c>
      <c r="X52" s="85">
        <f t="shared" si="14"/>
        <v>-1656.8928091118171</v>
      </c>
      <c r="Y52" s="85">
        <f t="shared" si="14"/>
        <v>-1707.6298644158903</v>
      </c>
      <c r="AA52" s="355">
        <f t="shared" si="8"/>
        <v>-26547.965096524178</v>
      </c>
      <c r="AB52" s="356">
        <f t="shared" si="2"/>
        <v>-13273.982548262089</v>
      </c>
    </row>
    <row r="53" spans="1:28" ht="6" customHeight="1"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AA53" s="355">
        <f t="shared" si="8"/>
        <v>0</v>
      </c>
      <c r="AB53" s="356">
        <f t="shared" si="2"/>
        <v>0</v>
      </c>
    </row>
    <row r="54" spans="1:28" s="17" customFormat="1">
      <c r="A54" s="1" t="s">
        <v>28</v>
      </c>
      <c r="B54" s="1"/>
      <c r="C54" s="1"/>
      <c r="D54" s="89"/>
      <c r="E54" s="89">
        <f t="shared" ref="E54:Y54" si="15">SUM(E49:E52)</f>
        <v>16023.198750000001</v>
      </c>
      <c r="F54" s="89">
        <f t="shared" si="15"/>
        <v>6473.87</v>
      </c>
      <c r="G54" s="89">
        <f t="shared" si="15"/>
        <v>715.37374999999997</v>
      </c>
      <c r="H54" s="89">
        <f t="shared" si="15"/>
        <v>747.32937500000003</v>
      </c>
      <c r="I54" s="89">
        <f t="shared" si="15"/>
        <v>836.24937499999999</v>
      </c>
      <c r="J54" s="89">
        <f t="shared" si="15"/>
        <v>1824.09829224087</v>
      </c>
      <c r="K54" s="89">
        <f t="shared" si="15"/>
        <v>2037.5972474465796</v>
      </c>
      <c r="L54" s="89">
        <f t="shared" si="15"/>
        <v>2126.4393104722212</v>
      </c>
      <c r="M54" s="89">
        <f t="shared" si="15"/>
        <v>2192.8846302079128</v>
      </c>
      <c r="N54" s="89">
        <f t="shared" si="15"/>
        <v>2261.1239735764711</v>
      </c>
      <c r="O54" s="89">
        <f t="shared" si="15"/>
        <v>2331.2057792159803</v>
      </c>
      <c r="P54" s="89">
        <f t="shared" si="15"/>
        <v>2405.8454978444888</v>
      </c>
      <c r="Q54" s="89">
        <f t="shared" si="15"/>
        <v>2482.5751285945935</v>
      </c>
      <c r="R54" s="89">
        <f t="shared" si="15"/>
        <v>2561.4531890057037</v>
      </c>
      <c r="S54" s="89">
        <f t="shared" si="15"/>
        <v>2642.5398351083231</v>
      </c>
      <c r="T54" s="89">
        <f t="shared" si="15"/>
        <v>2725.1578951350998</v>
      </c>
      <c r="U54" s="89">
        <f t="shared" si="15"/>
        <v>2809.5298499754895</v>
      </c>
      <c r="V54" s="89">
        <f t="shared" si="15"/>
        <v>2896.26421955141</v>
      </c>
      <c r="W54" s="89">
        <f t="shared" si="15"/>
        <v>2985.4271514754564</v>
      </c>
      <c r="X54" s="89">
        <f t="shared" si="15"/>
        <v>3077.0866454933748</v>
      </c>
      <c r="Y54" s="89">
        <f t="shared" si="15"/>
        <v>3171.3126053437963</v>
      </c>
      <c r="AA54" s="355">
        <f t="shared" si="8"/>
        <v>49303.363750687779</v>
      </c>
      <c r="AB54" s="356">
        <f t="shared" si="2"/>
        <v>24651.681875343889</v>
      </c>
    </row>
    <row r="55" spans="1:28" outlineLevel="1">
      <c r="B55" s="92"/>
      <c r="C55" s="92"/>
      <c r="E55" s="16"/>
      <c r="F55" s="16"/>
      <c r="G55" s="20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355">
        <f t="shared" si="8"/>
        <v>0</v>
      </c>
      <c r="AB55" s="356">
        <f t="shared" si="2"/>
        <v>0</v>
      </c>
    </row>
    <row r="56" spans="1:28">
      <c r="A56" s="1" t="s">
        <v>107</v>
      </c>
      <c r="E56" s="169">
        <v>0</v>
      </c>
      <c r="F56" s="169">
        <v>0</v>
      </c>
      <c r="G56" s="169">
        <v>0</v>
      </c>
      <c r="H56" s="169">
        <v>0</v>
      </c>
      <c r="I56" s="169">
        <v>0</v>
      </c>
      <c r="J56" s="169">
        <v>0</v>
      </c>
      <c r="K56" s="169">
        <v>0</v>
      </c>
      <c r="L56" s="169">
        <v>0</v>
      </c>
      <c r="M56" s="169">
        <v>0</v>
      </c>
      <c r="N56" s="169">
        <v>0</v>
      </c>
      <c r="O56" s="169">
        <v>0</v>
      </c>
      <c r="P56" s="169">
        <v>0</v>
      </c>
      <c r="Q56" s="169">
        <v>0</v>
      </c>
      <c r="R56" s="169">
        <v>0</v>
      </c>
      <c r="S56" s="169">
        <v>0</v>
      </c>
      <c r="T56" s="169">
        <v>0</v>
      </c>
      <c r="U56" s="169">
        <v>0</v>
      </c>
      <c r="V56" s="169">
        <v>0</v>
      </c>
      <c r="W56" s="169">
        <v>0</v>
      </c>
      <c r="X56" s="169">
        <v>0</v>
      </c>
      <c r="Y56" s="169">
        <v>0</v>
      </c>
      <c r="AA56" s="355">
        <f t="shared" si="8"/>
        <v>0</v>
      </c>
      <c r="AB56" s="356">
        <f t="shared" si="2"/>
        <v>0</v>
      </c>
    </row>
    <row r="57" spans="1:28" outlineLevel="1">
      <c r="A57" s="12"/>
      <c r="D57" s="419" t="s">
        <v>181</v>
      </c>
      <c r="E57" s="420">
        <f>E56/(0.017*C1*8760)</f>
        <v>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355">
        <f t="shared" si="8"/>
        <v>0</v>
      </c>
      <c r="AB57" s="356">
        <f t="shared" si="2"/>
        <v>0</v>
      </c>
    </row>
    <row r="58" spans="1:28" ht="15.75" outlineLevel="1">
      <c r="A58" s="15" t="s">
        <v>108</v>
      </c>
      <c r="D58" s="16"/>
      <c r="E58" s="16"/>
      <c r="F58" s="16"/>
      <c r="G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A58" s="355">
        <f t="shared" si="8"/>
        <v>0</v>
      </c>
      <c r="AB58" s="356">
        <f t="shared" si="2"/>
        <v>0</v>
      </c>
    </row>
    <row r="59" spans="1:28" outlineLevel="1">
      <c r="A59" s="1"/>
      <c r="D59" s="16"/>
      <c r="E59" s="16"/>
      <c r="F59" s="16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355">
        <f t="shared" si="8"/>
        <v>0</v>
      </c>
      <c r="AB59" s="356">
        <f t="shared" si="2"/>
        <v>0</v>
      </c>
    </row>
    <row r="60" spans="1:28" ht="12.75" customHeight="1" outlineLevel="1">
      <c r="A60" s="1" t="s">
        <v>40</v>
      </c>
      <c r="B60" s="22"/>
      <c r="C60" s="170">
        <v>0.5</v>
      </c>
      <c r="D60" s="16"/>
      <c r="E60" s="16"/>
      <c r="F60" s="16"/>
      <c r="G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355">
        <f t="shared" si="8"/>
        <v>0</v>
      </c>
      <c r="AB60" s="356">
        <f t="shared" si="2"/>
        <v>0</v>
      </c>
    </row>
    <row r="61" spans="1:28" ht="12.75" customHeight="1" outlineLevel="1">
      <c r="A61" s="1"/>
      <c r="D61" s="16"/>
      <c r="E61" s="16"/>
      <c r="F61" s="16"/>
      <c r="G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355">
        <f t="shared" si="8"/>
        <v>0</v>
      </c>
      <c r="AB61" s="356">
        <f t="shared" si="2"/>
        <v>0</v>
      </c>
    </row>
    <row r="62" spans="1:28" ht="13.5" outlineLevel="1" thickBot="1">
      <c r="A62" s="93" t="s">
        <v>4</v>
      </c>
      <c r="B62" s="2"/>
      <c r="C62" s="2"/>
      <c r="D62" s="7">
        <v>1999</v>
      </c>
      <c r="E62" s="7">
        <f t="shared" ref="E62:Y62" si="16">D62+1</f>
        <v>2000</v>
      </c>
      <c r="F62" s="7">
        <f t="shared" si="16"/>
        <v>2001</v>
      </c>
      <c r="G62" s="7">
        <f t="shared" si="16"/>
        <v>2002</v>
      </c>
      <c r="H62" s="7">
        <f t="shared" si="16"/>
        <v>2003</v>
      </c>
      <c r="I62" s="7">
        <f t="shared" si="16"/>
        <v>2004</v>
      </c>
      <c r="J62" s="7">
        <f t="shared" si="16"/>
        <v>2005</v>
      </c>
      <c r="K62" s="7">
        <f t="shared" si="16"/>
        <v>2006</v>
      </c>
      <c r="L62" s="7">
        <f t="shared" si="16"/>
        <v>2007</v>
      </c>
      <c r="M62" s="7">
        <f t="shared" si="16"/>
        <v>2008</v>
      </c>
      <c r="N62" s="7">
        <f t="shared" si="16"/>
        <v>2009</v>
      </c>
      <c r="O62" s="7">
        <f t="shared" si="16"/>
        <v>2010</v>
      </c>
      <c r="P62" s="7">
        <f t="shared" si="16"/>
        <v>2011</v>
      </c>
      <c r="Q62" s="7">
        <f t="shared" si="16"/>
        <v>2012</v>
      </c>
      <c r="R62" s="7">
        <f t="shared" si="16"/>
        <v>2013</v>
      </c>
      <c r="S62" s="7">
        <f t="shared" si="16"/>
        <v>2014</v>
      </c>
      <c r="T62" s="7">
        <f t="shared" si="16"/>
        <v>2015</v>
      </c>
      <c r="U62" s="7">
        <f t="shared" si="16"/>
        <v>2016</v>
      </c>
      <c r="V62" s="7">
        <f t="shared" si="16"/>
        <v>2017</v>
      </c>
      <c r="W62" s="7">
        <f t="shared" si="16"/>
        <v>2018</v>
      </c>
      <c r="X62" s="7">
        <f t="shared" si="16"/>
        <v>2019</v>
      </c>
      <c r="Y62" s="7">
        <f t="shared" si="16"/>
        <v>2020</v>
      </c>
      <c r="AA62" s="355">
        <f t="shared" si="8"/>
        <v>40210</v>
      </c>
      <c r="AB62" s="356">
        <f t="shared" si="2"/>
        <v>20105</v>
      </c>
    </row>
    <row r="63" spans="1:28" outlineLevel="1">
      <c r="A63" s="11"/>
      <c r="D63" s="16"/>
      <c r="E63" s="16"/>
      <c r="F63" s="16"/>
      <c r="G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355">
        <f t="shared" si="8"/>
        <v>0</v>
      </c>
      <c r="AB63" s="356">
        <f t="shared" si="2"/>
        <v>0</v>
      </c>
    </row>
    <row r="64" spans="1:28" outlineLevel="1">
      <c r="A64" s="12" t="s">
        <v>21</v>
      </c>
      <c r="D64" s="16"/>
      <c r="E64" s="16">
        <f t="shared" ref="E64:Y64" si="17">E39</f>
        <v>34598</v>
      </c>
      <c r="F64" s="16">
        <f t="shared" si="17"/>
        <v>19724</v>
      </c>
      <c r="G64" s="20">
        <f t="shared" si="17"/>
        <v>7290</v>
      </c>
      <c r="H64" s="16">
        <f t="shared" si="17"/>
        <v>7359</v>
      </c>
      <c r="I64" s="16">
        <f t="shared" si="17"/>
        <v>7551</v>
      </c>
      <c r="J64" s="16">
        <f t="shared" si="17"/>
        <v>9684.0071087522156</v>
      </c>
      <c r="K64" s="16">
        <f t="shared" si="17"/>
        <v>10145.003503258471</v>
      </c>
      <c r="L64" s="16">
        <f t="shared" si="17"/>
        <v>10336.835218293594</v>
      </c>
      <c r="M64" s="16">
        <f t="shared" si="17"/>
        <v>10480.306893836248</v>
      </c>
      <c r="N64" s="16">
        <f t="shared" si="17"/>
        <v>10627.652304618561</v>
      </c>
      <c r="O64" s="16">
        <f t="shared" si="17"/>
        <v>10778.976041491995</v>
      </c>
      <c r="P64" s="16">
        <f t="shared" si="17"/>
        <v>10940.14142584505</v>
      </c>
      <c r="Q64" s="16">
        <f t="shared" si="17"/>
        <v>11105.819440959986</v>
      </c>
      <c r="R64" s="16">
        <f t="shared" si="17"/>
        <v>11276.136440498145</v>
      </c>
      <c r="S64" s="16">
        <f t="shared" si="17"/>
        <v>11451.22231602337</v>
      </c>
      <c r="T64" s="16">
        <f t="shared" si="17"/>
        <v>11629.614888280918</v>
      </c>
      <c r="U64" s="16">
        <f t="shared" si="17"/>
        <v>11811.794547855308</v>
      </c>
      <c r="V64" s="16">
        <f t="shared" si="17"/>
        <v>11999.075237897781</v>
      </c>
      <c r="W64" s="16">
        <f t="shared" si="17"/>
        <v>12191.599787261444</v>
      </c>
      <c r="X64" s="16">
        <f t="shared" si="17"/>
        <v>12389.515024007287</v>
      </c>
      <c r="Y64" s="16">
        <f t="shared" si="17"/>
        <v>12592.971887382017</v>
      </c>
      <c r="AA64" s="355">
        <f t="shared" si="8"/>
        <v>221364.6720662624</v>
      </c>
      <c r="AB64" s="356">
        <f t="shared" si="2"/>
        <v>110682.3360331312</v>
      </c>
    </row>
    <row r="65" spans="1:28" outlineLevel="1">
      <c r="A65" s="12" t="s">
        <v>29</v>
      </c>
      <c r="D65" s="16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AA65" s="355">
        <f t="shared" si="8"/>
        <v>0</v>
      </c>
      <c r="AB65" s="356">
        <f t="shared" si="2"/>
        <v>0</v>
      </c>
    </row>
    <row r="66" spans="1:28" ht="15" outlineLevel="1">
      <c r="A66" s="12" t="s">
        <v>30</v>
      </c>
      <c r="C66" s="86"/>
      <c r="D66" s="388" t="s">
        <v>141</v>
      </c>
      <c r="E66" s="389">
        <f>-E39*$C$60</f>
        <v>-17299</v>
      </c>
      <c r="F66" s="389">
        <f t="shared" ref="F66:Y66" si="18">-F39*$C$60</f>
        <v>-9862</v>
      </c>
      <c r="G66" s="389">
        <f t="shared" si="18"/>
        <v>-3645</v>
      </c>
      <c r="H66" s="389">
        <f t="shared" si="18"/>
        <v>-3679.5</v>
      </c>
      <c r="I66" s="389">
        <f t="shared" si="18"/>
        <v>-3775.5</v>
      </c>
      <c r="J66" s="389">
        <f t="shared" si="18"/>
        <v>-4842.0035543761078</v>
      </c>
      <c r="K66" s="389">
        <f t="shared" si="18"/>
        <v>-5072.5017516292355</v>
      </c>
      <c r="L66" s="389">
        <f t="shared" si="18"/>
        <v>-5168.4176091467971</v>
      </c>
      <c r="M66" s="389">
        <f t="shared" si="18"/>
        <v>-5240.1534469181242</v>
      </c>
      <c r="N66" s="389">
        <f t="shared" si="18"/>
        <v>-5313.8261523092806</v>
      </c>
      <c r="O66" s="389">
        <f t="shared" si="18"/>
        <v>-5389.4880207459973</v>
      </c>
      <c r="P66" s="389">
        <f t="shared" si="18"/>
        <v>-5470.0707129225248</v>
      </c>
      <c r="Q66" s="389">
        <f t="shared" si="18"/>
        <v>-5552.9097204799928</v>
      </c>
      <c r="R66" s="389">
        <f t="shared" si="18"/>
        <v>-5638.0682202490725</v>
      </c>
      <c r="S66" s="389">
        <f t="shared" si="18"/>
        <v>-5725.6111580116849</v>
      </c>
      <c r="T66" s="389">
        <f t="shared" si="18"/>
        <v>-5814.8074441404588</v>
      </c>
      <c r="U66" s="389">
        <f t="shared" si="18"/>
        <v>-5905.8972739276542</v>
      </c>
      <c r="V66" s="389">
        <f t="shared" si="18"/>
        <v>-5999.5376189488907</v>
      </c>
      <c r="W66" s="389">
        <f t="shared" si="18"/>
        <v>-6095.7998936307222</v>
      </c>
      <c r="X66" s="389">
        <f t="shared" si="18"/>
        <v>-6194.7575120036436</v>
      </c>
      <c r="Y66" s="389">
        <f t="shared" si="18"/>
        <v>-6296.4859436910083</v>
      </c>
      <c r="AA66" s="355">
        <f t="shared" si="8"/>
        <v>-110682.3360331312</v>
      </c>
      <c r="AB66" s="356">
        <f t="shared" si="2"/>
        <v>-55341.1680165656</v>
      </c>
    </row>
    <row r="67" spans="1:28" ht="15" outlineLevel="1">
      <c r="A67" s="12"/>
      <c r="D67" s="87"/>
      <c r="E67" s="94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AA67" s="355">
        <f t="shared" si="8"/>
        <v>0</v>
      </c>
      <c r="AB67" s="356">
        <f t="shared" si="2"/>
        <v>0</v>
      </c>
    </row>
    <row r="68" spans="1:28" outlineLevel="1">
      <c r="A68" s="12"/>
      <c r="C68" s="1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AA68" s="355">
        <f t="shared" si="8"/>
        <v>0</v>
      </c>
      <c r="AB68" s="356">
        <f t="shared" si="2"/>
        <v>0</v>
      </c>
    </row>
    <row r="69" spans="1:28" s="17" customFormat="1" outlineLevel="1">
      <c r="A69" s="11" t="s">
        <v>31</v>
      </c>
      <c r="B69" s="1"/>
      <c r="C69" s="89"/>
      <c r="D69" s="91"/>
      <c r="E69" s="91">
        <f t="shared" ref="E69:Y69" si="19">SUM(E64:E66)</f>
        <v>17299</v>
      </c>
      <c r="F69" s="91">
        <f t="shared" si="19"/>
        <v>9862</v>
      </c>
      <c r="G69" s="91">
        <f t="shared" si="19"/>
        <v>3645</v>
      </c>
      <c r="H69" s="91">
        <f t="shared" si="19"/>
        <v>3679.5</v>
      </c>
      <c r="I69" s="91">
        <f t="shared" si="19"/>
        <v>3775.5</v>
      </c>
      <c r="J69" s="91">
        <f t="shared" si="19"/>
        <v>4842.0035543761078</v>
      </c>
      <c r="K69" s="91">
        <f t="shared" si="19"/>
        <v>5072.5017516292355</v>
      </c>
      <c r="L69" s="91">
        <f t="shared" si="19"/>
        <v>5168.4176091467971</v>
      </c>
      <c r="M69" s="91">
        <f t="shared" si="19"/>
        <v>5240.1534469181242</v>
      </c>
      <c r="N69" s="91">
        <f t="shared" si="19"/>
        <v>5313.8261523092806</v>
      </c>
      <c r="O69" s="91">
        <f t="shared" si="19"/>
        <v>5389.4880207459973</v>
      </c>
      <c r="P69" s="91">
        <f t="shared" si="19"/>
        <v>5470.0707129225248</v>
      </c>
      <c r="Q69" s="91">
        <f t="shared" si="19"/>
        <v>5552.9097204799928</v>
      </c>
      <c r="R69" s="91">
        <f t="shared" si="19"/>
        <v>5638.0682202490725</v>
      </c>
      <c r="S69" s="91">
        <f t="shared" si="19"/>
        <v>5725.6111580116849</v>
      </c>
      <c r="T69" s="91">
        <f t="shared" si="19"/>
        <v>5814.8074441404588</v>
      </c>
      <c r="U69" s="91">
        <f t="shared" si="19"/>
        <v>5905.8972739276542</v>
      </c>
      <c r="V69" s="91">
        <f t="shared" si="19"/>
        <v>5999.5376189488907</v>
      </c>
      <c r="W69" s="91">
        <f t="shared" si="19"/>
        <v>6095.7998936307222</v>
      </c>
      <c r="X69" s="91">
        <f t="shared" si="19"/>
        <v>6194.7575120036436</v>
      </c>
      <c r="Y69" s="91">
        <f t="shared" si="19"/>
        <v>6296.4859436910083</v>
      </c>
      <c r="AA69" s="355">
        <f t="shared" si="8"/>
        <v>110682.3360331312</v>
      </c>
      <c r="AB69" s="356">
        <f t="shared" si="2"/>
        <v>55341.1680165656</v>
      </c>
    </row>
    <row r="70" spans="1:28" outlineLevel="1">
      <c r="A70" s="11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AA70" s="355">
        <f t="shared" si="8"/>
        <v>0</v>
      </c>
      <c r="AB70" s="356">
        <f t="shared" si="2"/>
        <v>0</v>
      </c>
    </row>
    <row r="71" spans="1:28" ht="15" outlineLevel="1">
      <c r="A71" s="12" t="s">
        <v>35</v>
      </c>
      <c r="D71" s="94"/>
      <c r="E71" s="94">
        <f>E89</f>
        <v>0</v>
      </c>
      <c r="F71" s="94">
        <f t="shared" ref="F71:Y71" si="20">F89</f>
        <v>4230.3184764349344</v>
      </c>
      <c r="G71" s="94">
        <f t="shared" si="20"/>
        <v>13730.506812295895</v>
      </c>
      <c r="H71" s="94">
        <f t="shared" si="20"/>
        <v>7381.9822123775357</v>
      </c>
      <c r="I71" s="94">
        <f t="shared" si="20"/>
        <v>3529.6640774265215</v>
      </c>
      <c r="J71" s="94">
        <f t="shared" si="20"/>
        <v>2917.7576631032298</v>
      </c>
      <c r="K71" s="94">
        <f t="shared" si="20"/>
        <v>-62.419278784013017</v>
      </c>
      <c r="L71" s="94">
        <f t="shared" si="20"/>
        <v>-2965.379603247975</v>
      </c>
      <c r="M71" s="94">
        <f t="shared" si="20"/>
        <v>-3006.5380401692737</v>
      </c>
      <c r="N71" s="94">
        <f t="shared" si="20"/>
        <v>-3048.8077548874498</v>
      </c>
      <c r="O71" s="94">
        <f t="shared" si="20"/>
        <v>-3092.2187519030163</v>
      </c>
      <c r="P71" s="94">
        <f t="shared" si="20"/>
        <v>-3138.4530715392984</v>
      </c>
      <c r="Q71" s="94">
        <f t="shared" si="20"/>
        <v>-3185.9819521253962</v>
      </c>
      <c r="R71" s="94">
        <f t="shared" si="20"/>
        <v>-3234.8416413679056</v>
      </c>
      <c r="S71" s="94">
        <f t="shared" si="20"/>
        <v>-3285.0694019092043</v>
      </c>
      <c r="T71" s="94">
        <f t="shared" si="20"/>
        <v>-3336.245771075588</v>
      </c>
      <c r="U71" s="94">
        <f t="shared" si="20"/>
        <v>-3388.5085609159914</v>
      </c>
      <c r="V71" s="94">
        <f t="shared" si="20"/>
        <v>-3442.2347088719262</v>
      </c>
      <c r="W71" s="94">
        <f t="shared" si="20"/>
        <v>-3497.4651889706265</v>
      </c>
      <c r="X71" s="94">
        <f t="shared" si="20"/>
        <v>-3554.2421225120911</v>
      </c>
      <c r="Y71" s="94">
        <f t="shared" si="20"/>
        <v>-3612.6088101927162</v>
      </c>
      <c r="AA71" s="355">
        <f t="shared" si="8"/>
        <v>-14060.785416834355</v>
      </c>
      <c r="AB71" s="356">
        <f t="shared" si="2"/>
        <v>-7030.3927084171773</v>
      </c>
    </row>
    <row r="72" spans="1:28" outlineLevel="1">
      <c r="A72" s="12"/>
      <c r="D72" s="2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AA72" s="355">
        <f t="shared" si="8"/>
        <v>0</v>
      </c>
      <c r="AB72" s="356">
        <f t="shared" si="2"/>
        <v>0</v>
      </c>
    </row>
    <row r="73" spans="1:28" s="17" customFormat="1" outlineLevel="1">
      <c r="A73" s="13" t="s">
        <v>32</v>
      </c>
      <c r="B73" s="1"/>
      <c r="C73" s="1"/>
      <c r="D73" s="24"/>
      <c r="E73" s="24">
        <f t="shared" ref="E73:Y73" si="21">E69+E71</f>
        <v>17299</v>
      </c>
      <c r="F73" s="24">
        <f t="shared" si="21"/>
        <v>14092.318476434935</v>
      </c>
      <c r="G73" s="24">
        <f t="shared" si="21"/>
        <v>17375.506812295895</v>
      </c>
      <c r="H73" s="24">
        <f t="shared" si="21"/>
        <v>11061.482212377536</v>
      </c>
      <c r="I73" s="24">
        <f t="shared" si="21"/>
        <v>7305.1640774265215</v>
      </c>
      <c r="J73" s="24">
        <f t="shared" si="21"/>
        <v>7759.7612174793376</v>
      </c>
      <c r="K73" s="24">
        <f t="shared" si="21"/>
        <v>5010.0824728452226</v>
      </c>
      <c r="L73" s="24">
        <f t="shared" si="21"/>
        <v>2203.0380058988221</v>
      </c>
      <c r="M73" s="24">
        <f t="shared" si="21"/>
        <v>2233.6154067488505</v>
      </c>
      <c r="N73" s="24">
        <f t="shared" si="21"/>
        <v>2265.0183974218307</v>
      </c>
      <c r="O73" s="24">
        <f t="shared" si="21"/>
        <v>2297.2692688429811</v>
      </c>
      <c r="P73" s="24">
        <f t="shared" si="21"/>
        <v>2331.6176413832263</v>
      </c>
      <c r="Q73" s="24">
        <f t="shared" si="21"/>
        <v>2366.9277683545965</v>
      </c>
      <c r="R73" s="24">
        <f t="shared" si="21"/>
        <v>2403.2265788811669</v>
      </c>
      <c r="S73" s="24">
        <f t="shared" si="21"/>
        <v>2440.5417561024806</v>
      </c>
      <c r="T73" s="24">
        <f t="shared" si="21"/>
        <v>2478.5616730648708</v>
      </c>
      <c r="U73" s="24">
        <f t="shared" si="21"/>
        <v>2517.3887130116627</v>
      </c>
      <c r="V73" s="24">
        <f t="shared" si="21"/>
        <v>2557.3029100769645</v>
      </c>
      <c r="W73" s="24">
        <f t="shared" si="21"/>
        <v>2598.3347046600957</v>
      </c>
      <c r="X73" s="24">
        <f t="shared" si="21"/>
        <v>2640.5153894915525</v>
      </c>
      <c r="Y73" s="24">
        <f t="shared" si="21"/>
        <v>2683.8771334982921</v>
      </c>
      <c r="AA73" s="355">
        <f t="shared" si="8"/>
        <v>96621.550616296838</v>
      </c>
      <c r="AB73" s="356">
        <f t="shared" si="2"/>
        <v>48310.775308148419</v>
      </c>
    </row>
    <row r="74" spans="1:28" outlineLevel="1">
      <c r="A74" s="12"/>
      <c r="D74" s="25"/>
      <c r="E74" s="25"/>
      <c r="F74" s="25"/>
      <c r="G74" s="88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AA74" s="355">
        <f t="shared" si="8"/>
        <v>0</v>
      </c>
      <c r="AB74" s="356">
        <f t="shared" si="2"/>
        <v>0</v>
      </c>
    </row>
    <row r="75" spans="1:28" outlineLevel="1">
      <c r="A75" s="13"/>
      <c r="D75" s="25"/>
      <c r="E75" s="25"/>
      <c r="F75" s="25"/>
      <c r="G75" s="88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AA75" s="355">
        <f t="shared" si="8"/>
        <v>0</v>
      </c>
      <c r="AB75" s="356">
        <f t="shared" ref="AB75:AB133" si="22">AA75*$C$60</f>
        <v>0</v>
      </c>
    </row>
    <row r="76" spans="1:28" ht="12.75" customHeight="1" outlineLevel="1">
      <c r="A76" s="13" t="s">
        <v>135</v>
      </c>
      <c r="B76" s="22"/>
      <c r="C76" s="159">
        <f>+C$60</f>
        <v>0.5</v>
      </c>
      <c r="D76" s="24"/>
      <c r="E76" s="24">
        <f t="shared" ref="E76:Y76" si="23">$C$76*E54</f>
        <v>8011.5993750000007</v>
      </c>
      <c r="F76" s="24">
        <f t="shared" si="23"/>
        <v>3236.9349999999999</v>
      </c>
      <c r="G76" s="91">
        <f t="shared" si="23"/>
        <v>357.68687499999999</v>
      </c>
      <c r="H76" s="24">
        <f t="shared" si="23"/>
        <v>373.66468750000001</v>
      </c>
      <c r="I76" s="24">
        <f t="shared" si="23"/>
        <v>418.12468749999999</v>
      </c>
      <c r="J76" s="24">
        <f t="shared" si="23"/>
        <v>912.04914612043501</v>
      </c>
      <c r="K76" s="24">
        <f t="shared" si="23"/>
        <v>1018.7986237232898</v>
      </c>
      <c r="L76" s="24">
        <f t="shared" si="23"/>
        <v>1063.2196552361106</v>
      </c>
      <c r="M76" s="24">
        <f t="shared" si="23"/>
        <v>1096.4423151039564</v>
      </c>
      <c r="N76" s="24">
        <f t="shared" si="23"/>
        <v>1130.5619867882356</v>
      </c>
      <c r="O76" s="24">
        <f t="shared" si="23"/>
        <v>1165.6028896079902</v>
      </c>
      <c r="P76" s="24">
        <f t="shared" si="23"/>
        <v>1202.9227489222444</v>
      </c>
      <c r="Q76" s="24">
        <f t="shared" si="23"/>
        <v>1241.2875642972967</v>
      </c>
      <c r="R76" s="24">
        <f t="shared" si="23"/>
        <v>1280.7265945028519</v>
      </c>
      <c r="S76" s="24">
        <f t="shared" si="23"/>
        <v>1321.2699175541616</v>
      </c>
      <c r="T76" s="24">
        <f t="shared" si="23"/>
        <v>1362.5789475675499</v>
      </c>
      <c r="U76" s="24">
        <f t="shared" si="23"/>
        <v>1404.7649249877447</v>
      </c>
      <c r="V76" s="24">
        <f t="shared" si="23"/>
        <v>1448.132109775705</v>
      </c>
      <c r="W76" s="24">
        <f t="shared" si="23"/>
        <v>1492.7135757377282</v>
      </c>
      <c r="X76" s="24">
        <f t="shared" si="23"/>
        <v>1538.5433227466874</v>
      </c>
      <c r="Y76" s="24">
        <f t="shared" si="23"/>
        <v>1585.6563026718982</v>
      </c>
      <c r="AA76" s="355">
        <f t="shared" si="8"/>
        <v>24651.681875343889</v>
      </c>
      <c r="AB76" s="356">
        <f>AA76</f>
        <v>24651.681875343889</v>
      </c>
    </row>
    <row r="77" spans="1:28" outlineLevel="1">
      <c r="A77" s="13" t="s">
        <v>136</v>
      </c>
      <c r="B77" s="22"/>
      <c r="C77" s="159">
        <f>+C60</f>
        <v>0.5</v>
      </c>
      <c r="D77" s="24"/>
      <c r="E77" s="24">
        <f t="shared" ref="E77:Y77" si="24">$C$77*E73</f>
        <v>8649.5</v>
      </c>
      <c r="F77" s="24">
        <f t="shared" si="24"/>
        <v>7046.1592382174676</v>
      </c>
      <c r="G77" s="91">
        <f t="shared" si="24"/>
        <v>8687.7534061479473</v>
      </c>
      <c r="H77" s="24">
        <f t="shared" si="24"/>
        <v>5530.7411061887678</v>
      </c>
      <c r="I77" s="24">
        <f t="shared" si="24"/>
        <v>3652.5820387132608</v>
      </c>
      <c r="J77" s="24">
        <f t="shared" si="24"/>
        <v>3879.8806087396688</v>
      </c>
      <c r="K77" s="24">
        <f t="shared" si="24"/>
        <v>2505.0412364226113</v>
      </c>
      <c r="L77" s="24">
        <f t="shared" si="24"/>
        <v>1101.5190029494111</v>
      </c>
      <c r="M77" s="24">
        <f t="shared" si="24"/>
        <v>1116.8077033744253</v>
      </c>
      <c r="N77" s="24">
        <f t="shared" si="24"/>
        <v>1132.5091987109154</v>
      </c>
      <c r="O77" s="24">
        <f t="shared" si="24"/>
        <v>1148.6346344214905</v>
      </c>
      <c r="P77" s="24">
        <f t="shared" si="24"/>
        <v>1165.8088206916132</v>
      </c>
      <c r="Q77" s="24">
        <f t="shared" si="24"/>
        <v>1183.4638841772983</v>
      </c>
      <c r="R77" s="24">
        <f t="shared" si="24"/>
        <v>1201.6132894405835</v>
      </c>
      <c r="S77" s="24">
        <f t="shared" si="24"/>
        <v>1220.2708780512403</v>
      </c>
      <c r="T77" s="24">
        <f t="shared" si="24"/>
        <v>1239.2808365324354</v>
      </c>
      <c r="U77" s="24">
        <f t="shared" si="24"/>
        <v>1258.6943565058314</v>
      </c>
      <c r="V77" s="24">
        <f t="shared" si="24"/>
        <v>1278.6514550384823</v>
      </c>
      <c r="W77" s="24">
        <f t="shared" si="24"/>
        <v>1299.1673523300478</v>
      </c>
      <c r="X77" s="24">
        <f t="shared" si="24"/>
        <v>1320.2576947457762</v>
      </c>
      <c r="Y77" s="24">
        <f t="shared" si="24"/>
        <v>1341.938566749146</v>
      </c>
      <c r="AA77" s="355">
        <f t="shared" si="8"/>
        <v>48310.775308148419</v>
      </c>
      <c r="AB77" s="356">
        <f>AA77</f>
        <v>48310.775308148419</v>
      </c>
    </row>
    <row r="78" spans="1:28" outlineLevel="1">
      <c r="A78" s="13"/>
      <c r="D78" s="16"/>
      <c r="E78" s="16"/>
      <c r="F78" s="16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AA78" s="355">
        <f t="shared" si="8"/>
        <v>0</v>
      </c>
      <c r="AB78" s="356">
        <f t="shared" si="22"/>
        <v>0</v>
      </c>
    </row>
    <row r="79" spans="1:28" outlineLevel="1">
      <c r="A79" s="26"/>
      <c r="D79" s="16"/>
      <c r="E79" s="16"/>
      <c r="F79" s="16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AA79" s="355">
        <f t="shared" si="8"/>
        <v>0</v>
      </c>
      <c r="AB79" s="356">
        <f t="shared" si="22"/>
        <v>0</v>
      </c>
    </row>
    <row r="80" spans="1:28" outlineLevel="1">
      <c r="A80" s="26"/>
      <c r="D80" s="16"/>
      <c r="E80" s="16"/>
      <c r="F80" s="16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AA80" s="355">
        <f t="shared" si="8"/>
        <v>0</v>
      </c>
      <c r="AB80" s="356">
        <f t="shared" si="22"/>
        <v>0</v>
      </c>
    </row>
    <row r="81" spans="1:30" outlineLevel="1">
      <c r="A81" s="26"/>
      <c r="D81" s="16"/>
      <c r="E81" s="16"/>
      <c r="F81" s="16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AA81" s="355">
        <f t="shared" si="8"/>
        <v>0</v>
      </c>
      <c r="AB81" s="356">
        <f t="shared" si="22"/>
        <v>0</v>
      </c>
    </row>
    <row r="82" spans="1:30" outlineLevel="1">
      <c r="A82" s="27"/>
      <c r="B82" s="6"/>
      <c r="C82" s="6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355">
        <f t="shared" si="8"/>
        <v>0</v>
      </c>
      <c r="AB82" s="356">
        <f t="shared" si="22"/>
        <v>0</v>
      </c>
    </row>
    <row r="83" spans="1:30" ht="13.5" outlineLevel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355">
        <f t="shared" si="8"/>
        <v>0</v>
      </c>
      <c r="AB83" s="356">
        <f t="shared" si="22"/>
        <v>0</v>
      </c>
    </row>
    <row r="84" spans="1:30" outlineLevel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355">
        <f t="shared" si="8"/>
        <v>0</v>
      </c>
      <c r="AB84" s="356">
        <f t="shared" si="22"/>
        <v>0</v>
      </c>
    </row>
    <row r="85" spans="1:30" ht="13.5" outlineLevel="1">
      <c r="A85" s="97"/>
      <c r="B85" s="6"/>
      <c r="C85" s="6"/>
      <c r="D85" s="6"/>
      <c r="E85" s="6"/>
      <c r="F85" s="6"/>
      <c r="G85" s="6"/>
      <c r="H85" s="6"/>
      <c r="I85" s="31"/>
      <c r="J85" s="6"/>
      <c r="K85" s="6"/>
      <c r="L85" s="6"/>
      <c r="M85" s="6"/>
      <c r="N85" s="6"/>
      <c r="O85" s="6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355">
        <f t="shared" si="8"/>
        <v>0</v>
      </c>
      <c r="AB85" s="356">
        <f t="shared" si="22"/>
        <v>0</v>
      </c>
    </row>
    <row r="86" spans="1:30" s="128" customFormat="1" ht="13.5" thickBot="1">
      <c r="A86" s="98" t="s">
        <v>41</v>
      </c>
      <c r="E86" s="99">
        <f>E62</f>
        <v>2000</v>
      </c>
      <c r="F86" s="99">
        <f>F62</f>
        <v>2001</v>
      </c>
      <c r="G86" s="99">
        <f t="shared" ref="G86:Y86" si="25">G62</f>
        <v>2002</v>
      </c>
      <c r="H86" s="99">
        <f t="shared" si="25"/>
        <v>2003</v>
      </c>
      <c r="I86" s="99">
        <f t="shared" si="25"/>
        <v>2004</v>
      </c>
      <c r="J86" s="99">
        <f t="shared" si="25"/>
        <v>2005</v>
      </c>
      <c r="K86" s="99">
        <f t="shared" si="25"/>
        <v>2006</v>
      </c>
      <c r="L86" s="99">
        <f t="shared" si="25"/>
        <v>2007</v>
      </c>
      <c r="M86" s="99">
        <f t="shared" si="25"/>
        <v>2008</v>
      </c>
      <c r="N86" s="99">
        <f t="shared" si="25"/>
        <v>2009</v>
      </c>
      <c r="O86" s="99">
        <f t="shared" si="25"/>
        <v>2010</v>
      </c>
      <c r="P86" s="99">
        <f t="shared" si="25"/>
        <v>2011</v>
      </c>
      <c r="Q86" s="99">
        <f t="shared" si="25"/>
        <v>2012</v>
      </c>
      <c r="R86" s="99">
        <f t="shared" si="25"/>
        <v>2013</v>
      </c>
      <c r="S86" s="99">
        <f t="shared" si="25"/>
        <v>2014</v>
      </c>
      <c r="T86" s="99">
        <f t="shared" si="25"/>
        <v>2015</v>
      </c>
      <c r="U86" s="99">
        <f t="shared" si="25"/>
        <v>2016</v>
      </c>
      <c r="V86" s="99">
        <f t="shared" si="25"/>
        <v>2017</v>
      </c>
      <c r="W86" s="99">
        <f t="shared" si="25"/>
        <v>2018</v>
      </c>
      <c r="X86" s="99">
        <f t="shared" si="25"/>
        <v>2019</v>
      </c>
      <c r="Y86" s="99">
        <f t="shared" si="25"/>
        <v>2020</v>
      </c>
      <c r="AA86" s="355">
        <f t="shared" si="8"/>
        <v>40210</v>
      </c>
      <c r="AB86" s="356">
        <f t="shared" si="22"/>
        <v>20105</v>
      </c>
    </row>
    <row r="87" spans="1:30" s="128" customFormat="1">
      <c r="AA87" s="355">
        <f t="shared" si="8"/>
        <v>0</v>
      </c>
      <c r="AB87" s="356">
        <f t="shared" si="22"/>
        <v>0</v>
      </c>
    </row>
    <row r="88" spans="1:30" s="128" customFormat="1">
      <c r="A88" s="11" t="s">
        <v>31</v>
      </c>
      <c r="F88" s="129">
        <f>F69</f>
        <v>9862</v>
      </c>
      <c r="G88" s="129">
        <f t="shared" ref="G88:Y88" si="26">G69</f>
        <v>3645</v>
      </c>
      <c r="H88" s="129">
        <f t="shared" si="26"/>
        <v>3679.5</v>
      </c>
      <c r="I88" s="129">
        <f t="shared" si="26"/>
        <v>3775.5</v>
      </c>
      <c r="J88" s="129">
        <f t="shared" si="26"/>
        <v>4842.0035543761078</v>
      </c>
      <c r="K88" s="129">
        <f t="shared" si="26"/>
        <v>5072.5017516292355</v>
      </c>
      <c r="L88" s="129">
        <f t="shared" si="26"/>
        <v>5168.4176091467971</v>
      </c>
      <c r="M88" s="129">
        <f t="shared" si="26"/>
        <v>5240.1534469181242</v>
      </c>
      <c r="N88" s="129">
        <f t="shared" si="26"/>
        <v>5313.8261523092806</v>
      </c>
      <c r="O88" s="129">
        <f t="shared" si="26"/>
        <v>5389.4880207459973</v>
      </c>
      <c r="P88" s="129">
        <f t="shared" si="26"/>
        <v>5470.0707129225248</v>
      </c>
      <c r="Q88" s="129">
        <f t="shared" si="26"/>
        <v>5552.9097204799928</v>
      </c>
      <c r="R88" s="129">
        <f t="shared" si="26"/>
        <v>5638.0682202490725</v>
      </c>
      <c r="S88" s="129">
        <f t="shared" si="26"/>
        <v>5725.6111580116849</v>
      </c>
      <c r="T88" s="129">
        <f t="shared" si="26"/>
        <v>5814.8074441404588</v>
      </c>
      <c r="U88" s="129">
        <f t="shared" si="26"/>
        <v>5905.8972739276542</v>
      </c>
      <c r="V88" s="129">
        <f t="shared" si="26"/>
        <v>5999.5376189488907</v>
      </c>
      <c r="W88" s="129">
        <f t="shared" si="26"/>
        <v>6095.7998936307222</v>
      </c>
      <c r="X88" s="129">
        <f t="shared" si="26"/>
        <v>6194.7575120036436</v>
      </c>
      <c r="Y88" s="129">
        <f t="shared" si="26"/>
        <v>6296.4859436910083</v>
      </c>
      <c r="AA88" s="355">
        <f t="shared" si="8"/>
        <v>110682.3360331312</v>
      </c>
      <c r="AB88" s="356">
        <f t="shared" si="22"/>
        <v>55341.1680165656</v>
      </c>
    </row>
    <row r="89" spans="1:30" s="128" customFormat="1">
      <c r="A89" s="128" t="s">
        <v>42</v>
      </c>
      <c r="F89" s="100">
        <f>F126+F127</f>
        <v>4230.3184764349344</v>
      </c>
      <c r="G89" s="100">
        <f t="shared" ref="G89:Y89" si="27">G126+G127</f>
        <v>13730.506812295895</v>
      </c>
      <c r="H89" s="100">
        <f t="shared" si="27"/>
        <v>7381.9822123775357</v>
      </c>
      <c r="I89" s="100">
        <f t="shared" si="27"/>
        <v>3529.6640774265215</v>
      </c>
      <c r="J89" s="100">
        <f t="shared" si="27"/>
        <v>2917.7576631032298</v>
      </c>
      <c r="K89" s="100">
        <f t="shared" si="27"/>
        <v>-62.419278784013017</v>
      </c>
      <c r="L89" s="100">
        <f t="shared" si="27"/>
        <v>-2965.379603247975</v>
      </c>
      <c r="M89" s="100">
        <f t="shared" si="27"/>
        <v>-3006.5380401692737</v>
      </c>
      <c r="N89" s="100">
        <f t="shared" si="27"/>
        <v>-3048.8077548874498</v>
      </c>
      <c r="O89" s="100">
        <f t="shared" si="27"/>
        <v>-3092.2187519030163</v>
      </c>
      <c r="P89" s="100">
        <f t="shared" si="27"/>
        <v>-3138.4530715392984</v>
      </c>
      <c r="Q89" s="100">
        <f t="shared" si="27"/>
        <v>-3185.9819521253962</v>
      </c>
      <c r="R89" s="100">
        <f t="shared" si="27"/>
        <v>-3234.8416413679056</v>
      </c>
      <c r="S89" s="100">
        <f t="shared" si="27"/>
        <v>-3285.0694019092043</v>
      </c>
      <c r="T89" s="100">
        <f t="shared" si="27"/>
        <v>-3336.245771075588</v>
      </c>
      <c r="U89" s="100">
        <f t="shared" si="27"/>
        <v>-3388.5085609159914</v>
      </c>
      <c r="V89" s="100">
        <f t="shared" si="27"/>
        <v>-3442.2347088719262</v>
      </c>
      <c r="W89" s="100">
        <f t="shared" si="27"/>
        <v>-3497.4651889706265</v>
      </c>
      <c r="X89" s="100">
        <f t="shared" si="27"/>
        <v>-3554.2421225120911</v>
      </c>
      <c r="Y89" s="100">
        <f t="shared" si="27"/>
        <v>-3612.6088101927162</v>
      </c>
      <c r="AA89" s="355">
        <f t="shared" si="8"/>
        <v>-14060.785416834355</v>
      </c>
      <c r="AB89" s="356">
        <f t="shared" si="22"/>
        <v>-7030.3927084171773</v>
      </c>
    </row>
    <row r="90" spans="1:30" s="128" customFormat="1">
      <c r="A90" s="128" t="s">
        <v>109</v>
      </c>
      <c r="F90" s="100">
        <f>F56</f>
        <v>0</v>
      </c>
      <c r="G90" s="100">
        <f t="shared" ref="G90:Y90" si="28">G56</f>
        <v>0</v>
      </c>
      <c r="H90" s="100">
        <f t="shared" si="28"/>
        <v>0</v>
      </c>
      <c r="I90" s="100">
        <f t="shared" si="28"/>
        <v>0</v>
      </c>
      <c r="J90" s="100">
        <f t="shared" si="28"/>
        <v>0</v>
      </c>
      <c r="K90" s="100">
        <f t="shared" si="28"/>
        <v>0</v>
      </c>
      <c r="L90" s="100">
        <f t="shared" si="28"/>
        <v>0</v>
      </c>
      <c r="M90" s="100">
        <f t="shared" si="28"/>
        <v>0</v>
      </c>
      <c r="N90" s="100">
        <f t="shared" si="28"/>
        <v>0</v>
      </c>
      <c r="O90" s="100">
        <f t="shared" si="28"/>
        <v>0</v>
      </c>
      <c r="P90" s="100">
        <f t="shared" si="28"/>
        <v>0</v>
      </c>
      <c r="Q90" s="100">
        <f t="shared" si="28"/>
        <v>0</v>
      </c>
      <c r="R90" s="100">
        <f t="shared" si="28"/>
        <v>0</v>
      </c>
      <c r="S90" s="100">
        <f t="shared" si="28"/>
        <v>0</v>
      </c>
      <c r="T90" s="100">
        <f t="shared" si="28"/>
        <v>0</v>
      </c>
      <c r="U90" s="100">
        <f t="shared" si="28"/>
        <v>0</v>
      </c>
      <c r="V90" s="100">
        <f t="shared" si="28"/>
        <v>0</v>
      </c>
      <c r="W90" s="100">
        <f t="shared" si="28"/>
        <v>0</v>
      </c>
      <c r="X90" s="100">
        <f t="shared" si="28"/>
        <v>0</v>
      </c>
      <c r="Y90" s="100">
        <f t="shared" si="28"/>
        <v>0</v>
      </c>
      <c r="AA90" s="355">
        <f t="shared" si="8"/>
        <v>0</v>
      </c>
      <c r="AB90" s="356">
        <f t="shared" si="22"/>
        <v>0</v>
      </c>
    </row>
    <row r="91" spans="1:30" s="128" customFormat="1" ht="15">
      <c r="A91" s="128" t="s">
        <v>43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f>Y99</f>
        <v>100743.77509905613</v>
      </c>
      <c r="AA91" s="355">
        <f t="shared" si="8"/>
        <v>100743.77509905613</v>
      </c>
      <c r="AB91" s="356">
        <f t="shared" si="22"/>
        <v>50371.887549528066</v>
      </c>
    </row>
    <row r="92" spans="1:30" s="128" customFormat="1">
      <c r="A92" s="128" t="s">
        <v>44</v>
      </c>
      <c r="E92" s="173">
        <v>-78323.865806346177</v>
      </c>
      <c r="F92" s="129">
        <f>SUM(F88:F91)</f>
        <v>14092.318476434935</v>
      </c>
      <c r="G92" s="129">
        <f t="shared" ref="G92:Y92" si="29">SUM(G88:G91)</f>
        <v>17375.506812295895</v>
      </c>
      <c r="H92" s="129">
        <f t="shared" si="29"/>
        <v>11061.482212377536</v>
      </c>
      <c r="I92" s="129">
        <f t="shared" si="29"/>
        <v>7305.1640774265215</v>
      </c>
      <c r="J92" s="129">
        <f t="shared" si="29"/>
        <v>7759.7612174793376</v>
      </c>
      <c r="K92" s="129">
        <f t="shared" si="29"/>
        <v>5010.0824728452226</v>
      </c>
      <c r="L92" s="129">
        <f t="shared" si="29"/>
        <v>2203.0380058988221</v>
      </c>
      <c r="M92" s="129">
        <f t="shared" si="29"/>
        <v>2233.6154067488505</v>
      </c>
      <c r="N92" s="129">
        <f t="shared" si="29"/>
        <v>2265.0183974218307</v>
      </c>
      <c r="O92" s="129">
        <f t="shared" si="29"/>
        <v>2297.2692688429811</v>
      </c>
      <c r="P92" s="129">
        <f t="shared" si="29"/>
        <v>2331.6176413832263</v>
      </c>
      <c r="Q92" s="129">
        <f t="shared" si="29"/>
        <v>2366.9277683545965</v>
      </c>
      <c r="R92" s="129">
        <f t="shared" si="29"/>
        <v>2403.2265788811669</v>
      </c>
      <c r="S92" s="129">
        <f t="shared" si="29"/>
        <v>2440.5417561024806</v>
      </c>
      <c r="T92" s="129">
        <f t="shared" si="29"/>
        <v>2478.5616730648708</v>
      </c>
      <c r="U92" s="129">
        <f t="shared" si="29"/>
        <v>2517.3887130116627</v>
      </c>
      <c r="V92" s="129">
        <f t="shared" si="29"/>
        <v>2557.3029100769645</v>
      </c>
      <c r="W92" s="129">
        <f t="shared" si="29"/>
        <v>2598.3347046600957</v>
      </c>
      <c r="X92" s="129">
        <f t="shared" si="29"/>
        <v>2640.5153894915525</v>
      </c>
      <c r="Y92" s="129">
        <f t="shared" si="29"/>
        <v>103427.65223255442</v>
      </c>
      <c r="AA92" s="355">
        <f t="shared" si="8"/>
        <v>197365.32571535296</v>
      </c>
      <c r="AB92" s="356">
        <f t="shared" si="22"/>
        <v>98682.662857676478</v>
      </c>
    </row>
    <row r="93" spans="1:30" s="128" customFormat="1" ht="13.5" thickBot="1"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355">
        <f t="shared" si="8"/>
        <v>0</v>
      </c>
      <c r="AB93" s="356">
        <f t="shared" si="22"/>
        <v>0</v>
      </c>
      <c r="AC93" s="132"/>
      <c r="AD93" s="132"/>
    </row>
    <row r="94" spans="1:30" s="128" customFormat="1">
      <c r="U94" s="102" t="s">
        <v>45</v>
      </c>
      <c r="V94" s="130"/>
      <c r="W94" s="130"/>
      <c r="X94" s="130"/>
      <c r="Y94" s="131"/>
      <c r="AA94" s="355">
        <f t="shared" si="8"/>
        <v>0</v>
      </c>
      <c r="AB94" s="356">
        <f t="shared" si="22"/>
        <v>0</v>
      </c>
    </row>
    <row r="95" spans="1:30" s="128" customFormat="1" ht="13.5" thickBot="1">
      <c r="A95" s="128" t="s">
        <v>46</v>
      </c>
      <c r="E95" s="174">
        <f>NPV(C96,E92:Y92)</f>
        <v>6.6751904717279132E-12</v>
      </c>
      <c r="R95" s="133"/>
      <c r="U95" s="134" t="s">
        <v>47</v>
      </c>
      <c r="V95" s="135"/>
      <c r="W95" s="135"/>
      <c r="X95" s="135"/>
      <c r="Y95" s="136">
        <f>Y39</f>
        <v>12592.971887382017</v>
      </c>
      <c r="AA95" s="355">
        <f t="shared" si="8"/>
        <v>12592.971887382017</v>
      </c>
      <c r="AB95" s="356">
        <f t="shared" si="22"/>
        <v>6296.4859436910083</v>
      </c>
    </row>
    <row r="96" spans="1:30" s="128" customFormat="1" ht="13.5" thickBot="1">
      <c r="A96" s="128" t="s">
        <v>48</v>
      </c>
      <c r="C96" s="152">
        <v>0.09</v>
      </c>
      <c r="R96" s="129"/>
      <c r="U96" s="137" t="s">
        <v>49</v>
      </c>
      <c r="V96" s="135"/>
      <c r="W96" s="135"/>
      <c r="X96" s="135"/>
      <c r="Y96" s="175">
        <v>1</v>
      </c>
      <c r="AA96" s="355">
        <f t="shared" si="8"/>
        <v>1</v>
      </c>
      <c r="AB96" s="356">
        <f t="shared" si="22"/>
        <v>0.5</v>
      </c>
    </row>
    <row r="97" spans="1:28" s="128" customFormat="1">
      <c r="U97" s="137" t="s">
        <v>50</v>
      </c>
      <c r="V97" s="135"/>
      <c r="W97" s="135"/>
      <c r="X97" s="135"/>
      <c r="Y97" s="138">
        <f>Y95*Y96</f>
        <v>12592.971887382017</v>
      </c>
      <c r="AA97" s="355">
        <f t="shared" si="8"/>
        <v>12592.971887382017</v>
      </c>
      <c r="AB97" s="356">
        <f t="shared" si="22"/>
        <v>6296.4859436910083</v>
      </c>
    </row>
    <row r="98" spans="1:28" s="128" customFormat="1">
      <c r="U98" s="137" t="s">
        <v>51</v>
      </c>
      <c r="V98" s="135"/>
      <c r="W98" s="135"/>
      <c r="X98" s="135"/>
      <c r="Y98" s="176">
        <v>8</v>
      </c>
      <c r="AA98" s="355">
        <f t="shared" si="8"/>
        <v>8</v>
      </c>
      <c r="AB98" s="356">
        <f t="shared" si="22"/>
        <v>4</v>
      </c>
    </row>
    <row r="99" spans="1:28" s="128" customFormat="1" ht="13.5" thickBot="1">
      <c r="U99" s="139" t="s">
        <v>45</v>
      </c>
      <c r="V99" s="140"/>
      <c r="W99" s="140"/>
      <c r="X99" s="140"/>
      <c r="Y99" s="141">
        <f>Y97*Y98</f>
        <v>100743.77509905613</v>
      </c>
      <c r="AA99" s="355">
        <f t="shared" si="8"/>
        <v>100743.77509905613</v>
      </c>
      <c r="AB99" s="356">
        <f t="shared" si="22"/>
        <v>50371.887549528066</v>
      </c>
    </row>
    <row r="100" spans="1:28" s="128" customFormat="1">
      <c r="A100" s="98" t="s">
        <v>52</v>
      </c>
      <c r="AA100" s="355">
        <f t="shared" si="8"/>
        <v>0</v>
      </c>
      <c r="AB100" s="356">
        <f t="shared" si="22"/>
        <v>0</v>
      </c>
    </row>
    <row r="101" spans="1:28" s="128" customFormat="1">
      <c r="A101" s="128" t="s">
        <v>53</v>
      </c>
      <c r="D101" s="177">
        <f>[12]FINANCIALS!$N$70+[12]FINANCIALS!$N$64</f>
        <v>65302.001680000001</v>
      </c>
      <c r="F101" s="409" t="s">
        <v>154</v>
      </c>
      <c r="G101" s="409"/>
      <c r="H101" s="410">
        <f>-AA66-AA46</f>
        <v>55341.1680165656</v>
      </c>
      <c r="AA101" s="355">
        <f t="shared" si="8"/>
        <v>55341.1680165656</v>
      </c>
      <c r="AB101" s="356">
        <f t="shared" si="22"/>
        <v>27670.5840082828</v>
      </c>
    </row>
    <row r="102" spans="1:28" s="128" customFormat="1" ht="15">
      <c r="A102" s="128" t="s">
        <v>54</v>
      </c>
      <c r="D102" s="101">
        <f>-E92</f>
        <v>78323.865806346177</v>
      </c>
      <c r="AA102" s="355">
        <f t="shared" si="8"/>
        <v>0</v>
      </c>
      <c r="AB102" s="356">
        <f t="shared" si="22"/>
        <v>0</v>
      </c>
    </row>
    <row r="103" spans="1:28" s="128" customFormat="1">
      <c r="D103" s="142">
        <f>D101+D102</f>
        <v>143625.86748634616</v>
      </c>
      <c r="AA103" s="355">
        <f t="shared" si="8"/>
        <v>0</v>
      </c>
      <c r="AB103" s="356">
        <f t="shared" si="22"/>
        <v>0</v>
      </c>
    </row>
    <row r="104" spans="1:28" s="128" customFormat="1">
      <c r="A104" s="128" t="s">
        <v>55</v>
      </c>
      <c r="D104" s="178">
        <v>0.9</v>
      </c>
      <c r="AA104" s="355">
        <f t="shared" ref="AA104:AA152" si="30">SUM(F104:Y104)</f>
        <v>0</v>
      </c>
      <c r="AB104" s="356">
        <f t="shared" si="22"/>
        <v>0</v>
      </c>
    </row>
    <row r="105" spans="1:28" s="128" customFormat="1">
      <c r="A105" s="128" t="s">
        <v>56</v>
      </c>
      <c r="D105" s="142">
        <f>D103*D104</f>
        <v>129263.28073771155</v>
      </c>
      <c r="F105" s="411"/>
      <c r="G105" s="412"/>
      <c r="AA105" s="355">
        <f t="shared" si="30"/>
        <v>0</v>
      </c>
      <c r="AB105" s="356">
        <f t="shared" si="22"/>
        <v>0</v>
      </c>
    </row>
    <row r="106" spans="1:28" s="128" customFormat="1">
      <c r="AA106" s="355">
        <f t="shared" si="30"/>
        <v>0</v>
      </c>
      <c r="AB106" s="356">
        <f t="shared" si="22"/>
        <v>0</v>
      </c>
    </row>
    <row r="107" spans="1:28" s="128" customFormat="1" ht="13.5" thickBot="1">
      <c r="F107" s="99">
        <f>F5</f>
        <v>2001</v>
      </c>
      <c r="G107" s="99">
        <f>F107+1</f>
        <v>2002</v>
      </c>
      <c r="H107" s="99">
        <f t="shared" ref="H107:Y107" si="31">G107+1</f>
        <v>2003</v>
      </c>
      <c r="I107" s="99">
        <f t="shared" si="31"/>
        <v>2004</v>
      </c>
      <c r="J107" s="99">
        <f t="shared" si="31"/>
        <v>2005</v>
      </c>
      <c r="K107" s="99">
        <f t="shared" si="31"/>
        <v>2006</v>
      </c>
      <c r="L107" s="99">
        <f t="shared" si="31"/>
        <v>2007</v>
      </c>
      <c r="M107" s="99">
        <f t="shared" si="31"/>
        <v>2008</v>
      </c>
      <c r="N107" s="99">
        <f t="shared" si="31"/>
        <v>2009</v>
      </c>
      <c r="O107" s="99">
        <f t="shared" si="31"/>
        <v>2010</v>
      </c>
      <c r="P107" s="99">
        <f t="shared" si="31"/>
        <v>2011</v>
      </c>
      <c r="Q107" s="99">
        <f t="shared" si="31"/>
        <v>2012</v>
      </c>
      <c r="R107" s="99">
        <f t="shared" si="31"/>
        <v>2013</v>
      </c>
      <c r="S107" s="99">
        <f t="shared" si="31"/>
        <v>2014</v>
      </c>
      <c r="T107" s="99">
        <f t="shared" si="31"/>
        <v>2015</v>
      </c>
      <c r="U107" s="99">
        <f t="shared" si="31"/>
        <v>2016</v>
      </c>
      <c r="V107" s="99">
        <f t="shared" si="31"/>
        <v>2017</v>
      </c>
      <c r="W107" s="99">
        <f t="shared" si="31"/>
        <v>2018</v>
      </c>
      <c r="X107" s="99">
        <f t="shared" si="31"/>
        <v>2019</v>
      </c>
      <c r="Y107" s="99">
        <f t="shared" si="31"/>
        <v>2020</v>
      </c>
      <c r="AA107" s="355">
        <f t="shared" si="30"/>
        <v>40210</v>
      </c>
      <c r="AB107" s="356">
        <f t="shared" si="22"/>
        <v>20105</v>
      </c>
    </row>
    <row r="108" spans="1:28" s="128" customFormat="1">
      <c r="A108" s="103" t="s">
        <v>57</v>
      </c>
      <c r="AA108" s="355">
        <f t="shared" si="30"/>
        <v>0</v>
      </c>
      <c r="AB108" s="356">
        <f t="shared" si="22"/>
        <v>0</v>
      </c>
    </row>
    <row r="109" spans="1:28" s="128" customFormat="1">
      <c r="A109" s="128" t="s">
        <v>58</v>
      </c>
      <c r="B109" s="179">
        <v>30</v>
      </c>
      <c r="C109" s="128" t="s">
        <v>0</v>
      </c>
      <c r="D109" s="143">
        <f>D105</f>
        <v>129263.28073771155</v>
      </c>
      <c r="F109" s="132">
        <f>ROUND(D109/$B$109,0)</f>
        <v>4309</v>
      </c>
      <c r="G109" s="132">
        <f>F109</f>
        <v>4309</v>
      </c>
      <c r="H109" s="132">
        <f t="shared" ref="H109:Y110" si="32">G109</f>
        <v>4309</v>
      </c>
      <c r="I109" s="132">
        <f t="shared" si="32"/>
        <v>4309</v>
      </c>
      <c r="J109" s="132">
        <f t="shared" si="32"/>
        <v>4309</v>
      </c>
      <c r="K109" s="132">
        <f t="shared" si="32"/>
        <v>4309</v>
      </c>
      <c r="L109" s="132">
        <f t="shared" si="32"/>
        <v>4309</v>
      </c>
      <c r="M109" s="132">
        <f t="shared" si="32"/>
        <v>4309</v>
      </c>
      <c r="N109" s="132">
        <f t="shared" si="32"/>
        <v>4309</v>
      </c>
      <c r="O109" s="132">
        <f t="shared" si="32"/>
        <v>4309</v>
      </c>
      <c r="P109" s="132">
        <f t="shared" si="32"/>
        <v>4309</v>
      </c>
      <c r="Q109" s="132">
        <f t="shared" si="32"/>
        <v>4309</v>
      </c>
      <c r="R109" s="132">
        <f t="shared" si="32"/>
        <v>4309</v>
      </c>
      <c r="S109" s="132">
        <f t="shared" si="32"/>
        <v>4309</v>
      </c>
      <c r="T109" s="132">
        <f t="shared" si="32"/>
        <v>4309</v>
      </c>
      <c r="U109" s="132">
        <f t="shared" si="32"/>
        <v>4309</v>
      </c>
      <c r="V109" s="132">
        <f t="shared" si="32"/>
        <v>4309</v>
      </c>
      <c r="W109" s="132">
        <f t="shared" si="32"/>
        <v>4309</v>
      </c>
      <c r="X109" s="132">
        <f t="shared" si="32"/>
        <v>4309</v>
      </c>
      <c r="Y109" s="132">
        <f t="shared" si="32"/>
        <v>4309</v>
      </c>
      <c r="AA109" s="355">
        <f t="shared" si="30"/>
        <v>86180</v>
      </c>
      <c r="AB109" s="356">
        <f t="shared" si="22"/>
        <v>43090</v>
      </c>
    </row>
    <row r="110" spans="1:28" s="128" customFormat="1">
      <c r="A110" s="128" t="s">
        <v>138</v>
      </c>
      <c r="D110" s="143">
        <f>D104*'FPLE_Wind Summary'!J18</f>
        <v>5997.4584215723971</v>
      </c>
      <c r="F110" s="132">
        <f>ROUND(D110/$B$109,0)</f>
        <v>200</v>
      </c>
      <c r="G110" s="132">
        <f>F110</f>
        <v>200</v>
      </c>
      <c r="H110" s="132">
        <f t="shared" si="32"/>
        <v>200</v>
      </c>
      <c r="I110" s="132">
        <f t="shared" si="32"/>
        <v>200</v>
      </c>
      <c r="J110" s="132">
        <f t="shared" si="32"/>
        <v>200</v>
      </c>
      <c r="K110" s="132">
        <f t="shared" si="32"/>
        <v>200</v>
      </c>
      <c r="L110" s="132">
        <f t="shared" si="32"/>
        <v>200</v>
      </c>
      <c r="M110" s="132">
        <f t="shared" si="32"/>
        <v>200</v>
      </c>
      <c r="N110" s="132">
        <f t="shared" si="32"/>
        <v>200</v>
      </c>
      <c r="O110" s="132">
        <f t="shared" si="32"/>
        <v>200</v>
      </c>
      <c r="P110" s="132">
        <f t="shared" si="32"/>
        <v>200</v>
      </c>
      <c r="Q110" s="132">
        <f t="shared" si="32"/>
        <v>200</v>
      </c>
      <c r="R110" s="132">
        <f t="shared" si="32"/>
        <v>200</v>
      </c>
      <c r="S110" s="132">
        <f t="shared" si="32"/>
        <v>200</v>
      </c>
      <c r="T110" s="132">
        <f t="shared" si="32"/>
        <v>200</v>
      </c>
      <c r="U110" s="132">
        <f t="shared" si="32"/>
        <v>200</v>
      </c>
      <c r="V110" s="132">
        <f t="shared" si="32"/>
        <v>200</v>
      </c>
      <c r="W110" s="132">
        <f t="shared" si="32"/>
        <v>200</v>
      </c>
      <c r="X110" s="132">
        <f t="shared" si="32"/>
        <v>200</v>
      </c>
      <c r="Y110" s="132">
        <f t="shared" si="32"/>
        <v>200</v>
      </c>
      <c r="AA110" s="355">
        <f t="shared" si="30"/>
        <v>4000</v>
      </c>
      <c r="AB110" s="356">
        <f t="shared" si="22"/>
        <v>2000</v>
      </c>
    </row>
    <row r="111" spans="1:28" s="128" customFormat="1">
      <c r="AA111" s="355">
        <f t="shared" si="30"/>
        <v>0</v>
      </c>
      <c r="AB111" s="356">
        <f t="shared" si="22"/>
        <v>0</v>
      </c>
    </row>
    <row r="112" spans="1:28" s="128" customFormat="1">
      <c r="A112" s="103" t="s">
        <v>59</v>
      </c>
      <c r="AA112" s="355">
        <f t="shared" si="30"/>
        <v>0</v>
      </c>
      <c r="AB112" s="356">
        <f t="shared" si="22"/>
        <v>0</v>
      </c>
    </row>
    <row r="113" spans="1:28" s="128" customFormat="1">
      <c r="A113" s="104" t="s">
        <v>60</v>
      </c>
      <c r="D113" s="143">
        <f>D109</f>
        <v>129263.28073771155</v>
      </c>
      <c r="AA113" s="355">
        <f t="shared" si="30"/>
        <v>0</v>
      </c>
      <c r="AB113" s="356">
        <f t="shared" si="22"/>
        <v>0</v>
      </c>
    </row>
    <row r="114" spans="1:28" s="128" customFormat="1">
      <c r="A114" s="128" t="s">
        <v>61</v>
      </c>
      <c r="E114" s="144"/>
      <c r="F114" s="180">
        <v>0.2</v>
      </c>
      <c r="G114" s="180">
        <v>0.32</v>
      </c>
      <c r="H114" s="180">
        <v>0.192</v>
      </c>
      <c r="I114" s="180">
        <v>0.1152</v>
      </c>
      <c r="J114" s="180">
        <v>0.1152</v>
      </c>
      <c r="K114" s="180">
        <v>5.7599999999999998E-2</v>
      </c>
      <c r="L114" s="180">
        <v>0</v>
      </c>
      <c r="M114" s="180">
        <v>0</v>
      </c>
      <c r="N114" s="180">
        <v>0</v>
      </c>
      <c r="O114" s="180">
        <v>0</v>
      </c>
      <c r="P114" s="180">
        <v>0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45"/>
      <c r="AA114" s="355">
        <f t="shared" si="30"/>
        <v>0.99999999999999989</v>
      </c>
      <c r="AB114" s="356">
        <f t="shared" si="22"/>
        <v>0.49999999999999994</v>
      </c>
    </row>
    <row r="115" spans="1:28" s="128" customFormat="1">
      <c r="A115" s="128" t="s">
        <v>59</v>
      </c>
      <c r="F115" s="132">
        <f t="shared" ref="F115:Y115" si="33">$D$113*F114</f>
        <v>25852.656147542311</v>
      </c>
      <c r="G115" s="132">
        <f t="shared" si="33"/>
        <v>41364.249836067698</v>
      </c>
      <c r="H115" s="132">
        <f t="shared" si="33"/>
        <v>24818.549901640617</v>
      </c>
      <c r="I115" s="132">
        <f t="shared" si="33"/>
        <v>14891.12994098437</v>
      </c>
      <c r="J115" s="132">
        <f t="shared" si="33"/>
        <v>14891.12994098437</v>
      </c>
      <c r="K115" s="132">
        <f t="shared" si="33"/>
        <v>7445.5649704921852</v>
      </c>
      <c r="L115" s="132">
        <f t="shared" si="33"/>
        <v>0</v>
      </c>
      <c r="M115" s="132">
        <f t="shared" si="33"/>
        <v>0</v>
      </c>
      <c r="N115" s="132">
        <f t="shared" si="33"/>
        <v>0</v>
      </c>
      <c r="O115" s="132">
        <f t="shared" si="33"/>
        <v>0</v>
      </c>
      <c r="P115" s="132">
        <f t="shared" si="33"/>
        <v>0</v>
      </c>
      <c r="Q115" s="132">
        <f t="shared" si="33"/>
        <v>0</v>
      </c>
      <c r="R115" s="132">
        <f t="shared" si="33"/>
        <v>0</v>
      </c>
      <c r="S115" s="132">
        <f t="shared" si="33"/>
        <v>0</v>
      </c>
      <c r="T115" s="132">
        <f t="shared" si="33"/>
        <v>0</v>
      </c>
      <c r="U115" s="132">
        <f t="shared" si="33"/>
        <v>0</v>
      </c>
      <c r="V115" s="132">
        <f t="shared" si="33"/>
        <v>0</v>
      </c>
      <c r="W115" s="132">
        <f t="shared" si="33"/>
        <v>0</v>
      </c>
      <c r="X115" s="132">
        <f t="shared" si="33"/>
        <v>0</v>
      </c>
      <c r="Y115" s="132">
        <f t="shared" si="33"/>
        <v>0</v>
      </c>
      <c r="AA115" s="355">
        <f t="shared" si="30"/>
        <v>129263.28073771152</v>
      </c>
      <c r="AB115" s="356">
        <f t="shared" si="22"/>
        <v>64631.640368855762</v>
      </c>
    </row>
    <row r="116" spans="1:28" s="128" customFormat="1">
      <c r="A116" s="128" t="s">
        <v>138</v>
      </c>
      <c r="D116" s="143">
        <f>D110</f>
        <v>5997.4584215723971</v>
      </c>
      <c r="F116" s="132">
        <f>$D$116*F114</f>
        <v>1199.4916843144795</v>
      </c>
      <c r="G116" s="132">
        <f t="shared" ref="G116:Y116" si="34">$D$116*G114</f>
        <v>1919.1866949031671</v>
      </c>
      <c r="H116" s="132">
        <f t="shared" si="34"/>
        <v>1151.5120169419004</v>
      </c>
      <c r="I116" s="132">
        <f t="shared" si="34"/>
        <v>690.9072101651401</v>
      </c>
      <c r="J116" s="132">
        <f t="shared" si="34"/>
        <v>690.9072101651401</v>
      </c>
      <c r="K116" s="132">
        <f t="shared" si="34"/>
        <v>345.45360508257005</v>
      </c>
      <c r="L116" s="132">
        <f t="shared" si="34"/>
        <v>0</v>
      </c>
      <c r="M116" s="132">
        <f t="shared" si="34"/>
        <v>0</v>
      </c>
      <c r="N116" s="132">
        <f t="shared" si="34"/>
        <v>0</v>
      </c>
      <c r="O116" s="132">
        <f t="shared" si="34"/>
        <v>0</v>
      </c>
      <c r="P116" s="132">
        <f t="shared" si="34"/>
        <v>0</v>
      </c>
      <c r="Q116" s="132">
        <f t="shared" si="34"/>
        <v>0</v>
      </c>
      <c r="R116" s="132">
        <f t="shared" si="34"/>
        <v>0</v>
      </c>
      <c r="S116" s="132">
        <f t="shared" si="34"/>
        <v>0</v>
      </c>
      <c r="T116" s="132">
        <f t="shared" si="34"/>
        <v>0</v>
      </c>
      <c r="U116" s="132">
        <f t="shared" si="34"/>
        <v>0</v>
      </c>
      <c r="V116" s="132">
        <f t="shared" si="34"/>
        <v>0</v>
      </c>
      <c r="W116" s="132">
        <f t="shared" si="34"/>
        <v>0</v>
      </c>
      <c r="X116" s="132">
        <f t="shared" si="34"/>
        <v>0</v>
      </c>
      <c r="Y116" s="132">
        <f t="shared" si="34"/>
        <v>0</v>
      </c>
      <c r="AA116" s="355">
        <f t="shared" si="30"/>
        <v>5997.4584215723971</v>
      </c>
      <c r="AB116" s="356">
        <f t="shared" si="22"/>
        <v>2998.7292107861986</v>
      </c>
    </row>
    <row r="117" spans="1:28" s="128" customFormat="1">
      <c r="AA117" s="355">
        <f t="shared" si="30"/>
        <v>0</v>
      </c>
      <c r="AB117" s="356">
        <f t="shared" si="22"/>
        <v>0</v>
      </c>
    </row>
    <row r="118" spans="1:28" s="128" customFormat="1">
      <c r="AA118" s="355">
        <f t="shared" si="30"/>
        <v>0</v>
      </c>
      <c r="AB118" s="356">
        <f t="shared" si="22"/>
        <v>0</v>
      </c>
    </row>
    <row r="119" spans="1:28" s="128" customFormat="1" ht="13.5" thickBot="1">
      <c r="F119" s="99">
        <f>F107</f>
        <v>2001</v>
      </c>
      <c r="G119" s="99">
        <f t="shared" ref="G119:Y119" si="35">G107</f>
        <v>2002</v>
      </c>
      <c r="H119" s="99">
        <f t="shared" si="35"/>
        <v>2003</v>
      </c>
      <c r="I119" s="99">
        <f t="shared" si="35"/>
        <v>2004</v>
      </c>
      <c r="J119" s="99">
        <f t="shared" si="35"/>
        <v>2005</v>
      </c>
      <c r="K119" s="99">
        <f t="shared" si="35"/>
        <v>2006</v>
      </c>
      <c r="L119" s="99">
        <f t="shared" si="35"/>
        <v>2007</v>
      </c>
      <c r="M119" s="99">
        <f t="shared" si="35"/>
        <v>2008</v>
      </c>
      <c r="N119" s="99">
        <f t="shared" si="35"/>
        <v>2009</v>
      </c>
      <c r="O119" s="99">
        <f t="shared" si="35"/>
        <v>2010</v>
      </c>
      <c r="P119" s="99">
        <f t="shared" si="35"/>
        <v>2011</v>
      </c>
      <c r="Q119" s="99">
        <f t="shared" si="35"/>
        <v>2012</v>
      </c>
      <c r="R119" s="99">
        <f t="shared" si="35"/>
        <v>2013</v>
      </c>
      <c r="S119" s="99">
        <f t="shared" si="35"/>
        <v>2014</v>
      </c>
      <c r="T119" s="99">
        <f t="shared" si="35"/>
        <v>2015</v>
      </c>
      <c r="U119" s="99">
        <f t="shared" si="35"/>
        <v>2016</v>
      </c>
      <c r="V119" s="99">
        <f t="shared" si="35"/>
        <v>2017</v>
      </c>
      <c r="W119" s="99">
        <f t="shared" si="35"/>
        <v>2018</v>
      </c>
      <c r="X119" s="99">
        <f t="shared" si="35"/>
        <v>2019</v>
      </c>
      <c r="Y119" s="99">
        <f t="shared" si="35"/>
        <v>2020</v>
      </c>
      <c r="AA119" s="355">
        <f t="shared" si="30"/>
        <v>40210</v>
      </c>
      <c r="AB119" s="356">
        <f t="shared" si="22"/>
        <v>20105</v>
      </c>
    </row>
    <row r="120" spans="1:28" s="128" customFormat="1">
      <c r="A120" s="98" t="s">
        <v>62</v>
      </c>
      <c r="AA120" s="355">
        <f t="shared" si="30"/>
        <v>0</v>
      </c>
      <c r="AB120" s="356">
        <f t="shared" si="22"/>
        <v>0</v>
      </c>
    </row>
    <row r="121" spans="1:28" s="128" customFormat="1">
      <c r="A121" s="146" t="str">
        <f>A64</f>
        <v>EBITDA</v>
      </c>
      <c r="F121" s="132">
        <f>F39</f>
        <v>19724</v>
      </c>
      <c r="G121" s="132">
        <f t="shared" ref="G121:Y121" si="36">G39</f>
        <v>7290</v>
      </c>
      <c r="H121" s="132">
        <f t="shared" si="36"/>
        <v>7359</v>
      </c>
      <c r="I121" s="132">
        <f t="shared" si="36"/>
        <v>7551</v>
      </c>
      <c r="J121" s="132">
        <f>J39</f>
        <v>9684.0071087522156</v>
      </c>
      <c r="K121" s="132">
        <f t="shared" si="36"/>
        <v>10145.003503258471</v>
      </c>
      <c r="L121" s="132">
        <f t="shared" si="36"/>
        <v>10336.835218293594</v>
      </c>
      <c r="M121" s="132">
        <f t="shared" si="36"/>
        <v>10480.306893836248</v>
      </c>
      <c r="N121" s="132">
        <f t="shared" si="36"/>
        <v>10627.652304618561</v>
      </c>
      <c r="O121" s="132">
        <f t="shared" si="36"/>
        <v>10778.976041491995</v>
      </c>
      <c r="P121" s="132">
        <f t="shared" si="36"/>
        <v>10940.14142584505</v>
      </c>
      <c r="Q121" s="132">
        <f t="shared" si="36"/>
        <v>11105.819440959986</v>
      </c>
      <c r="R121" s="132">
        <f t="shared" si="36"/>
        <v>11276.136440498145</v>
      </c>
      <c r="S121" s="132">
        <f t="shared" si="36"/>
        <v>11451.22231602337</v>
      </c>
      <c r="T121" s="132">
        <f t="shared" si="36"/>
        <v>11629.614888280918</v>
      </c>
      <c r="U121" s="132">
        <f t="shared" si="36"/>
        <v>11811.794547855308</v>
      </c>
      <c r="V121" s="132">
        <f t="shared" si="36"/>
        <v>11999.075237897781</v>
      </c>
      <c r="W121" s="132">
        <f t="shared" si="36"/>
        <v>12191.599787261444</v>
      </c>
      <c r="X121" s="132">
        <f t="shared" si="36"/>
        <v>12389.515024007287</v>
      </c>
      <c r="Y121" s="132">
        <f t="shared" si="36"/>
        <v>12592.971887382017</v>
      </c>
      <c r="AA121" s="355">
        <f t="shared" si="30"/>
        <v>221364.6720662624</v>
      </c>
      <c r="AB121" s="356">
        <f t="shared" si="22"/>
        <v>110682.3360331312</v>
      </c>
    </row>
    <row r="122" spans="1:28" s="128" customFormat="1">
      <c r="A122" s="128" t="s">
        <v>63</v>
      </c>
      <c r="F122" s="132">
        <f>-F115</f>
        <v>-25852.656147542311</v>
      </c>
      <c r="G122" s="132">
        <f t="shared" ref="G122:Y122" si="37">-G115</f>
        <v>-41364.249836067698</v>
      </c>
      <c r="H122" s="132">
        <f t="shared" si="37"/>
        <v>-24818.549901640617</v>
      </c>
      <c r="I122" s="132">
        <f t="shared" si="37"/>
        <v>-14891.12994098437</v>
      </c>
      <c r="J122" s="132">
        <f t="shared" si="37"/>
        <v>-14891.12994098437</v>
      </c>
      <c r="K122" s="132">
        <f t="shared" si="37"/>
        <v>-7445.5649704921852</v>
      </c>
      <c r="L122" s="132">
        <f t="shared" si="37"/>
        <v>0</v>
      </c>
      <c r="M122" s="132">
        <f t="shared" si="37"/>
        <v>0</v>
      </c>
      <c r="N122" s="132">
        <f t="shared" si="37"/>
        <v>0</v>
      </c>
      <c r="O122" s="132">
        <f t="shared" si="37"/>
        <v>0</v>
      </c>
      <c r="P122" s="132">
        <f t="shared" si="37"/>
        <v>0</v>
      </c>
      <c r="Q122" s="132">
        <f t="shared" si="37"/>
        <v>0</v>
      </c>
      <c r="R122" s="132">
        <f t="shared" si="37"/>
        <v>0</v>
      </c>
      <c r="S122" s="132">
        <f t="shared" si="37"/>
        <v>0</v>
      </c>
      <c r="T122" s="132">
        <f t="shared" si="37"/>
        <v>0</v>
      </c>
      <c r="U122" s="132">
        <f t="shared" si="37"/>
        <v>0</v>
      </c>
      <c r="V122" s="132">
        <f t="shared" si="37"/>
        <v>0</v>
      </c>
      <c r="W122" s="132">
        <f t="shared" si="37"/>
        <v>0</v>
      </c>
      <c r="X122" s="132">
        <f t="shared" si="37"/>
        <v>0</v>
      </c>
      <c r="Y122" s="132">
        <f t="shared" si="37"/>
        <v>0</v>
      </c>
      <c r="AA122" s="355">
        <f t="shared" si="30"/>
        <v>-129263.28073771152</v>
      </c>
      <c r="AB122" s="356">
        <f t="shared" si="22"/>
        <v>-64631.640368855762</v>
      </c>
    </row>
    <row r="123" spans="1:28" s="128" customFormat="1">
      <c r="A123" s="128" t="s">
        <v>64</v>
      </c>
      <c r="F123" s="147">
        <f>-F46</f>
        <v>-4931</v>
      </c>
      <c r="G123" s="147">
        <f t="shared" ref="G123:Y123" si="38">-G46</f>
        <v>-1822.5</v>
      </c>
      <c r="H123" s="147">
        <f t="shared" si="38"/>
        <v>-1839.75</v>
      </c>
      <c r="I123" s="147">
        <f t="shared" si="38"/>
        <v>-1887.75</v>
      </c>
      <c r="J123" s="147">
        <f t="shared" si="38"/>
        <v>-2421.0017771880539</v>
      </c>
      <c r="K123" s="147">
        <f t="shared" si="38"/>
        <v>-2536.2508758146178</v>
      </c>
      <c r="L123" s="147">
        <f t="shared" si="38"/>
        <v>-2584.2088045733985</v>
      </c>
      <c r="M123" s="147">
        <f t="shared" si="38"/>
        <v>-2620.0767234590621</v>
      </c>
      <c r="N123" s="147">
        <f t="shared" si="38"/>
        <v>-2656.9130761546403</v>
      </c>
      <c r="O123" s="147">
        <f t="shared" si="38"/>
        <v>-2694.7440103729987</v>
      </c>
      <c r="P123" s="147">
        <f t="shared" si="38"/>
        <v>-2735.0353564612624</v>
      </c>
      <c r="Q123" s="147">
        <f t="shared" si="38"/>
        <v>-2776.4548602399964</v>
      </c>
      <c r="R123" s="147">
        <f t="shared" si="38"/>
        <v>-2819.0341101245363</v>
      </c>
      <c r="S123" s="147">
        <f t="shared" si="38"/>
        <v>-2862.8055790058424</v>
      </c>
      <c r="T123" s="147">
        <f t="shared" si="38"/>
        <v>-2907.4037220702294</v>
      </c>
      <c r="U123" s="147">
        <f t="shared" si="38"/>
        <v>-2952.9486369638271</v>
      </c>
      <c r="V123" s="147">
        <f t="shared" si="38"/>
        <v>-2999.7688094744453</v>
      </c>
      <c r="W123" s="147">
        <f t="shared" si="38"/>
        <v>-3047.8999468153611</v>
      </c>
      <c r="X123" s="147">
        <f t="shared" si="38"/>
        <v>-3097.3787560018218</v>
      </c>
      <c r="Y123" s="147">
        <f t="shared" si="38"/>
        <v>-3148.2429718455041</v>
      </c>
      <c r="AA123" s="355">
        <f t="shared" si="30"/>
        <v>-55341.1680165656</v>
      </c>
      <c r="AB123" s="356">
        <f t="shared" si="22"/>
        <v>-27670.5840082828</v>
      </c>
    </row>
    <row r="124" spans="1:28" s="128" customFormat="1">
      <c r="A124" s="128" t="s">
        <v>65</v>
      </c>
      <c r="F124" s="132">
        <f>SUM(F121:F123)</f>
        <v>-11059.656147542311</v>
      </c>
      <c r="G124" s="132">
        <f t="shared" ref="G124:Y124" si="39">SUM(G121:G123)</f>
        <v>-35896.749836067698</v>
      </c>
      <c r="H124" s="132">
        <f t="shared" si="39"/>
        <v>-19299.299901640617</v>
      </c>
      <c r="I124" s="132">
        <f t="shared" si="39"/>
        <v>-9227.8799409843705</v>
      </c>
      <c r="J124" s="132">
        <f t="shared" si="39"/>
        <v>-7628.1246094202088</v>
      </c>
      <c r="K124" s="132">
        <f t="shared" si="39"/>
        <v>163.18765695166803</v>
      </c>
      <c r="L124" s="132">
        <f t="shared" si="39"/>
        <v>7752.6264137201961</v>
      </c>
      <c r="M124" s="132">
        <f t="shared" si="39"/>
        <v>7860.2301703771864</v>
      </c>
      <c r="N124" s="132">
        <f t="shared" si="39"/>
        <v>7970.7392284639209</v>
      </c>
      <c r="O124" s="132">
        <f t="shared" si="39"/>
        <v>8084.232031118996</v>
      </c>
      <c r="P124" s="132">
        <f t="shared" si="39"/>
        <v>8205.1060693837862</v>
      </c>
      <c r="Q124" s="132">
        <f t="shared" si="39"/>
        <v>8329.36458071999</v>
      </c>
      <c r="R124" s="132">
        <f t="shared" si="39"/>
        <v>8457.1023303736092</v>
      </c>
      <c r="S124" s="132">
        <f t="shared" si="39"/>
        <v>8588.4167370175273</v>
      </c>
      <c r="T124" s="132">
        <f t="shared" si="39"/>
        <v>8722.2111662106872</v>
      </c>
      <c r="U124" s="132">
        <f t="shared" si="39"/>
        <v>8858.8459108914813</v>
      </c>
      <c r="V124" s="132">
        <f t="shared" si="39"/>
        <v>8999.3064284233369</v>
      </c>
      <c r="W124" s="132">
        <f t="shared" si="39"/>
        <v>9143.6998404460828</v>
      </c>
      <c r="X124" s="132">
        <f t="shared" si="39"/>
        <v>9292.1362680054663</v>
      </c>
      <c r="Y124" s="132">
        <f t="shared" si="39"/>
        <v>9444.7289155365124</v>
      </c>
      <c r="AA124" s="355">
        <f t="shared" si="30"/>
        <v>36760.223311985261</v>
      </c>
      <c r="AB124" s="356">
        <f t="shared" si="22"/>
        <v>18380.11165599263</v>
      </c>
    </row>
    <row r="125" spans="1:28" s="128" customFormat="1">
      <c r="AA125" s="355">
        <f t="shared" si="30"/>
        <v>0</v>
      </c>
      <c r="AB125" s="356">
        <f t="shared" si="22"/>
        <v>0</v>
      </c>
    </row>
    <row r="126" spans="1:28" s="128" customFormat="1">
      <c r="A126" s="128" t="s">
        <v>77</v>
      </c>
      <c r="C126" s="148">
        <f>C51</f>
        <v>0.05</v>
      </c>
      <c r="F126" s="132">
        <f>-F124*$C$126</f>
        <v>552.98280737711559</v>
      </c>
      <c r="G126" s="132">
        <f t="shared" ref="G126:Y126" si="40">-G124*$C$126</f>
        <v>1794.8374918033851</v>
      </c>
      <c r="H126" s="132">
        <f t="shared" si="40"/>
        <v>964.9649950820309</v>
      </c>
      <c r="I126" s="132">
        <f t="shared" si="40"/>
        <v>461.39399704921857</v>
      </c>
      <c r="J126" s="132">
        <f t="shared" si="40"/>
        <v>381.40623047101047</v>
      </c>
      <c r="K126" s="132">
        <f t="shared" si="40"/>
        <v>-8.1593828475834016</v>
      </c>
      <c r="L126" s="132">
        <f t="shared" si="40"/>
        <v>-387.63132068600981</v>
      </c>
      <c r="M126" s="132">
        <f t="shared" si="40"/>
        <v>-393.01150851885933</v>
      </c>
      <c r="N126" s="132">
        <f t="shared" si="40"/>
        <v>-398.53696142319609</v>
      </c>
      <c r="O126" s="132">
        <f t="shared" si="40"/>
        <v>-404.21160155594981</v>
      </c>
      <c r="P126" s="132">
        <f t="shared" si="40"/>
        <v>-410.25530346918936</v>
      </c>
      <c r="Q126" s="132">
        <f t="shared" si="40"/>
        <v>-416.46822903599951</v>
      </c>
      <c r="R126" s="132">
        <f t="shared" si="40"/>
        <v>-422.85511651868046</v>
      </c>
      <c r="S126" s="132">
        <f t="shared" si="40"/>
        <v>-429.42083685087641</v>
      </c>
      <c r="T126" s="132">
        <f t="shared" si="40"/>
        <v>-436.11055831053437</v>
      </c>
      <c r="U126" s="132">
        <f t="shared" si="40"/>
        <v>-442.94229554457411</v>
      </c>
      <c r="V126" s="132">
        <f t="shared" si="40"/>
        <v>-449.96532142116689</v>
      </c>
      <c r="W126" s="132">
        <f t="shared" si="40"/>
        <v>-457.18499202230419</v>
      </c>
      <c r="X126" s="132">
        <f t="shared" si="40"/>
        <v>-464.60681340027332</v>
      </c>
      <c r="Y126" s="132">
        <f t="shared" si="40"/>
        <v>-472.23644577682563</v>
      </c>
      <c r="AA126" s="355">
        <f t="shared" si="30"/>
        <v>-1838.0111655992628</v>
      </c>
      <c r="AB126" s="356">
        <f t="shared" si="22"/>
        <v>-919.00558279963138</v>
      </c>
    </row>
    <row r="127" spans="1:28" s="128" customFormat="1">
      <c r="A127" s="128" t="s">
        <v>66</v>
      </c>
      <c r="C127" s="148">
        <f>C52</f>
        <v>0.35</v>
      </c>
      <c r="F127" s="132">
        <f>-(F124+F126)*$C$127</f>
        <v>3677.3356690578184</v>
      </c>
      <c r="G127" s="132">
        <f t="shared" ref="G127:Y127" si="41">-(G124+G126)*$C$127</f>
        <v>11935.669320492509</v>
      </c>
      <c r="H127" s="132">
        <f t="shared" si="41"/>
        <v>6417.0172172955045</v>
      </c>
      <c r="I127" s="132">
        <f t="shared" si="41"/>
        <v>3068.2700803773027</v>
      </c>
      <c r="J127" s="132">
        <f t="shared" si="41"/>
        <v>2536.3514326322193</v>
      </c>
      <c r="K127" s="132">
        <f t="shared" si="41"/>
        <v>-54.259895936429615</v>
      </c>
      <c r="L127" s="132">
        <f t="shared" si="41"/>
        <v>-2577.748282561965</v>
      </c>
      <c r="M127" s="132">
        <f t="shared" si="41"/>
        <v>-2613.5265316504142</v>
      </c>
      <c r="N127" s="132">
        <f t="shared" si="41"/>
        <v>-2650.2707934642535</v>
      </c>
      <c r="O127" s="132">
        <f t="shared" si="41"/>
        <v>-2688.0071503470663</v>
      </c>
      <c r="P127" s="132">
        <f t="shared" si="41"/>
        <v>-2728.1977680701089</v>
      </c>
      <c r="Q127" s="132">
        <f t="shared" si="41"/>
        <v>-2769.5137230893965</v>
      </c>
      <c r="R127" s="132">
        <f t="shared" si="41"/>
        <v>-2811.9865248492251</v>
      </c>
      <c r="S127" s="132">
        <f t="shared" si="41"/>
        <v>-2855.6485650583277</v>
      </c>
      <c r="T127" s="132">
        <f t="shared" si="41"/>
        <v>-2900.1352127650534</v>
      </c>
      <c r="U127" s="132">
        <f t="shared" si="41"/>
        <v>-2945.5662653714176</v>
      </c>
      <c r="V127" s="132">
        <f t="shared" si="41"/>
        <v>-2992.2693874507595</v>
      </c>
      <c r="W127" s="132">
        <f t="shared" si="41"/>
        <v>-3040.2801969483221</v>
      </c>
      <c r="X127" s="132">
        <f t="shared" si="41"/>
        <v>-3089.6353091118176</v>
      </c>
      <c r="Y127" s="132">
        <f t="shared" si="41"/>
        <v>-3140.3723644158904</v>
      </c>
      <c r="AA127" s="355">
        <f t="shared" si="30"/>
        <v>-12222.774251235092</v>
      </c>
      <c r="AB127" s="356">
        <f t="shared" si="22"/>
        <v>-6111.3871256175462</v>
      </c>
    </row>
    <row r="128" spans="1:28" s="128" customFormat="1">
      <c r="AA128" s="355">
        <f t="shared" si="30"/>
        <v>0</v>
      </c>
      <c r="AB128" s="356">
        <f t="shared" si="22"/>
        <v>0</v>
      </c>
    </row>
    <row r="129" spans="1:28" s="128" customFormat="1">
      <c r="AA129" s="355">
        <f t="shared" si="30"/>
        <v>0</v>
      </c>
      <c r="AB129" s="356">
        <f t="shared" si="22"/>
        <v>0</v>
      </c>
    </row>
    <row r="130" spans="1:28" s="128" customFormat="1">
      <c r="AA130" s="355">
        <f t="shared" si="30"/>
        <v>0</v>
      </c>
      <c r="AB130" s="356">
        <f t="shared" si="22"/>
        <v>0</v>
      </c>
    </row>
    <row r="131" spans="1:28" s="128" customFormat="1">
      <c r="AA131" s="355">
        <f t="shared" si="30"/>
        <v>0</v>
      </c>
      <c r="AB131" s="356">
        <f t="shared" si="22"/>
        <v>0</v>
      </c>
    </row>
    <row r="132" spans="1:28" s="128" customFormat="1">
      <c r="AA132" s="355">
        <f t="shared" si="30"/>
        <v>0</v>
      </c>
      <c r="AB132" s="356">
        <f t="shared" si="22"/>
        <v>0</v>
      </c>
    </row>
    <row r="133" spans="1:28" s="128" customFormat="1">
      <c r="AA133" s="355">
        <f t="shared" si="30"/>
        <v>0</v>
      </c>
      <c r="AB133" s="356">
        <f t="shared" si="22"/>
        <v>0</v>
      </c>
    </row>
    <row r="134" spans="1:28" s="128" customFormat="1">
      <c r="AA134" s="355">
        <f t="shared" si="30"/>
        <v>0</v>
      </c>
      <c r="AB134" s="356">
        <f>AA134</f>
        <v>0</v>
      </c>
    </row>
    <row r="135" spans="1:28" s="128" customFormat="1" ht="13.5" thickBot="1">
      <c r="A135" s="103" t="s">
        <v>39</v>
      </c>
      <c r="F135" s="99">
        <f>F119</f>
        <v>2001</v>
      </c>
      <c r="G135" s="99">
        <f t="shared" ref="G135:Y135" si="42">G119</f>
        <v>2002</v>
      </c>
      <c r="H135" s="99">
        <f t="shared" si="42"/>
        <v>2003</v>
      </c>
      <c r="I135" s="99">
        <f t="shared" si="42"/>
        <v>2004</v>
      </c>
      <c r="J135" s="99">
        <f t="shared" si="42"/>
        <v>2005</v>
      </c>
      <c r="K135" s="99">
        <f t="shared" si="42"/>
        <v>2006</v>
      </c>
      <c r="L135" s="99">
        <f t="shared" si="42"/>
        <v>2007</v>
      </c>
      <c r="M135" s="99">
        <f t="shared" si="42"/>
        <v>2008</v>
      </c>
      <c r="N135" s="99">
        <f t="shared" si="42"/>
        <v>2009</v>
      </c>
      <c r="O135" s="99">
        <f t="shared" si="42"/>
        <v>2010</v>
      </c>
      <c r="P135" s="99">
        <f t="shared" si="42"/>
        <v>2011</v>
      </c>
      <c r="Q135" s="99">
        <f t="shared" si="42"/>
        <v>2012</v>
      </c>
      <c r="R135" s="99">
        <f t="shared" si="42"/>
        <v>2013</v>
      </c>
      <c r="S135" s="99">
        <f t="shared" si="42"/>
        <v>2014</v>
      </c>
      <c r="T135" s="99">
        <f t="shared" si="42"/>
        <v>2015</v>
      </c>
      <c r="U135" s="99">
        <f t="shared" si="42"/>
        <v>2016</v>
      </c>
      <c r="V135" s="99">
        <f t="shared" si="42"/>
        <v>2017</v>
      </c>
      <c r="W135" s="99">
        <f t="shared" si="42"/>
        <v>2018</v>
      </c>
      <c r="X135" s="99">
        <f t="shared" si="42"/>
        <v>2019</v>
      </c>
      <c r="Y135" s="99">
        <f t="shared" si="42"/>
        <v>2020</v>
      </c>
      <c r="AA135" s="355">
        <f t="shared" si="30"/>
        <v>40210</v>
      </c>
      <c r="AB135" s="356">
        <f t="shared" ref="AB135:AB151" si="43">AA135</f>
        <v>40210</v>
      </c>
    </row>
    <row r="136" spans="1:28" s="128" customFormat="1">
      <c r="AA136" s="355">
        <f t="shared" si="30"/>
        <v>0</v>
      </c>
      <c r="AB136" s="356">
        <f t="shared" si="43"/>
        <v>0</v>
      </c>
    </row>
    <row r="137" spans="1:28" s="128" customFormat="1">
      <c r="A137" s="128" t="s">
        <v>78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AA137" s="355">
        <f t="shared" si="30"/>
        <v>0</v>
      </c>
      <c r="AB137" s="356">
        <f t="shared" si="43"/>
        <v>0</v>
      </c>
    </row>
    <row r="138" spans="1:28" s="128" customFormat="1">
      <c r="A138" s="128" t="s">
        <v>67</v>
      </c>
      <c r="F138" s="147">
        <f t="shared" ref="F138:Y138" si="44">SUM(F33:F35)</f>
        <v>307</v>
      </c>
      <c r="G138" s="147">
        <f t="shared" si="44"/>
        <v>314</v>
      </c>
      <c r="H138" s="147">
        <f t="shared" si="44"/>
        <v>321</v>
      </c>
      <c r="I138" s="147">
        <f t="shared" si="44"/>
        <v>329</v>
      </c>
      <c r="J138" s="147">
        <f t="shared" si="44"/>
        <v>337.88299999999998</v>
      </c>
      <c r="K138" s="147">
        <f t="shared" si="44"/>
        <v>347.00584099999998</v>
      </c>
      <c r="L138" s="147">
        <f t="shared" si="44"/>
        <v>356.37499870699992</v>
      </c>
      <c r="M138" s="147">
        <f t="shared" si="44"/>
        <v>365.99712367208889</v>
      </c>
      <c r="N138" s="147">
        <f t="shared" si="44"/>
        <v>375.87904601123523</v>
      </c>
      <c r="O138" s="147">
        <f t="shared" si="44"/>
        <v>386.02778025353854</v>
      </c>
      <c r="P138" s="147">
        <f t="shared" si="44"/>
        <v>396.8365581006376</v>
      </c>
      <c r="Q138" s="147">
        <f t="shared" si="44"/>
        <v>407.94798172745544</v>
      </c>
      <c r="R138" s="147">
        <f t="shared" si="44"/>
        <v>419.37052521582422</v>
      </c>
      <c r="S138" s="147">
        <f t="shared" si="44"/>
        <v>431.11289992186732</v>
      </c>
      <c r="T138" s="147">
        <f t="shared" si="44"/>
        <v>443.1840611196796</v>
      </c>
      <c r="U138" s="147">
        <f t="shared" si="44"/>
        <v>455.59321483103065</v>
      </c>
      <c r="V138" s="147">
        <f t="shared" si="44"/>
        <v>468.3498248462995</v>
      </c>
      <c r="W138" s="147">
        <f t="shared" si="44"/>
        <v>481.46361994199589</v>
      </c>
      <c r="X138" s="147">
        <f t="shared" si="44"/>
        <v>494.9446013003718</v>
      </c>
      <c r="Y138" s="147">
        <f t="shared" si="44"/>
        <v>508.80305013678225</v>
      </c>
      <c r="AA138" s="355">
        <f t="shared" si="30"/>
        <v>7947.7741267858046</v>
      </c>
      <c r="AB138" s="356">
        <f t="shared" si="43"/>
        <v>7947.7741267858046</v>
      </c>
    </row>
    <row r="139" spans="1:28" s="128" customFormat="1">
      <c r="A139" s="128" t="s">
        <v>68</v>
      </c>
      <c r="F139" s="132">
        <f>F137+F138</f>
        <v>307</v>
      </c>
      <c r="G139" s="132">
        <f t="shared" ref="G139:Y139" si="45">G137+G138</f>
        <v>314</v>
      </c>
      <c r="H139" s="132">
        <f t="shared" si="45"/>
        <v>321</v>
      </c>
      <c r="I139" s="132">
        <f t="shared" si="45"/>
        <v>329</v>
      </c>
      <c r="J139" s="132">
        <f t="shared" si="45"/>
        <v>337.88299999999998</v>
      </c>
      <c r="K139" s="132">
        <f t="shared" si="45"/>
        <v>347.00584099999998</v>
      </c>
      <c r="L139" s="132">
        <f t="shared" si="45"/>
        <v>356.37499870699992</v>
      </c>
      <c r="M139" s="132">
        <f t="shared" si="45"/>
        <v>365.99712367208889</v>
      </c>
      <c r="N139" s="132">
        <f t="shared" si="45"/>
        <v>375.87904601123523</v>
      </c>
      <c r="O139" s="132">
        <f t="shared" si="45"/>
        <v>386.02778025353854</v>
      </c>
      <c r="P139" s="132">
        <f t="shared" si="45"/>
        <v>396.8365581006376</v>
      </c>
      <c r="Q139" s="132">
        <f t="shared" si="45"/>
        <v>407.94798172745544</v>
      </c>
      <c r="R139" s="132">
        <f t="shared" si="45"/>
        <v>419.37052521582422</v>
      </c>
      <c r="S139" s="132">
        <f t="shared" si="45"/>
        <v>431.11289992186732</v>
      </c>
      <c r="T139" s="132">
        <f t="shared" si="45"/>
        <v>443.1840611196796</v>
      </c>
      <c r="U139" s="132">
        <f t="shared" si="45"/>
        <v>455.59321483103065</v>
      </c>
      <c r="V139" s="132">
        <f t="shared" si="45"/>
        <v>468.3498248462995</v>
      </c>
      <c r="W139" s="132">
        <f t="shared" si="45"/>
        <v>481.46361994199589</v>
      </c>
      <c r="X139" s="132">
        <f t="shared" si="45"/>
        <v>494.9446013003718</v>
      </c>
      <c r="Y139" s="132">
        <f t="shared" si="45"/>
        <v>508.80305013678225</v>
      </c>
      <c r="AA139" s="355">
        <f t="shared" si="30"/>
        <v>7947.7741267858046</v>
      </c>
      <c r="AB139" s="356">
        <f t="shared" si="43"/>
        <v>7947.7741267858046</v>
      </c>
    </row>
    <row r="140" spans="1:28" s="128" customFormat="1">
      <c r="A140" s="128" t="s">
        <v>69</v>
      </c>
      <c r="C140" s="148">
        <f>C126</f>
        <v>0.05</v>
      </c>
      <c r="F140" s="132">
        <f>F139*$C$140</f>
        <v>15.350000000000001</v>
      </c>
      <c r="G140" s="132">
        <f t="shared" ref="G140:Y140" si="46">G139*$C$140</f>
        <v>15.700000000000001</v>
      </c>
      <c r="H140" s="132">
        <f t="shared" si="46"/>
        <v>16.05</v>
      </c>
      <c r="I140" s="132">
        <f t="shared" si="46"/>
        <v>16.45</v>
      </c>
      <c r="J140" s="132">
        <f t="shared" si="46"/>
        <v>16.89415</v>
      </c>
      <c r="K140" s="132">
        <f t="shared" si="46"/>
        <v>17.35029205</v>
      </c>
      <c r="L140" s="132">
        <f t="shared" si="46"/>
        <v>17.818749935349995</v>
      </c>
      <c r="M140" s="132">
        <f t="shared" si="46"/>
        <v>18.299856183604444</v>
      </c>
      <c r="N140" s="132">
        <f t="shared" si="46"/>
        <v>18.793952300561763</v>
      </c>
      <c r="O140" s="132">
        <f t="shared" si="46"/>
        <v>19.301389012676928</v>
      </c>
      <c r="P140" s="132">
        <f t="shared" si="46"/>
        <v>19.841827905031881</v>
      </c>
      <c r="Q140" s="132">
        <f t="shared" si="46"/>
        <v>20.397399086372772</v>
      </c>
      <c r="R140" s="132">
        <f t="shared" si="46"/>
        <v>20.968526260791212</v>
      </c>
      <c r="S140" s="132">
        <f t="shared" si="46"/>
        <v>21.555644996093367</v>
      </c>
      <c r="T140" s="132">
        <f t="shared" si="46"/>
        <v>22.15920305598398</v>
      </c>
      <c r="U140" s="132">
        <f t="shared" si="46"/>
        <v>22.779660741551535</v>
      </c>
      <c r="V140" s="132">
        <f t="shared" si="46"/>
        <v>23.417491242314977</v>
      </c>
      <c r="W140" s="132">
        <f t="shared" si="46"/>
        <v>24.073180997099797</v>
      </c>
      <c r="X140" s="132">
        <f t="shared" si="46"/>
        <v>24.747230065018591</v>
      </c>
      <c r="Y140" s="132">
        <f t="shared" si="46"/>
        <v>25.440152506839112</v>
      </c>
      <c r="AA140" s="355">
        <f t="shared" si="30"/>
        <v>397.38870633929037</v>
      </c>
      <c r="AB140" s="356">
        <f t="shared" si="43"/>
        <v>397.38870633929037</v>
      </c>
    </row>
    <row r="141" spans="1:28" s="128" customFormat="1">
      <c r="A141" s="128" t="s">
        <v>70</v>
      </c>
      <c r="C141" s="148">
        <f>C127</f>
        <v>0.35</v>
      </c>
      <c r="F141" s="147">
        <f>(F139-F140)*$C$141</f>
        <v>102.07749999999999</v>
      </c>
      <c r="G141" s="147">
        <f t="shared" ref="G141:Y141" si="47">(G139-G140)*$C$141</f>
        <v>104.405</v>
      </c>
      <c r="H141" s="147">
        <f t="shared" si="47"/>
        <v>106.73249999999999</v>
      </c>
      <c r="I141" s="147">
        <f t="shared" si="47"/>
        <v>109.3925</v>
      </c>
      <c r="J141" s="147">
        <f t="shared" si="47"/>
        <v>112.34609749999997</v>
      </c>
      <c r="K141" s="147">
        <f t="shared" si="47"/>
        <v>115.37944213249997</v>
      </c>
      <c r="L141" s="147">
        <f t="shared" si="47"/>
        <v>118.49468707007746</v>
      </c>
      <c r="M141" s="147">
        <f t="shared" si="47"/>
        <v>121.69404362096955</v>
      </c>
      <c r="N141" s="147">
        <f t="shared" si="47"/>
        <v>124.9797827987357</v>
      </c>
      <c r="O141" s="147">
        <f t="shared" si="47"/>
        <v>128.35423693430155</v>
      </c>
      <c r="P141" s="147">
        <f t="shared" si="47"/>
        <v>131.948155568462</v>
      </c>
      <c r="Q141" s="147">
        <f t="shared" si="47"/>
        <v>135.64270392437891</v>
      </c>
      <c r="R141" s="147">
        <f t="shared" si="47"/>
        <v>139.44069963426153</v>
      </c>
      <c r="S141" s="147">
        <f t="shared" si="47"/>
        <v>143.34503922402089</v>
      </c>
      <c r="T141" s="147">
        <f t="shared" si="47"/>
        <v>147.35870032229346</v>
      </c>
      <c r="U141" s="147">
        <f t="shared" si="47"/>
        <v>151.48474393131767</v>
      </c>
      <c r="V141" s="147">
        <f t="shared" si="47"/>
        <v>155.72631676139457</v>
      </c>
      <c r="W141" s="147">
        <f t="shared" si="47"/>
        <v>160.08665363071364</v>
      </c>
      <c r="X141" s="147">
        <f t="shared" si="47"/>
        <v>164.56907993237363</v>
      </c>
      <c r="Y141" s="147">
        <f t="shared" si="47"/>
        <v>169.17701417048008</v>
      </c>
      <c r="AA141" s="355">
        <f t="shared" si="30"/>
        <v>2642.6348971562807</v>
      </c>
      <c r="AB141" s="356">
        <f t="shared" si="43"/>
        <v>2642.6348971562807</v>
      </c>
    </row>
    <row r="142" spans="1:28" s="128" customFormat="1">
      <c r="A142" s="128" t="s">
        <v>71</v>
      </c>
      <c r="F142" s="132">
        <f>F139-F140-F141</f>
        <v>189.57249999999999</v>
      </c>
      <c r="G142" s="132">
        <f t="shared" ref="G142:Y142" si="48">G139-G140-G141</f>
        <v>193.89500000000001</v>
      </c>
      <c r="H142" s="132">
        <f t="shared" si="48"/>
        <v>198.2175</v>
      </c>
      <c r="I142" s="132">
        <f t="shared" si="48"/>
        <v>203.15750000000003</v>
      </c>
      <c r="J142" s="132">
        <f t="shared" si="48"/>
        <v>208.64275249999997</v>
      </c>
      <c r="K142" s="132">
        <f t="shared" si="48"/>
        <v>214.27610681749999</v>
      </c>
      <c r="L142" s="132">
        <f t="shared" si="48"/>
        <v>220.06156170157243</v>
      </c>
      <c r="M142" s="132">
        <f t="shared" si="48"/>
        <v>226.00322386751489</v>
      </c>
      <c r="N142" s="132">
        <f t="shared" si="48"/>
        <v>232.10531091193775</v>
      </c>
      <c r="O142" s="132">
        <f t="shared" si="48"/>
        <v>238.37215430656008</v>
      </c>
      <c r="P142" s="132">
        <f t="shared" si="48"/>
        <v>245.04657462714371</v>
      </c>
      <c r="Q142" s="132">
        <f t="shared" si="48"/>
        <v>251.90787871670375</v>
      </c>
      <c r="R142" s="132">
        <f t="shared" si="48"/>
        <v>258.96129932077145</v>
      </c>
      <c r="S142" s="132">
        <f t="shared" si="48"/>
        <v>266.21221570175305</v>
      </c>
      <c r="T142" s="132">
        <f t="shared" si="48"/>
        <v>273.66615774140212</v>
      </c>
      <c r="U142" s="132">
        <f t="shared" si="48"/>
        <v>281.32881015816145</v>
      </c>
      <c r="V142" s="132">
        <f t="shared" si="48"/>
        <v>289.20601684258997</v>
      </c>
      <c r="W142" s="132">
        <f t="shared" si="48"/>
        <v>297.30378531418251</v>
      </c>
      <c r="X142" s="132">
        <f t="shared" si="48"/>
        <v>305.62829130297962</v>
      </c>
      <c r="Y142" s="132">
        <f t="shared" si="48"/>
        <v>314.18588345946307</v>
      </c>
      <c r="AA142" s="355">
        <f t="shared" si="30"/>
        <v>4907.7505232902358</v>
      </c>
      <c r="AB142" s="356">
        <f t="shared" si="43"/>
        <v>4907.7505232902358</v>
      </c>
    </row>
    <row r="143" spans="1:28" s="128" customFormat="1">
      <c r="C143" s="422">
        <f>(1-C141)*C140+C141</f>
        <v>0.38249999999999995</v>
      </c>
      <c r="AA143" s="355">
        <f t="shared" si="30"/>
        <v>0</v>
      </c>
      <c r="AB143" s="356">
        <f t="shared" si="43"/>
        <v>0</v>
      </c>
    </row>
    <row r="144" spans="1:28" s="128" customFormat="1">
      <c r="A144" s="146" t="str">
        <f>A76</f>
        <v>Net Income to FPLE</v>
      </c>
      <c r="F144" s="149">
        <f>F76</f>
        <v>3236.9349999999999</v>
      </c>
      <c r="G144" s="149">
        <f t="shared" ref="G144:Y144" si="49">G76</f>
        <v>357.68687499999999</v>
      </c>
      <c r="H144" s="149">
        <f t="shared" si="49"/>
        <v>373.66468750000001</v>
      </c>
      <c r="I144" s="149">
        <f t="shared" si="49"/>
        <v>418.12468749999999</v>
      </c>
      <c r="J144" s="149">
        <f t="shared" si="49"/>
        <v>912.04914612043501</v>
      </c>
      <c r="K144" s="149">
        <f t="shared" si="49"/>
        <v>1018.7986237232898</v>
      </c>
      <c r="L144" s="149">
        <f t="shared" si="49"/>
        <v>1063.2196552361106</v>
      </c>
      <c r="M144" s="149">
        <f t="shared" si="49"/>
        <v>1096.4423151039564</v>
      </c>
      <c r="N144" s="149">
        <f t="shared" si="49"/>
        <v>1130.5619867882356</v>
      </c>
      <c r="O144" s="149">
        <f t="shared" si="49"/>
        <v>1165.6028896079902</v>
      </c>
      <c r="P144" s="149">
        <f t="shared" si="49"/>
        <v>1202.9227489222444</v>
      </c>
      <c r="Q144" s="149">
        <f t="shared" si="49"/>
        <v>1241.2875642972967</v>
      </c>
      <c r="R144" s="149">
        <f t="shared" si="49"/>
        <v>1280.7265945028519</v>
      </c>
      <c r="S144" s="149">
        <f t="shared" si="49"/>
        <v>1321.2699175541616</v>
      </c>
      <c r="T144" s="149">
        <f t="shared" si="49"/>
        <v>1362.5789475675499</v>
      </c>
      <c r="U144" s="149">
        <f t="shared" si="49"/>
        <v>1404.7649249877447</v>
      </c>
      <c r="V144" s="149">
        <f t="shared" si="49"/>
        <v>1448.132109775705</v>
      </c>
      <c r="W144" s="149">
        <f t="shared" si="49"/>
        <v>1492.7135757377282</v>
      </c>
      <c r="X144" s="149">
        <f t="shared" si="49"/>
        <v>1538.5433227466874</v>
      </c>
      <c r="Y144" s="149">
        <f t="shared" si="49"/>
        <v>1585.6563026718982</v>
      </c>
      <c r="AA144" s="355">
        <f t="shared" si="30"/>
        <v>24651.681875343889</v>
      </c>
      <c r="AB144" s="356">
        <f t="shared" si="43"/>
        <v>24651.681875343889</v>
      </c>
    </row>
    <row r="145" spans="1:28" s="128" customFormat="1">
      <c r="A145" s="103" t="s">
        <v>79</v>
      </c>
      <c r="F145" s="142">
        <f>F142+F144</f>
        <v>3426.5074999999997</v>
      </c>
      <c r="G145" s="142">
        <f t="shared" ref="G145:Y145" si="50">G142+G144</f>
        <v>551.58187499999997</v>
      </c>
      <c r="H145" s="142">
        <f t="shared" si="50"/>
        <v>571.88218749999999</v>
      </c>
      <c r="I145" s="142">
        <f t="shared" si="50"/>
        <v>621.28218749999996</v>
      </c>
      <c r="J145" s="142">
        <f t="shared" si="50"/>
        <v>1120.691898620435</v>
      </c>
      <c r="K145" s="142">
        <f t="shared" si="50"/>
        <v>1233.0747305407897</v>
      </c>
      <c r="L145" s="142">
        <f t="shared" si="50"/>
        <v>1283.281216937683</v>
      </c>
      <c r="M145" s="142">
        <f t="shared" si="50"/>
        <v>1322.4455389714713</v>
      </c>
      <c r="N145" s="142">
        <f t="shared" si="50"/>
        <v>1362.6672977001733</v>
      </c>
      <c r="O145" s="142">
        <f t="shared" si="50"/>
        <v>1403.9750439145503</v>
      </c>
      <c r="P145" s="142">
        <f t="shared" si="50"/>
        <v>1447.969323549388</v>
      </c>
      <c r="Q145" s="142">
        <f t="shared" si="50"/>
        <v>1493.1954430140004</v>
      </c>
      <c r="R145" s="142">
        <f t="shared" si="50"/>
        <v>1539.6878938236232</v>
      </c>
      <c r="S145" s="142">
        <f t="shared" si="50"/>
        <v>1587.4821332559145</v>
      </c>
      <c r="T145" s="142">
        <f t="shared" si="50"/>
        <v>1636.2451053089521</v>
      </c>
      <c r="U145" s="142">
        <f t="shared" si="50"/>
        <v>1686.0937351459061</v>
      </c>
      <c r="V145" s="142">
        <f t="shared" si="50"/>
        <v>1737.3381266182951</v>
      </c>
      <c r="W145" s="142">
        <f t="shared" si="50"/>
        <v>1790.0173610519107</v>
      </c>
      <c r="X145" s="142">
        <f t="shared" si="50"/>
        <v>1844.1716140496669</v>
      </c>
      <c r="Y145" s="142">
        <f t="shared" si="50"/>
        <v>1899.8421861313614</v>
      </c>
      <c r="AA145" s="355">
        <f t="shared" si="30"/>
        <v>29559.432398634126</v>
      </c>
      <c r="AB145" s="356">
        <f t="shared" si="43"/>
        <v>29559.432398634126</v>
      </c>
    </row>
    <row r="146" spans="1:28" s="128" customFormat="1">
      <c r="AA146" s="355">
        <f t="shared" si="30"/>
        <v>0</v>
      </c>
      <c r="AB146" s="356">
        <f t="shared" si="43"/>
        <v>0</v>
      </c>
    </row>
    <row r="147" spans="1:28" s="128" customFormat="1">
      <c r="AA147" s="355">
        <f t="shared" si="30"/>
        <v>0</v>
      </c>
      <c r="AB147" s="356">
        <f t="shared" si="43"/>
        <v>0</v>
      </c>
    </row>
    <row r="148" spans="1:28" s="128" customFormat="1">
      <c r="AA148" s="355">
        <f t="shared" si="30"/>
        <v>0</v>
      </c>
      <c r="AB148" s="356">
        <f t="shared" si="43"/>
        <v>0</v>
      </c>
    </row>
    <row r="149" spans="1:28" s="128" customFormat="1">
      <c r="A149" s="105" t="s">
        <v>110</v>
      </c>
      <c r="AA149" s="355">
        <f t="shared" si="30"/>
        <v>0</v>
      </c>
      <c r="AB149" s="356">
        <f t="shared" si="43"/>
        <v>0</v>
      </c>
    </row>
    <row r="150" spans="1:28" s="128" customFormat="1">
      <c r="A150" s="146" t="str">
        <f>A142</f>
        <v xml:space="preserve">  Net Income from Interest and Fee to FPLE</v>
      </c>
      <c r="F150" s="129">
        <f>F142</f>
        <v>189.57249999999999</v>
      </c>
      <c r="G150" s="129">
        <f t="shared" ref="G150:Y150" si="51">G142</f>
        <v>193.89500000000001</v>
      </c>
      <c r="H150" s="129">
        <f t="shared" si="51"/>
        <v>198.2175</v>
      </c>
      <c r="I150" s="129">
        <f t="shared" si="51"/>
        <v>203.15750000000003</v>
      </c>
      <c r="J150" s="129">
        <f t="shared" si="51"/>
        <v>208.64275249999997</v>
      </c>
      <c r="K150" s="129">
        <f t="shared" si="51"/>
        <v>214.27610681749999</v>
      </c>
      <c r="L150" s="129">
        <f t="shared" si="51"/>
        <v>220.06156170157243</v>
      </c>
      <c r="M150" s="129">
        <f t="shared" si="51"/>
        <v>226.00322386751489</v>
      </c>
      <c r="N150" s="129">
        <f t="shared" si="51"/>
        <v>232.10531091193775</v>
      </c>
      <c r="O150" s="129">
        <f t="shared" si="51"/>
        <v>238.37215430656008</v>
      </c>
      <c r="P150" s="129">
        <f t="shared" si="51"/>
        <v>245.04657462714371</v>
      </c>
      <c r="Q150" s="129">
        <f t="shared" si="51"/>
        <v>251.90787871670375</v>
      </c>
      <c r="R150" s="129">
        <f t="shared" si="51"/>
        <v>258.96129932077145</v>
      </c>
      <c r="S150" s="129">
        <f t="shared" si="51"/>
        <v>266.21221570175305</v>
      </c>
      <c r="T150" s="129">
        <f t="shared" si="51"/>
        <v>273.66615774140212</v>
      </c>
      <c r="U150" s="129">
        <f t="shared" si="51"/>
        <v>281.32881015816145</v>
      </c>
      <c r="V150" s="129">
        <f t="shared" si="51"/>
        <v>289.20601684258997</v>
      </c>
      <c r="W150" s="129">
        <f t="shared" si="51"/>
        <v>297.30378531418251</v>
      </c>
      <c r="X150" s="129">
        <f t="shared" si="51"/>
        <v>305.62829130297962</v>
      </c>
      <c r="Y150" s="129">
        <f t="shared" si="51"/>
        <v>314.18588345946307</v>
      </c>
      <c r="AA150" s="355">
        <f t="shared" si="30"/>
        <v>4907.7505232902358</v>
      </c>
      <c r="AB150" s="356">
        <f t="shared" si="43"/>
        <v>4907.7505232902358</v>
      </c>
    </row>
    <row r="151" spans="1:28" s="128" customFormat="1">
      <c r="A151" s="128" t="s">
        <v>111</v>
      </c>
      <c r="F151" s="182">
        <v>0</v>
      </c>
      <c r="G151" s="182">
        <v>0</v>
      </c>
      <c r="H151" s="182">
        <v>0</v>
      </c>
      <c r="I151" s="182">
        <v>0</v>
      </c>
      <c r="J151" s="182">
        <v>0</v>
      </c>
      <c r="K151" s="182">
        <v>0</v>
      </c>
      <c r="L151" s="182">
        <v>0</v>
      </c>
      <c r="M151" s="182">
        <v>0</v>
      </c>
      <c r="N151" s="182">
        <v>0</v>
      </c>
      <c r="O151" s="182">
        <v>0</v>
      </c>
      <c r="P151" s="182">
        <v>0</v>
      </c>
      <c r="Q151" s="182">
        <v>0</v>
      </c>
      <c r="R151" s="182">
        <v>0</v>
      </c>
      <c r="S151" s="182">
        <v>0</v>
      </c>
      <c r="T151" s="182">
        <v>0</v>
      </c>
      <c r="U151" s="182">
        <v>0</v>
      </c>
      <c r="V151" s="182">
        <v>0</v>
      </c>
      <c r="W151" s="182">
        <v>0</v>
      </c>
      <c r="X151" s="182">
        <v>0</v>
      </c>
      <c r="Y151" s="182">
        <v>0</v>
      </c>
      <c r="AA151" s="355">
        <f t="shared" si="30"/>
        <v>0</v>
      </c>
      <c r="AB151" s="356">
        <f t="shared" si="43"/>
        <v>0</v>
      </c>
    </row>
    <row r="152" spans="1:28" s="128" customFormat="1">
      <c r="F152" s="129">
        <f>F150+F151</f>
        <v>189.57249999999999</v>
      </c>
      <c r="G152" s="129">
        <f t="shared" ref="G152:Y152" si="52">G150+G151</f>
        <v>193.89500000000001</v>
      </c>
      <c r="H152" s="129">
        <f t="shared" si="52"/>
        <v>198.2175</v>
      </c>
      <c r="I152" s="129">
        <f t="shared" si="52"/>
        <v>203.15750000000003</v>
      </c>
      <c r="J152" s="129">
        <f t="shared" si="52"/>
        <v>208.64275249999997</v>
      </c>
      <c r="K152" s="129">
        <f t="shared" si="52"/>
        <v>214.27610681749999</v>
      </c>
      <c r="L152" s="129">
        <f t="shared" si="52"/>
        <v>220.06156170157243</v>
      </c>
      <c r="M152" s="129">
        <f t="shared" si="52"/>
        <v>226.00322386751489</v>
      </c>
      <c r="N152" s="129">
        <f t="shared" si="52"/>
        <v>232.10531091193775</v>
      </c>
      <c r="O152" s="129">
        <f t="shared" si="52"/>
        <v>238.37215430656008</v>
      </c>
      <c r="P152" s="129">
        <f t="shared" si="52"/>
        <v>245.04657462714371</v>
      </c>
      <c r="Q152" s="129">
        <f t="shared" si="52"/>
        <v>251.90787871670375</v>
      </c>
      <c r="R152" s="129">
        <f t="shared" si="52"/>
        <v>258.96129932077145</v>
      </c>
      <c r="S152" s="129">
        <f t="shared" si="52"/>
        <v>266.21221570175305</v>
      </c>
      <c r="T152" s="129">
        <f t="shared" si="52"/>
        <v>273.66615774140212</v>
      </c>
      <c r="U152" s="129">
        <f t="shared" si="52"/>
        <v>281.32881015816145</v>
      </c>
      <c r="V152" s="129">
        <f t="shared" si="52"/>
        <v>289.20601684258997</v>
      </c>
      <c r="W152" s="129">
        <f t="shared" si="52"/>
        <v>297.30378531418251</v>
      </c>
      <c r="X152" s="129">
        <f t="shared" si="52"/>
        <v>305.62829130297962</v>
      </c>
      <c r="Y152" s="129">
        <f t="shared" si="52"/>
        <v>314.18588345946307</v>
      </c>
      <c r="AA152" s="355">
        <f t="shared" si="30"/>
        <v>4907.7505232902358</v>
      </c>
    </row>
    <row r="153" spans="1:28" s="128" customFormat="1"/>
    <row r="154" spans="1:28" s="128" customFormat="1"/>
    <row r="155" spans="1:28" s="128" customFormat="1" ht="13.5" thickBot="1">
      <c r="A155" s="128" t="s">
        <v>46</v>
      </c>
      <c r="C155" s="132">
        <f>NPV(C156,F152:Y152)</f>
        <v>2078.8346748804479</v>
      </c>
    </row>
    <row r="156" spans="1:28" s="128" customFormat="1" ht="13.5" thickBot="1">
      <c r="A156" s="128" t="s">
        <v>48</v>
      </c>
      <c r="C156" s="152">
        <f>C96</f>
        <v>0.09</v>
      </c>
    </row>
    <row r="157" spans="1:28" s="128" customFormat="1"/>
    <row r="158" spans="1:28" s="128" customFormat="1" ht="13.5" thickBot="1"/>
    <row r="159" spans="1:28" s="128" customFormat="1">
      <c r="A159" s="102" t="s">
        <v>72</v>
      </c>
      <c r="B159" s="106"/>
      <c r="C159" s="106"/>
      <c r="D159" s="107"/>
    </row>
    <row r="160" spans="1:28" s="128" customFormat="1">
      <c r="A160" s="108" t="s">
        <v>73</v>
      </c>
      <c r="B160" s="109"/>
      <c r="C160" s="109"/>
      <c r="D160" s="110">
        <f>D102*C60</f>
        <v>39161.932903173089</v>
      </c>
    </row>
    <row r="161" spans="1:25" s="128" customFormat="1">
      <c r="A161" s="108" t="s">
        <v>74</v>
      </c>
      <c r="B161" s="109"/>
      <c r="C161" s="109"/>
      <c r="D161" s="183">
        <f>[12]DEBT!$L$86</f>
        <v>7002</v>
      </c>
      <c r="E161" s="128" t="s">
        <v>126</v>
      </c>
      <c r="F161" s="150"/>
    </row>
    <row r="162" spans="1:25" s="128" customFormat="1">
      <c r="A162" s="108" t="s">
        <v>75</v>
      </c>
      <c r="B162" s="109"/>
      <c r="C162" s="109"/>
      <c r="D162" s="111">
        <f>C155</f>
        <v>2078.8346748804479</v>
      </c>
    </row>
    <row r="163" spans="1:25" s="128" customFormat="1" ht="13.5" thickBot="1">
      <c r="A163" s="112" t="s">
        <v>76</v>
      </c>
      <c r="B163" s="99"/>
      <c r="C163" s="99"/>
      <c r="D163" s="127">
        <f>SUM(D160:D162)</f>
        <v>48242.767578053536</v>
      </c>
    </row>
    <row r="164" spans="1:25" outlineLevel="1">
      <c r="A164" s="17"/>
      <c r="B164" s="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outlineLevel="1">
      <c r="A165" s="6"/>
      <c r="B165" s="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outlineLevel="1">
      <c r="A166" s="6"/>
      <c r="B166" s="6"/>
      <c r="C166" s="31"/>
      <c r="D166" s="6"/>
      <c r="E166" s="6"/>
      <c r="F166" s="6"/>
      <c r="G166" s="6"/>
      <c r="H166" s="31"/>
      <c r="I166" s="6"/>
      <c r="J166" s="6"/>
      <c r="K166" s="6"/>
      <c r="L166" s="6"/>
      <c r="M166" s="31"/>
      <c r="N166" s="31"/>
      <c r="O166" s="31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6"/>
      <c r="B167" s="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outlineLevel="1">
      <c r="A168" s="6"/>
      <c r="B168" s="6"/>
      <c r="C168" s="31"/>
      <c r="D168" s="31"/>
      <c r="E168" s="31"/>
      <c r="F168" s="31"/>
      <c r="G168" s="6"/>
      <c r="H168" s="31"/>
      <c r="I168" s="31"/>
      <c r="J168" s="31"/>
      <c r="K168" s="31"/>
      <c r="L168" s="31"/>
      <c r="M168" s="31"/>
      <c r="N168" s="31"/>
      <c r="O168" s="31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outlineLevel="1">
      <c r="A169" s="6" t="s">
        <v>156</v>
      </c>
      <c r="B169" s="6"/>
      <c r="C169" s="31"/>
      <c r="D169" s="31"/>
      <c r="E169" s="31"/>
      <c r="F169" s="31"/>
      <c r="G169" s="6"/>
      <c r="H169" s="31"/>
      <c r="I169" s="31"/>
      <c r="J169" s="31"/>
      <c r="K169" s="31"/>
      <c r="L169" s="31"/>
      <c r="M169" s="31"/>
      <c r="N169" s="31"/>
      <c r="O169" s="31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outlineLevel="1">
      <c r="A170" s="6" t="s">
        <v>157</v>
      </c>
      <c r="B170" s="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outlineLevel="1">
      <c r="A171" s="6" t="s">
        <v>158</v>
      </c>
      <c r="B171" s="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outlineLevel="1">
      <c r="A172" s="6" t="s">
        <v>159</v>
      </c>
      <c r="B172" s="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outlineLevel="1">
      <c r="A173" s="6" t="s">
        <v>160</v>
      </c>
      <c r="B173" s="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outlineLevel="1">
      <c r="A174" s="6" t="s">
        <v>161</v>
      </c>
      <c r="B174" s="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outlineLevel="1">
      <c r="A175" s="6"/>
      <c r="B175" s="6" t="s">
        <v>162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outlineLevel="1">
      <c r="A176" s="6" t="s">
        <v>164</v>
      </c>
      <c r="B176" s="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outlineLevel="1">
      <c r="A177" s="6" t="s">
        <v>179</v>
      </c>
      <c r="B177" s="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outlineLevel="1">
      <c r="A178" s="6" t="s">
        <v>163</v>
      </c>
      <c r="B178" s="6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outlineLevel="1">
      <c r="A179" s="6" t="s">
        <v>165</v>
      </c>
      <c r="B179" s="6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outlineLevel="1">
      <c r="A180" s="6" t="s">
        <v>166</v>
      </c>
      <c r="B180" s="6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outlineLevel="1">
      <c r="A181" s="6" t="s">
        <v>167</v>
      </c>
      <c r="B181" s="6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outlineLevel="1">
      <c r="A182" s="6" t="s">
        <v>168</v>
      </c>
      <c r="B182" s="6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outlineLevel="1">
      <c r="A183" s="6"/>
      <c r="B183" s="6" t="s">
        <v>169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outlineLevel="1">
      <c r="A184" s="28"/>
      <c r="B184" s="6" t="s">
        <v>170</v>
      </c>
      <c r="C184" s="6"/>
      <c r="D184" s="31"/>
      <c r="E184" s="6"/>
      <c r="F184" s="6"/>
      <c r="G184" s="31"/>
      <c r="H184" s="6"/>
      <c r="I184" s="6"/>
      <c r="J184" s="6"/>
      <c r="K184" s="6"/>
      <c r="L184" s="6"/>
      <c r="M184" s="6"/>
      <c r="N184" s="6"/>
      <c r="O184" s="6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outlineLevel="1">
      <c r="A185" s="6"/>
      <c r="B185" s="6" t="s">
        <v>171</v>
      </c>
      <c r="C185" s="33"/>
      <c r="D185" s="31"/>
      <c r="E185" s="31"/>
      <c r="F185" s="31"/>
      <c r="G185" s="184"/>
      <c r="H185" s="185"/>
      <c r="I185" s="185"/>
      <c r="J185" s="185"/>
      <c r="K185" s="185"/>
      <c r="L185" s="185"/>
      <c r="M185" s="185"/>
      <c r="N185" s="185"/>
      <c r="O185" s="185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outlineLevel="1">
      <c r="A186" s="6" t="s">
        <v>182</v>
      </c>
      <c r="B186" s="6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outlineLevel="1">
      <c r="A187" s="6"/>
      <c r="B187" s="6" t="s">
        <v>184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outlineLevel="1">
      <c r="A188" s="6"/>
      <c r="B188" s="6" t="s">
        <v>172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outlineLevel="1">
      <c r="A189" s="17" t="s">
        <v>173</v>
      </c>
      <c r="B189" s="6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outlineLevel="1">
      <c r="A190" s="6"/>
      <c r="B190" s="6" t="s">
        <v>174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outlineLevel="1">
      <c r="A191" s="6"/>
      <c r="B191" s="6" t="s">
        <v>213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outlineLevel="1">
      <c r="A192" s="6"/>
      <c r="B192" s="6" t="s">
        <v>212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outlineLevel="1">
      <c r="A193" s="6"/>
      <c r="B193" s="17" t="s">
        <v>175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outlineLevel="1">
      <c r="A194" s="6"/>
      <c r="B194" s="6" t="s">
        <v>178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outlineLevel="1">
      <c r="A195" s="6" t="s">
        <v>176</v>
      </c>
      <c r="B195" s="6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outlineLevel="1">
      <c r="A196" s="6" t="s">
        <v>177</v>
      </c>
      <c r="B196" s="6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outlineLevel="1">
      <c r="A197" s="39"/>
      <c r="B197" s="6"/>
      <c r="C197" s="6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outlineLevel="1">
      <c r="A198" s="39"/>
      <c r="B198" s="6"/>
      <c r="C198" s="6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outlineLevel="1">
      <c r="A199" s="39"/>
      <c r="B199" s="6"/>
      <c r="C199" s="6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outlineLevel="1">
      <c r="A200" s="39"/>
      <c r="B200" s="6"/>
      <c r="C200" s="6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outlineLevel="1">
      <c r="A201" s="39"/>
      <c r="B201" s="6"/>
      <c r="C201" s="6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outlineLevel="1">
      <c r="A202" s="39"/>
      <c r="B202" s="6"/>
      <c r="C202" s="6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outlineLevel="1">
      <c r="A203" s="39"/>
      <c r="B203" s="6"/>
      <c r="C203" s="6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outlineLevel="1">
      <c r="A204" s="39"/>
      <c r="B204" s="6"/>
      <c r="C204" s="6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outlineLevel="1">
      <c r="A205" s="27"/>
      <c r="B205" s="6"/>
      <c r="C205" s="6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outlineLevel="1">
      <c r="A206" s="39"/>
      <c r="B206" s="6"/>
      <c r="C206" s="6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outlineLevel="1">
      <c r="A207" s="39"/>
      <c r="B207" s="6"/>
      <c r="C207" s="6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outlineLevel="1">
      <c r="A208" s="39"/>
      <c r="B208" s="6"/>
      <c r="C208" s="6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outlineLevel="1">
      <c r="A209" s="39"/>
      <c r="B209" s="6"/>
      <c r="C209" s="6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outlineLevel="1">
      <c r="A210" s="39"/>
      <c r="B210" s="6"/>
      <c r="C210" s="6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outlineLevel="1">
      <c r="A211" s="39"/>
      <c r="B211" s="6"/>
      <c r="C211" s="6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outlineLevel="1">
      <c r="A212" s="39"/>
      <c r="B212" s="6"/>
      <c r="C212" s="6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outlineLevel="1">
      <c r="A213" s="39"/>
      <c r="B213" s="6"/>
      <c r="C213" s="6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outlineLevel="1">
      <c r="A214" s="39"/>
      <c r="B214" s="6"/>
      <c r="C214" s="6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outlineLevel="1">
      <c r="A215" s="39"/>
      <c r="B215" s="6"/>
      <c r="C215" s="6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outlineLevel="1">
      <c r="A216" s="39"/>
      <c r="B216" s="6"/>
      <c r="C216" s="6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outlineLevel="1">
      <c r="A217" s="38"/>
      <c r="B217" s="6"/>
      <c r="C217" s="6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outlineLevel="1">
      <c r="A218" s="40"/>
      <c r="B218" s="6"/>
      <c r="C218" s="6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outlineLevel="1">
      <c r="A219" s="40"/>
      <c r="B219" s="6"/>
      <c r="C219" s="6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" customHeight="1" outlineLevel="1">
      <c r="A220" s="40"/>
      <c r="B220" s="6"/>
      <c r="C220" s="6"/>
      <c r="D220" s="6"/>
      <c r="E220" s="27"/>
      <c r="F220" s="27"/>
      <c r="G220" s="2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outlineLevel="1">
      <c r="A221" s="40"/>
      <c r="B221" s="6"/>
      <c r="C221" s="6"/>
      <c r="D221" s="6"/>
      <c r="E221" s="27"/>
      <c r="F221" s="27"/>
      <c r="G221" s="2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4.25" customHeight="1" outlineLevel="1">
      <c r="A222" s="40"/>
      <c r="B222" s="6"/>
      <c r="C222" s="6"/>
      <c r="D222" s="6"/>
      <c r="E222" s="27"/>
      <c r="F222" s="27"/>
      <c r="G222" s="2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outlineLevel="1">
      <c r="A223" s="40"/>
      <c r="B223" s="6"/>
      <c r="C223" s="6"/>
      <c r="D223" s="6"/>
      <c r="E223" s="27"/>
      <c r="F223" s="27"/>
      <c r="G223" s="27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outlineLevel="1">
      <c r="A224" s="40"/>
      <c r="B224" s="6"/>
      <c r="C224" s="6"/>
      <c r="D224" s="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outlineLevel="1">
      <c r="A225" s="42"/>
      <c r="B225" s="6"/>
      <c r="C225" s="6"/>
      <c r="D225" s="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outlineLevel="1">
      <c r="A226" s="42"/>
      <c r="B226" s="6"/>
      <c r="C226" s="6"/>
      <c r="D226" s="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outlineLevel="1">
      <c r="A227" s="42"/>
      <c r="B227" s="6"/>
      <c r="C227" s="6"/>
      <c r="D227" s="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outlineLevel="1">
      <c r="A228" s="27"/>
      <c r="B228" s="6"/>
      <c r="C228" s="6"/>
      <c r="D228" s="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outlineLevel="1">
      <c r="A229" s="6"/>
      <c r="B229" s="6"/>
      <c r="C229" s="6"/>
      <c r="D229" s="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outlineLevel="1">
      <c r="A230" s="6"/>
      <c r="B230" s="6"/>
      <c r="C230" s="6"/>
      <c r="D230" s="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outlineLevel="1">
      <c r="A231" s="6"/>
      <c r="B231" s="6"/>
      <c r="C231" s="6"/>
      <c r="D231" s="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outlineLevel="1">
      <c r="A232" s="17"/>
      <c r="B232" s="6"/>
      <c r="C232" s="6"/>
      <c r="D232" s="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outlineLevel="1">
      <c r="A233" s="17"/>
      <c r="B233" s="6"/>
      <c r="C233" s="6"/>
      <c r="D233" s="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outlineLevel="1">
      <c r="A234" s="17"/>
      <c r="B234" s="6"/>
      <c r="C234" s="6"/>
      <c r="D234" s="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outlineLevel="1">
      <c r="A235" s="6"/>
      <c r="B235" s="6"/>
      <c r="C235" s="6"/>
      <c r="D235" s="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outlineLevel="1">
      <c r="A236" s="6"/>
      <c r="B236" s="6"/>
      <c r="C236" s="6"/>
      <c r="D236" s="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spans="1:25" outlineLevel="1">
      <c r="A237" s="3"/>
      <c r="B237" s="3"/>
      <c r="C237" s="3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outlineLevel="1">
      <c r="A238" s="40"/>
      <c r="B238" s="6"/>
      <c r="C238" s="6"/>
      <c r="D238" s="6"/>
      <c r="E238" s="27"/>
      <c r="F238" s="27"/>
      <c r="G238" s="2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outlineLevel="1">
      <c r="A239" s="39"/>
      <c r="B239" s="6"/>
      <c r="C239" s="6"/>
      <c r="D239" s="6"/>
      <c r="E239" s="27"/>
      <c r="F239" s="27"/>
      <c r="G239" s="2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outlineLevel="1">
      <c r="A240" s="39"/>
      <c r="B240" s="6"/>
      <c r="C240" s="6"/>
      <c r="D240" s="6"/>
      <c r="E240" s="27"/>
      <c r="F240" s="27"/>
      <c r="G240" s="2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outlineLevel="1">
      <c r="A241" s="38"/>
      <c r="B241" s="6"/>
      <c r="C241" s="6"/>
      <c r="D241" s="6"/>
      <c r="E241" s="27"/>
      <c r="F241" s="27"/>
      <c r="G241" s="2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outlineLevel="1">
      <c r="A242" s="27"/>
      <c r="B242" s="6"/>
      <c r="C242" s="6"/>
      <c r="D242" s="6"/>
      <c r="E242" s="27"/>
      <c r="F242" s="27"/>
      <c r="G242" s="2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outlineLevel="1">
      <c r="A243" s="40"/>
      <c r="B243" s="6"/>
      <c r="C243" s="6"/>
      <c r="D243" s="6"/>
      <c r="E243" s="27"/>
      <c r="F243" s="27"/>
      <c r="G243" s="2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outlineLevel="1">
      <c r="A244" s="39"/>
      <c r="B244" s="6"/>
      <c r="C244" s="6"/>
      <c r="D244" s="6"/>
      <c r="E244" s="27"/>
      <c r="F244" s="27"/>
      <c r="G244" s="2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outlineLevel="1">
      <c r="A245" s="39"/>
      <c r="B245" s="6"/>
      <c r="C245" s="6"/>
      <c r="D245" s="6"/>
      <c r="E245" s="27"/>
      <c r="F245" s="27"/>
      <c r="G245" s="2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outlineLevel="1">
      <c r="A246" s="39"/>
      <c r="B246" s="6"/>
      <c r="C246" s="6"/>
      <c r="D246" s="20"/>
      <c r="E246" s="27"/>
      <c r="F246" s="27"/>
      <c r="G246" s="2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outlineLevel="1">
      <c r="A247" s="39"/>
      <c r="B247" s="6"/>
      <c r="C247" s="6"/>
      <c r="D247" s="6"/>
      <c r="E247" s="27"/>
      <c r="F247" s="27"/>
      <c r="G247" s="2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outlineLevel="1">
      <c r="A248" s="27"/>
      <c r="B248" s="6"/>
      <c r="C248" s="6"/>
      <c r="D248" s="6"/>
      <c r="E248" s="27"/>
      <c r="F248" s="27"/>
      <c r="G248" s="2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outlineLevel="1">
      <c r="A249" s="40"/>
      <c r="B249" s="6"/>
      <c r="C249" s="6"/>
      <c r="D249" s="6"/>
      <c r="E249" s="27"/>
      <c r="F249" s="27"/>
      <c r="G249" s="2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outlineLevel="1">
      <c r="A250" s="27"/>
      <c r="B250" s="6"/>
      <c r="C250" s="6"/>
      <c r="D250" s="6"/>
      <c r="E250" s="27"/>
      <c r="F250" s="27"/>
      <c r="G250" s="2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outlineLevel="1">
      <c r="A251" s="40"/>
      <c r="B251" s="6"/>
      <c r="C251" s="6"/>
      <c r="D251" s="6"/>
      <c r="E251" s="27"/>
      <c r="F251" s="27"/>
      <c r="G251" s="2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outlineLevel="1">
      <c r="A252" s="39"/>
      <c r="B252" s="6"/>
      <c r="C252" s="6"/>
      <c r="D252" s="6"/>
      <c r="E252" s="27"/>
      <c r="F252" s="27"/>
      <c r="G252" s="2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outlineLevel="1">
      <c r="A253" s="40"/>
      <c r="B253" s="6"/>
      <c r="C253" s="6"/>
      <c r="D253" s="6"/>
      <c r="E253" s="27"/>
      <c r="F253" s="27"/>
      <c r="G253" s="2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outlineLevel="1">
      <c r="A254" s="39"/>
      <c r="B254" s="6"/>
      <c r="C254" s="6"/>
      <c r="D254" s="6"/>
      <c r="E254" s="27"/>
      <c r="F254" s="27"/>
      <c r="G254" s="2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outlineLevel="1">
      <c r="A255" s="39"/>
      <c r="B255" s="6"/>
      <c r="C255" s="6"/>
      <c r="D255" s="6"/>
      <c r="E255" s="27"/>
      <c r="F255" s="27"/>
      <c r="G255" s="2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outlineLevel="1">
      <c r="A256" s="38"/>
      <c r="B256" s="6"/>
      <c r="C256" s="6"/>
      <c r="D256" s="6"/>
      <c r="E256" s="27"/>
      <c r="F256" s="27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outlineLevel="1">
      <c r="A257" s="39"/>
      <c r="B257" s="6"/>
      <c r="C257" s="6"/>
      <c r="D257" s="6"/>
      <c r="E257" s="27"/>
      <c r="F257" s="27"/>
      <c r="G257" s="2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outlineLevel="1">
      <c r="A258" s="38"/>
      <c r="B258" s="6"/>
      <c r="C258" s="6"/>
      <c r="D258" s="6"/>
      <c r="E258" s="27"/>
      <c r="F258" s="27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outlineLevel="1">
      <c r="A259" s="39"/>
      <c r="B259" s="6"/>
      <c r="C259" s="6"/>
      <c r="D259" s="6"/>
      <c r="E259" s="27"/>
      <c r="F259" s="27"/>
      <c r="G259" s="2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outlineLevel="1">
      <c r="A260" s="39"/>
      <c r="B260" s="6"/>
      <c r="C260" s="6"/>
      <c r="D260" s="6"/>
      <c r="E260" s="27"/>
      <c r="F260" s="27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outlineLevel="1">
      <c r="A261" s="39"/>
      <c r="B261" s="6"/>
      <c r="C261" s="6"/>
      <c r="D261" s="6"/>
      <c r="E261" s="27"/>
      <c r="F261" s="27"/>
      <c r="G261" s="2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outlineLevel="1">
      <c r="A262" s="39"/>
      <c r="B262" s="6"/>
      <c r="C262" s="6"/>
      <c r="D262" s="6"/>
      <c r="E262" s="27"/>
      <c r="F262" s="27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outlineLevel="1">
      <c r="A263" s="39"/>
      <c r="B263" s="6"/>
      <c r="C263" s="6"/>
      <c r="D263" s="6"/>
      <c r="E263" s="27"/>
      <c r="F263" s="27"/>
      <c r="G263" s="2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outlineLevel="1">
      <c r="A264" s="39"/>
      <c r="B264" s="6"/>
      <c r="C264" s="6"/>
      <c r="D264" s="6"/>
      <c r="E264" s="27"/>
      <c r="F264" s="27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outlineLevel="1">
      <c r="A265" s="40"/>
      <c r="B265" s="6"/>
      <c r="C265" s="6"/>
      <c r="D265" s="6"/>
      <c r="E265" s="27"/>
      <c r="F265" s="27"/>
      <c r="G265" s="2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outlineLevel="1">
      <c r="A266" s="39"/>
      <c r="B266" s="6"/>
      <c r="C266" s="6"/>
      <c r="D266" s="6"/>
      <c r="E266" s="27"/>
      <c r="F266" s="27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outlineLevel="1">
      <c r="A267" s="39"/>
      <c r="B267" s="6"/>
      <c r="C267" s="6"/>
      <c r="D267" s="6"/>
      <c r="E267" s="27"/>
      <c r="F267" s="27"/>
      <c r="G267" s="2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outlineLevel="1">
      <c r="A268" s="39"/>
      <c r="B268" s="6"/>
      <c r="C268" s="6"/>
      <c r="D268" s="6"/>
      <c r="E268" s="27"/>
      <c r="F268" s="27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outlineLevel="1">
      <c r="A269" s="39"/>
      <c r="B269" s="6"/>
      <c r="C269" s="6"/>
      <c r="D269" s="6"/>
      <c r="E269" s="27"/>
      <c r="F269" s="27"/>
      <c r="G269" s="2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outlineLevel="1">
      <c r="A270" s="39"/>
      <c r="B270" s="6"/>
      <c r="C270" s="6"/>
      <c r="D270" s="6"/>
      <c r="E270" s="27"/>
      <c r="F270" s="27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outlineLevel="1">
      <c r="A271" s="39"/>
      <c r="B271" s="6"/>
      <c r="C271" s="6"/>
      <c r="D271" s="6"/>
      <c r="E271" s="27"/>
      <c r="F271" s="27"/>
      <c r="G271" s="2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outlineLevel="1">
      <c r="A272" s="38"/>
      <c r="B272" s="6"/>
      <c r="C272" s="6"/>
      <c r="D272" s="6"/>
      <c r="E272" s="27"/>
      <c r="F272" s="27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outlineLevel="1">
      <c r="A273" s="40"/>
      <c r="B273" s="6"/>
      <c r="C273" s="6"/>
      <c r="D273" s="6"/>
      <c r="E273" s="27"/>
      <c r="F273" s="27"/>
      <c r="G273" s="2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outlineLevel="1">
      <c r="A274" s="40"/>
      <c r="B274" s="6"/>
      <c r="C274" s="6"/>
      <c r="D274" s="6"/>
      <c r="E274" s="27"/>
      <c r="F274" s="27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outlineLevel="1">
      <c r="A275" s="40"/>
      <c r="B275" s="6"/>
      <c r="C275" s="6"/>
      <c r="D275" s="6"/>
      <c r="E275" s="27"/>
      <c r="F275" s="27"/>
      <c r="G275" s="2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outlineLevel="1">
      <c r="A276" s="40"/>
      <c r="B276" s="6"/>
      <c r="C276" s="6"/>
      <c r="D276" s="6"/>
      <c r="E276" s="27"/>
      <c r="F276" s="27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outlineLevel="1">
      <c r="A277" s="40"/>
      <c r="B277" s="6"/>
      <c r="C277" s="6"/>
      <c r="D277" s="6"/>
      <c r="E277" s="27"/>
      <c r="F277" s="27"/>
      <c r="G277" s="2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outlineLevel="1">
      <c r="A278" s="40"/>
      <c r="B278" s="6"/>
      <c r="C278" s="6"/>
      <c r="D278" s="6"/>
      <c r="E278" s="27"/>
      <c r="F278" s="27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outlineLevel="1">
      <c r="A279" s="40"/>
      <c r="B279" s="6"/>
      <c r="C279" s="6"/>
      <c r="D279" s="6"/>
      <c r="E279" s="27"/>
      <c r="F279" s="27"/>
      <c r="G279" s="27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outlineLevel="1">
      <c r="A280" s="6"/>
      <c r="B280" s="6"/>
      <c r="C280" s="6"/>
      <c r="D280" s="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outlineLevel="1">
      <c r="A281" s="6"/>
      <c r="B281" s="6"/>
      <c r="C281" s="6"/>
      <c r="D281" s="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outlineLevel="1">
      <c r="A282" s="6"/>
      <c r="B282" s="6"/>
      <c r="C282" s="6"/>
      <c r="D282" s="6"/>
      <c r="E282" s="6"/>
      <c r="F282" s="6"/>
      <c r="G282" s="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spans="1:25" outlineLevel="1">
      <c r="A283" s="3"/>
      <c r="B283" s="3"/>
      <c r="C283" s="3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outlineLevel="1">
      <c r="A284" s="17"/>
      <c r="B284" s="17"/>
      <c r="C284" s="1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outlineLevel="1">
      <c r="A285" s="17"/>
      <c r="B285" s="43"/>
      <c r="C285" s="43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outlineLevel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outlineLevel="1">
      <c r="A287" s="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outlineLevel="1">
      <c r="A288" s="17"/>
      <c r="B288" s="17"/>
      <c r="C288" s="17"/>
      <c r="D288" s="1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1">
      <c r="A289" s="44"/>
      <c r="B289" s="17"/>
      <c r="C289" s="17"/>
      <c r="D289" s="17"/>
      <c r="E289" s="45"/>
      <c r="F289" s="45"/>
      <c r="G289" s="45"/>
      <c r="H289" s="45"/>
      <c r="I289" s="45"/>
      <c r="J289" s="45"/>
      <c r="K289" s="45"/>
      <c r="L289" s="45"/>
      <c r="M289" s="6"/>
      <c r="N289" s="4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1">
      <c r="A290" s="44"/>
      <c r="B290" s="17"/>
      <c r="C290" s="17"/>
      <c r="D290" s="17"/>
      <c r="E290" s="45"/>
      <c r="F290" s="45"/>
      <c r="G290" s="45"/>
      <c r="H290" s="45"/>
      <c r="I290" s="45"/>
      <c r="J290" s="45"/>
      <c r="K290" s="45"/>
      <c r="L290" s="45"/>
      <c r="M290" s="6"/>
      <c r="N290" s="4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1">
      <c r="A291" s="44"/>
      <c r="B291" s="44"/>
      <c r="C291" s="44"/>
      <c r="D291" s="44"/>
      <c r="E291" s="45"/>
      <c r="F291" s="45"/>
      <c r="G291" s="45"/>
      <c r="H291" s="45"/>
      <c r="I291" s="45"/>
      <c r="J291" s="45"/>
      <c r="K291" s="45"/>
      <c r="L291" s="45"/>
      <c r="M291" s="6"/>
      <c r="N291" s="4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outlineLevel="1">
      <c r="A292" s="44"/>
      <c r="B292" s="44"/>
      <c r="C292" s="44"/>
      <c r="D292" s="44"/>
      <c r="E292" s="45"/>
      <c r="F292" s="45"/>
      <c r="G292" s="45"/>
      <c r="H292" s="45"/>
      <c r="I292" s="45"/>
      <c r="J292" s="45"/>
      <c r="K292" s="45"/>
      <c r="L292" s="45"/>
      <c r="M292" s="6"/>
      <c r="N292" s="4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outlineLevel="1">
      <c r="A293" s="44"/>
      <c r="B293" s="3"/>
      <c r="C293" s="3"/>
      <c r="D293" s="3"/>
      <c r="E293" s="45"/>
      <c r="F293" s="45"/>
      <c r="G293" s="45"/>
      <c r="H293" s="45"/>
      <c r="I293" s="45"/>
      <c r="J293" s="45"/>
      <c r="K293" s="45"/>
      <c r="L293" s="45"/>
      <c r="M293" s="6"/>
      <c r="N293" s="4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>
      <c r="A294" s="6"/>
      <c r="B294" s="6"/>
      <c r="C294" s="6"/>
      <c r="D294" s="6"/>
      <c r="E294" s="45"/>
      <c r="F294" s="45"/>
      <c r="G294" s="45"/>
      <c r="H294" s="45"/>
      <c r="I294" s="45"/>
      <c r="J294" s="45"/>
      <c r="K294" s="45"/>
      <c r="L294" s="45"/>
      <c r="M294" s="6"/>
      <c r="N294" s="4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1">
      <c r="A295" s="17"/>
      <c r="B295" s="17"/>
      <c r="C295" s="17"/>
      <c r="D295" s="17"/>
      <c r="E295" s="45"/>
      <c r="F295" s="45"/>
      <c r="G295" s="45"/>
      <c r="H295" s="45"/>
      <c r="I295" s="45"/>
      <c r="J295" s="45"/>
      <c r="K295" s="45"/>
      <c r="L295" s="45"/>
      <c r="M295" s="6"/>
      <c r="N295" s="4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1">
      <c r="A296" s="44"/>
      <c r="B296" s="17"/>
      <c r="C296" s="17"/>
      <c r="D296" s="17"/>
      <c r="E296" s="45"/>
      <c r="F296" s="45"/>
      <c r="G296" s="45"/>
      <c r="H296" s="45"/>
      <c r="I296" s="45"/>
      <c r="J296" s="45"/>
      <c r="K296" s="45"/>
      <c r="L296" s="45"/>
      <c r="M296" s="6"/>
      <c r="N296" s="4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1">
      <c r="A297" s="44"/>
      <c r="B297" s="17"/>
      <c r="C297" s="17"/>
      <c r="D297" s="17"/>
      <c r="E297" s="45"/>
      <c r="F297" s="45"/>
      <c r="G297" s="45"/>
      <c r="H297" s="45"/>
      <c r="I297" s="45"/>
      <c r="J297" s="45"/>
      <c r="K297" s="45"/>
      <c r="L297" s="45"/>
      <c r="M297" s="6"/>
      <c r="N297" s="4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1">
      <c r="A298" s="44"/>
      <c r="B298" s="17"/>
      <c r="C298" s="17"/>
      <c r="D298" s="17"/>
      <c r="E298" s="45"/>
      <c r="F298" s="45"/>
      <c r="G298" s="45"/>
      <c r="H298" s="45"/>
      <c r="I298" s="45"/>
      <c r="J298" s="45"/>
      <c r="K298" s="45"/>
      <c r="L298" s="45"/>
      <c r="M298" s="6"/>
      <c r="N298" s="4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1">
      <c r="A299" s="44"/>
      <c r="B299" s="17"/>
      <c r="C299" s="17"/>
      <c r="D299" s="17"/>
      <c r="E299" s="45"/>
      <c r="F299" s="45"/>
      <c r="G299" s="45"/>
      <c r="H299" s="45"/>
      <c r="I299" s="45"/>
      <c r="J299" s="45"/>
      <c r="K299" s="45"/>
      <c r="L299" s="45"/>
      <c r="M299" s="6"/>
      <c r="N299" s="4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1">
      <c r="A300" s="44"/>
      <c r="B300" s="17"/>
      <c r="C300" s="17"/>
      <c r="D300" s="17"/>
      <c r="E300" s="45"/>
      <c r="F300" s="45"/>
      <c r="G300" s="45"/>
      <c r="H300" s="45"/>
      <c r="I300" s="45"/>
      <c r="J300" s="45"/>
      <c r="K300" s="45"/>
      <c r="L300" s="45"/>
      <c r="M300" s="6"/>
      <c r="N300" s="4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1">
      <c r="A301" s="44"/>
      <c r="B301" s="17"/>
      <c r="C301" s="17"/>
      <c r="D301" s="17"/>
      <c r="E301" s="45"/>
      <c r="F301" s="45"/>
      <c r="G301" s="45"/>
      <c r="H301" s="45"/>
      <c r="I301" s="45"/>
      <c r="J301" s="45"/>
      <c r="K301" s="45"/>
      <c r="L301" s="45"/>
      <c r="M301" s="6"/>
      <c r="N301" s="4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1">
      <c r="A302" s="44"/>
      <c r="B302" s="17"/>
      <c r="C302" s="17"/>
      <c r="D302" s="17"/>
      <c r="E302" s="45"/>
      <c r="F302" s="45"/>
      <c r="G302" s="45"/>
      <c r="H302" s="45"/>
      <c r="I302" s="45"/>
      <c r="J302" s="45"/>
      <c r="K302" s="45"/>
      <c r="L302" s="45"/>
      <c r="M302" s="6"/>
      <c r="N302" s="4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1">
      <c r="A303" s="44"/>
      <c r="B303" s="17"/>
      <c r="C303" s="17"/>
      <c r="D303" s="17"/>
      <c r="E303" s="45"/>
      <c r="F303" s="45"/>
      <c r="G303" s="45"/>
      <c r="H303" s="45"/>
      <c r="I303" s="45"/>
      <c r="J303" s="45"/>
      <c r="K303" s="45"/>
      <c r="L303" s="45"/>
      <c r="M303" s="6"/>
      <c r="N303" s="4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1">
      <c r="A304" s="44"/>
      <c r="B304" s="17"/>
      <c r="C304" s="17"/>
      <c r="D304" s="17"/>
      <c r="E304" s="45"/>
      <c r="F304" s="45"/>
      <c r="G304" s="45"/>
      <c r="H304" s="45"/>
      <c r="I304" s="45"/>
      <c r="J304" s="45"/>
      <c r="K304" s="45"/>
      <c r="L304" s="45"/>
      <c r="M304" s="6"/>
      <c r="N304" s="4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outlineLevel="1">
      <c r="A305" s="44"/>
      <c r="B305" s="44"/>
      <c r="C305" s="44"/>
      <c r="D305" s="44"/>
      <c r="E305" s="45"/>
      <c r="F305" s="45"/>
      <c r="G305" s="45"/>
      <c r="H305" s="45"/>
      <c r="I305" s="45"/>
      <c r="J305" s="45"/>
      <c r="K305" s="45"/>
      <c r="L305" s="45"/>
      <c r="M305" s="6"/>
      <c r="N305" s="4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outlineLevel="1">
      <c r="A306" s="44"/>
      <c r="B306" s="44"/>
      <c r="C306" s="44"/>
      <c r="D306" s="44"/>
      <c r="E306" s="45"/>
      <c r="F306" s="45"/>
      <c r="G306" s="45"/>
      <c r="H306" s="45"/>
      <c r="I306" s="45"/>
      <c r="J306" s="45"/>
      <c r="K306" s="45"/>
      <c r="L306" s="45"/>
      <c r="M306" s="6"/>
      <c r="N306" s="4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outlineLevel="1">
      <c r="A307" s="17"/>
      <c r="B307" s="17"/>
      <c r="C307" s="17"/>
      <c r="D307" s="17"/>
      <c r="E307" s="45"/>
      <c r="F307" s="45"/>
      <c r="G307" s="45"/>
      <c r="H307" s="45"/>
      <c r="I307" s="45"/>
      <c r="J307" s="45"/>
      <c r="K307" s="45"/>
      <c r="L307" s="45"/>
      <c r="M307" s="6"/>
      <c r="N307" s="4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outlineLevel="1">
      <c r="A308" s="44"/>
      <c r="B308" s="44"/>
      <c r="C308" s="44"/>
      <c r="D308" s="44"/>
      <c r="E308" s="45"/>
      <c r="F308" s="45"/>
      <c r="G308" s="45"/>
      <c r="H308" s="45"/>
      <c r="I308" s="45"/>
      <c r="J308" s="45"/>
      <c r="K308" s="45"/>
      <c r="L308" s="45"/>
      <c r="M308" s="6"/>
      <c r="N308" s="4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outlineLevel="1">
      <c r="A309" s="44"/>
      <c r="B309" s="44"/>
      <c r="C309" s="44"/>
      <c r="D309" s="44"/>
      <c r="E309" s="45"/>
      <c r="F309" s="45"/>
      <c r="G309" s="45"/>
      <c r="H309" s="45"/>
      <c r="I309" s="45"/>
      <c r="J309" s="45"/>
      <c r="K309" s="45"/>
      <c r="L309" s="45"/>
      <c r="M309" s="6"/>
      <c r="N309" s="4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outlineLevel="1">
      <c r="A310" s="17"/>
      <c r="B310" s="17"/>
      <c r="C310" s="17"/>
      <c r="D310" s="17"/>
      <c r="E310" s="45"/>
      <c r="F310" s="45"/>
      <c r="G310" s="45"/>
      <c r="H310" s="45"/>
      <c r="I310" s="45"/>
      <c r="J310" s="45"/>
      <c r="K310" s="45"/>
      <c r="L310" s="45"/>
      <c r="M310" s="6"/>
      <c r="N310" s="4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outlineLevel="1">
      <c r="A311" s="17"/>
      <c r="B311" s="17"/>
      <c r="C311" s="17"/>
      <c r="D311" s="17"/>
      <c r="E311" s="45"/>
      <c r="F311" s="45"/>
      <c r="G311" s="45"/>
      <c r="H311" s="45"/>
      <c r="I311" s="45"/>
      <c r="J311" s="45"/>
      <c r="K311" s="45"/>
      <c r="L311" s="45"/>
      <c r="M311" s="6"/>
      <c r="N311" s="4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outlineLevel="1">
      <c r="A312" s="6"/>
      <c r="B312" s="17"/>
      <c r="C312" s="17"/>
      <c r="D312" s="17"/>
      <c r="E312" s="45"/>
      <c r="F312" s="45"/>
      <c r="G312" s="45"/>
      <c r="H312" s="45"/>
      <c r="I312" s="45"/>
      <c r="J312" s="45"/>
      <c r="K312" s="45"/>
      <c r="L312" s="45"/>
      <c r="M312" s="6"/>
      <c r="N312" s="4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outlineLevel="1">
      <c r="A313" s="6"/>
      <c r="B313" s="46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6"/>
      <c r="N313" s="4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outlineLevel="1">
      <c r="A314" s="17"/>
      <c r="B314" s="46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6"/>
      <c r="N314" s="4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outlineLevel="1">
      <c r="A315" s="44"/>
      <c r="B315" s="46"/>
      <c r="C315" s="46"/>
      <c r="D315" s="46"/>
      <c r="E315" s="45"/>
      <c r="F315" s="45"/>
      <c r="G315" s="45"/>
      <c r="H315" s="45"/>
      <c r="I315" s="45"/>
      <c r="J315" s="45"/>
      <c r="K315" s="45"/>
      <c r="L315" s="45"/>
      <c r="M315" s="6"/>
      <c r="N315" s="4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outlineLevel="1">
      <c r="A316" s="17"/>
      <c r="B316" s="17"/>
      <c r="C316" s="17"/>
      <c r="D316" s="17"/>
      <c r="E316" s="45"/>
      <c r="F316" s="45"/>
      <c r="G316" s="45"/>
      <c r="H316" s="45"/>
      <c r="I316" s="45"/>
      <c r="J316" s="45"/>
      <c r="K316" s="45"/>
      <c r="L316" s="45"/>
      <c r="M316" s="6"/>
      <c r="N316" s="4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outlineLevel="1">
      <c r="A317" s="6"/>
      <c r="B317" s="6"/>
      <c r="C317" s="6"/>
      <c r="D317" s="6"/>
      <c r="E317" s="45"/>
      <c r="F317" s="45"/>
      <c r="G317" s="45"/>
      <c r="H317" s="45"/>
      <c r="I317" s="45"/>
      <c r="J317" s="45"/>
      <c r="K317" s="45"/>
      <c r="L317" s="45"/>
      <c r="M317" s="6"/>
      <c r="N317" s="4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outlineLevel="1">
      <c r="A318" s="17"/>
      <c r="B318" s="17"/>
      <c r="C318" s="17"/>
      <c r="D318" s="17"/>
      <c r="E318" s="45"/>
      <c r="F318" s="45"/>
      <c r="G318" s="45"/>
      <c r="H318" s="45"/>
      <c r="I318" s="45"/>
      <c r="J318" s="45"/>
      <c r="K318" s="45"/>
      <c r="L318" s="45"/>
      <c r="M318" s="6"/>
      <c r="N318" s="4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outlineLevel="1">
      <c r="A319" s="44"/>
      <c r="B319" s="44"/>
      <c r="C319" s="44"/>
      <c r="D319" s="44"/>
      <c r="E319" s="45"/>
      <c r="F319" s="45"/>
      <c r="G319" s="45"/>
      <c r="H319" s="45"/>
      <c r="I319" s="45"/>
      <c r="J319" s="45"/>
      <c r="K319" s="45"/>
      <c r="L319" s="45"/>
      <c r="M319" s="6"/>
      <c r="N319" s="4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outlineLevel="1">
      <c r="A320" s="44"/>
      <c r="B320" s="44"/>
      <c r="C320" s="44"/>
      <c r="D320" s="44"/>
      <c r="E320" s="45"/>
      <c r="F320" s="45"/>
      <c r="G320" s="45"/>
      <c r="H320" s="45"/>
      <c r="I320" s="45"/>
      <c r="J320" s="45"/>
      <c r="K320" s="45"/>
      <c r="L320" s="45"/>
      <c r="M320" s="6"/>
      <c r="N320" s="4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1">
      <c r="A321" s="44"/>
      <c r="B321" s="44"/>
      <c r="C321" s="44"/>
      <c r="D321" s="44"/>
      <c r="E321" s="45"/>
      <c r="F321" s="45"/>
      <c r="G321" s="45"/>
      <c r="H321" s="45"/>
      <c r="I321" s="45"/>
      <c r="J321" s="45"/>
      <c r="K321" s="45"/>
      <c r="L321" s="45"/>
      <c r="M321" s="6"/>
      <c r="N321" s="4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outlineLevel="1">
      <c r="A322" s="44"/>
      <c r="B322" s="44"/>
      <c r="C322" s="44"/>
      <c r="D322" s="44"/>
      <c r="E322" s="45"/>
      <c r="F322" s="45"/>
      <c r="G322" s="45"/>
      <c r="H322" s="45"/>
      <c r="I322" s="45"/>
      <c r="J322" s="45"/>
      <c r="K322" s="45"/>
      <c r="L322" s="45"/>
      <c r="M322" s="6"/>
      <c r="N322" s="4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outlineLevel="1">
      <c r="A323" s="44"/>
      <c r="B323" s="44"/>
      <c r="C323" s="44"/>
      <c r="D323" s="44"/>
      <c r="E323" s="45"/>
      <c r="F323" s="45"/>
      <c r="G323" s="45"/>
      <c r="H323" s="45"/>
      <c r="I323" s="45"/>
      <c r="J323" s="45"/>
      <c r="K323" s="45"/>
      <c r="L323" s="45"/>
      <c r="M323" s="6"/>
      <c r="N323" s="4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>
      <c r="A324" s="44"/>
      <c r="B324" s="6"/>
      <c r="C324" s="6"/>
      <c r="D324" s="6"/>
      <c r="E324" s="45"/>
      <c r="F324" s="45"/>
      <c r="G324" s="45"/>
      <c r="H324" s="45"/>
      <c r="I324" s="45"/>
      <c r="J324" s="45"/>
      <c r="K324" s="45"/>
      <c r="L324" s="45"/>
      <c r="M324" s="6"/>
      <c r="N324" s="4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1">
      <c r="A325" s="17"/>
      <c r="B325" s="17"/>
      <c r="C325" s="17"/>
      <c r="D325" s="17"/>
      <c r="E325" s="45"/>
      <c r="F325" s="45"/>
      <c r="G325" s="45"/>
      <c r="H325" s="45"/>
      <c r="I325" s="45"/>
      <c r="J325" s="45"/>
      <c r="K325" s="45"/>
      <c r="L325" s="45"/>
      <c r="M325" s="6"/>
      <c r="N325" s="4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1">
      <c r="A326" s="17"/>
      <c r="B326" s="17"/>
      <c r="C326" s="17"/>
      <c r="D326" s="17"/>
      <c r="E326" s="45"/>
      <c r="F326" s="45"/>
      <c r="G326" s="45"/>
      <c r="H326" s="45"/>
      <c r="I326" s="45"/>
      <c r="J326" s="45"/>
      <c r="K326" s="45"/>
      <c r="L326" s="45"/>
      <c r="M326" s="6"/>
      <c r="N326" s="4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1">
      <c r="A327" s="6"/>
      <c r="B327" s="6"/>
      <c r="C327" s="6"/>
      <c r="D327" s="6"/>
      <c r="E327" s="45"/>
      <c r="F327" s="45"/>
      <c r="G327" s="45"/>
      <c r="H327" s="45"/>
      <c r="I327" s="45"/>
      <c r="J327" s="45"/>
      <c r="K327" s="45"/>
      <c r="L327" s="45"/>
      <c r="M327" s="6"/>
      <c r="N327" s="4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1">
      <c r="A328" s="17"/>
      <c r="B328" s="47"/>
      <c r="C328" s="47"/>
      <c r="D328" s="6"/>
      <c r="E328" s="45"/>
      <c r="F328" s="45"/>
      <c r="G328" s="45"/>
      <c r="H328" s="45"/>
      <c r="I328" s="45"/>
      <c r="J328" s="45"/>
      <c r="K328" s="45"/>
      <c r="L328" s="45"/>
      <c r="M328" s="6"/>
      <c r="N328" s="4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1">
      <c r="A329" s="17"/>
      <c r="B329" s="43"/>
      <c r="C329" s="43"/>
      <c r="D329" s="43"/>
      <c r="E329" s="45"/>
      <c r="F329" s="45"/>
      <c r="G329" s="45"/>
      <c r="H329" s="45"/>
      <c r="I329" s="45"/>
      <c r="J329" s="45"/>
      <c r="K329" s="45"/>
      <c r="L329" s="45"/>
      <c r="M329" s="6"/>
      <c r="N329" s="4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1">
      <c r="A331" s="17"/>
      <c r="B331" s="48"/>
      <c r="C331" s="48"/>
      <c r="D331" s="6"/>
      <c r="E331" s="6"/>
      <c r="F331" s="6"/>
      <c r="G331" s="20"/>
      <c r="H331" s="20"/>
      <c r="I331" s="20"/>
      <c r="J331" s="20"/>
      <c r="K331" s="20"/>
      <c r="L331" s="2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1">
      <c r="A332" s="17"/>
      <c r="B332" s="6"/>
      <c r="C332" s="6"/>
      <c r="D332" s="6"/>
      <c r="E332" s="6"/>
      <c r="F332" s="6"/>
      <c r="G332" s="20"/>
      <c r="H332" s="20"/>
      <c r="I332" s="20"/>
      <c r="J332" s="20"/>
      <c r="K332" s="20"/>
      <c r="L332" s="2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1">
      <c r="A333" s="17"/>
      <c r="B333" s="6"/>
      <c r="C333" s="6"/>
      <c r="D333" s="6"/>
      <c r="E333" s="6"/>
      <c r="F333" s="6"/>
      <c r="G333" s="20"/>
      <c r="H333" s="20"/>
      <c r="I333" s="20"/>
      <c r="J333" s="20"/>
      <c r="K333" s="20"/>
      <c r="L333" s="2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1">
      <c r="A334" s="17"/>
      <c r="B334" s="6"/>
      <c r="C334" s="6"/>
      <c r="D334" s="6"/>
      <c r="E334" s="6"/>
      <c r="F334" s="6"/>
      <c r="G334" s="20"/>
      <c r="H334" s="20"/>
      <c r="I334" s="20"/>
      <c r="J334" s="20"/>
      <c r="K334" s="20"/>
      <c r="L334" s="20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1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outlineLevel="1">
      <c r="A337" s="1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outlineLevel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outlineLevel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s="187" customFormat="1" outlineLevel="1">
      <c r="A340" s="186"/>
    </row>
    <row r="341" spans="1:25" outlineLevel="1">
      <c r="A341" s="1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outlineLevel="1">
      <c r="A342" s="17"/>
      <c r="B342" s="6"/>
      <c r="C342" s="6"/>
      <c r="D342" s="6"/>
      <c r="E342" s="6"/>
      <c r="F342" s="6"/>
      <c r="G342" s="51"/>
      <c r="H342" s="51"/>
      <c r="I342" s="51"/>
      <c r="J342" s="51"/>
      <c r="K342" s="51"/>
      <c r="L342" s="5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outlineLevel="1">
      <c r="A343" s="17"/>
      <c r="B343" s="6"/>
      <c r="C343" s="6"/>
      <c r="D343" s="6"/>
      <c r="E343" s="6"/>
      <c r="F343" s="6"/>
      <c r="G343" s="51"/>
      <c r="H343" s="51"/>
      <c r="I343" s="51"/>
      <c r="J343" s="51"/>
      <c r="K343" s="51"/>
      <c r="L343" s="51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outlineLevel="1">
      <c r="A344" s="6"/>
      <c r="B344" s="52"/>
      <c r="C344" s="52"/>
      <c r="D344" s="52"/>
      <c r="E344" s="6"/>
      <c r="F344" s="6"/>
      <c r="G344" s="53"/>
      <c r="H344" s="53"/>
      <c r="I344" s="53"/>
      <c r="J344" s="53"/>
      <c r="K344" s="53"/>
      <c r="L344" s="53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outlineLevel="1">
      <c r="A345" s="17"/>
      <c r="B345" s="56"/>
      <c r="C345" s="56"/>
      <c r="D345" s="5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outlineLevel="1">
      <c r="A346" s="18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outlineLevel="1">
      <c r="A347" s="188"/>
      <c r="B347" s="6"/>
      <c r="C347" s="6"/>
      <c r="D347" s="6"/>
      <c r="E347" s="6"/>
      <c r="F347" s="6"/>
      <c r="G347" s="20"/>
      <c r="H347" s="20"/>
      <c r="I347" s="20"/>
      <c r="J347" s="20"/>
      <c r="K347" s="20"/>
      <c r="L347" s="2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outlineLevel="1">
      <c r="A348" s="188"/>
      <c r="B348" s="6"/>
      <c r="C348" s="6"/>
      <c r="D348" s="6"/>
      <c r="E348" s="6"/>
      <c r="F348" s="6"/>
      <c r="G348" s="20"/>
      <c r="H348" s="20"/>
      <c r="I348" s="20"/>
      <c r="J348" s="20"/>
      <c r="K348" s="20"/>
      <c r="L348" s="2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outlineLevel="1">
      <c r="A349" s="188"/>
      <c r="B349" s="6"/>
      <c r="C349" s="6"/>
      <c r="D349" s="6"/>
      <c r="E349" s="6"/>
      <c r="F349" s="6"/>
      <c r="G349" s="20"/>
      <c r="H349" s="20"/>
      <c r="I349" s="20"/>
      <c r="J349" s="20"/>
      <c r="K349" s="20"/>
      <c r="L349" s="2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outlineLevel="1">
      <c r="A350" s="188"/>
      <c r="B350" s="6"/>
      <c r="C350" s="6"/>
      <c r="D350" s="6"/>
      <c r="E350" s="6"/>
      <c r="F350" s="6"/>
      <c r="G350" s="20"/>
      <c r="H350" s="20"/>
      <c r="I350" s="20"/>
      <c r="J350" s="20"/>
      <c r="K350" s="20"/>
      <c r="L350" s="20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outlineLevel="1">
      <c r="A351" s="188"/>
      <c r="B351" s="6"/>
      <c r="C351" s="6"/>
      <c r="D351" s="6"/>
      <c r="E351" s="6"/>
      <c r="F351" s="6"/>
      <c r="G351" s="51"/>
      <c r="H351" s="51"/>
      <c r="I351" s="51"/>
      <c r="J351" s="51"/>
      <c r="K351" s="51"/>
      <c r="L351" s="51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outlineLevel="1">
      <c r="A352" s="17"/>
      <c r="B352" s="6"/>
      <c r="C352" s="6"/>
      <c r="D352" s="6"/>
      <c r="E352" s="6"/>
      <c r="F352" s="6"/>
      <c r="G352" s="56"/>
      <c r="H352" s="56"/>
      <c r="I352" s="56"/>
      <c r="J352" s="56"/>
      <c r="K352" s="56"/>
      <c r="L352" s="5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outlineLevel="1">
      <c r="A353" s="188"/>
      <c r="B353" s="14"/>
      <c r="C353" s="14"/>
      <c r="D353" s="14"/>
      <c r="E353" s="6"/>
      <c r="F353" s="6"/>
      <c r="G353" s="189"/>
      <c r="H353" s="189"/>
      <c r="I353" s="189"/>
      <c r="J353" s="189"/>
      <c r="K353" s="189"/>
      <c r="L353" s="18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outlineLevel="1">
      <c r="A354" s="188"/>
      <c r="B354" s="6"/>
      <c r="C354" s="6"/>
      <c r="D354" s="6"/>
      <c r="E354" s="6"/>
      <c r="F354" s="6"/>
      <c r="G354" s="189"/>
      <c r="H354" s="189"/>
      <c r="I354" s="189"/>
      <c r="J354" s="189"/>
      <c r="K354" s="189"/>
      <c r="L354" s="18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outlineLevel="1">
      <c r="A355" s="188"/>
      <c r="B355" s="6"/>
      <c r="C355" s="6"/>
      <c r="D355" s="6"/>
      <c r="E355" s="6"/>
      <c r="F355" s="6"/>
      <c r="G355" s="189"/>
      <c r="H355" s="189"/>
      <c r="I355" s="189"/>
      <c r="J355" s="189"/>
      <c r="K355" s="189"/>
      <c r="L355" s="18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outlineLevel="1">
      <c r="A356" s="188"/>
      <c r="B356" s="6"/>
      <c r="C356" s="6"/>
      <c r="D356" s="6"/>
      <c r="E356" s="6"/>
      <c r="F356" s="6"/>
      <c r="G356" s="189"/>
      <c r="H356" s="189"/>
      <c r="I356" s="189"/>
      <c r="J356" s="189"/>
      <c r="K356" s="189"/>
      <c r="L356" s="18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outlineLevel="1">
      <c r="A357" s="188"/>
      <c r="B357" s="6"/>
      <c r="C357" s="6"/>
      <c r="D357" s="6"/>
      <c r="E357" s="6"/>
      <c r="F357" s="6"/>
      <c r="G357" s="56"/>
      <c r="H357" s="56"/>
      <c r="I357" s="56"/>
      <c r="J357" s="56"/>
      <c r="K357" s="56"/>
      <c r="L357" s="5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outlineLevel="1">
      <c r="A358" s="1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outlineLevel="1">
      <c r="A359" s="6"/>
      <c r="B359" s="6"/>
      <c r="C359" s="6"/>
      <c r="D359" s="6"/>
      <c r="E359" s="6"/>
      <c r="F359" s="6"/>
      <c r="G359" s="20"/>
      <c r="H359" s="20"/>
      <c r="I359" s="20"/>
      <c r="J359" s="20"/>
      <c r="K359" s="20"/>
      <c r="L359" s="2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outlineLevel="1">
      <c r="A360" s="6"/>
      <c r="B360" s="6"/>
      <c r="C360" s="6"/>
      <c r="D360" s="6"/>
      <c r="E360" s="6"/>
      <c r="F360" s="6"/>
      <c r="G360" s="20"/>
      <c r="H360" s="20"/>
      <c r="I360" s="20"/>
      <c r="J360" s="20"/>
      <c r="K360" s="20"/>
      <c r="L360" s="2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outlineLevel="1">
      <c r="A361" s="6"/>
      <c r="B361" s="6"/>
      <c r="C361" s="6"/>
      <c r="D361" s="6"/>
      <c r="E361" s="6"/>
      <c r="F361" s="6"/>
      <c r="G361" s="20"/>
      <c r="H361" s="20"/>
      <c r="I361" s="20"/>
      <c r="J361" s="20"/>
      <c r="K361" s="20"/>
      <c r="L361" s="2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outlineLevel="1">
      <c r="A362" s="6"/>
      <c r="B362" s="6"/>
      <c r="C362" s="6"/>
      <c r="D362" s="6"/>
      <c r="E362" s="20"/>
      <c r="F362" s="20"/>
      <c r="G362" s="20"/>
      <c r="H362" s="20"/>
      <c r="I362" s="20"/>
      <c r="J362" s="20"/>
      <c r="K362" s="20"/>
      <c r="L362" s="20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outlineLevel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outlineLevel="1">
      <c r="A364" s="1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outlineLevel="1">
      <c r="A365" s="6"/>
      <c r="B365" s="6"/>
      <c r="C365" s="6"/>
      <c r="D365" s="6"/>
      <c r="E365" s="6"/>
      <c r="F365" s="6"/>
      <c r="G365" s="51"/>
      <c r="H365" s="51"/>
      <c r="I365" s="51"/>
      <c r="J365" s="51"/>
      <c r="K365" s="51"/>
      <c r="L365" s="5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outlineLevel="1">
      <c r="A366" s="188"/>
      <c r="B366" s="6"/>
      <c r="C366" s="6"/>
      <c r="D366" s="6"/>
      <c r="E366" s="6"/>
      <c r="F366" s="6"/>
      <c r="G366" s="51"/>
      <c r="H366" s="51"/>
      <c r="I366" s="51"/>
      <c r="J366" s="51"/>
      <c r="K366" s="51"/>
      <c r="L366" s="5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outlineLevel="1">
      <c r="A367" s="188"/>
      <c r="B367" s="6"/>
      <c r="C367" s="6"/>
      <c r="D367" s="6"/>
      <c r="E367" s="6"/>
      <c r="F367" s="6"/>
      <c r="G367" s="51"/>
      <c r="H367" s="51"/>
      <c r="I367" s="51"/>
      <c r="J367" s="51"/>
      <c r="K367" s="51"/>
      <c r="L367" s="5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outlineLevel="1">
      <c r="A368" s="188"/>
      <c r="B368" s="6"/>
      <c r="C368" s="6"/>
      <c r="D368" s="6"/>
      <c r="E368" s="20"/>
      <c r="F368" s="20"/>
      <c r="G368" s="51"/>
      <c r="H368" s="51"/>
      <c r="I368" s="51"/>
      <c r="J368" s="51"/>
      <c r="K368" s="51"/>
      <c r="L368" s="5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1">
      <c r="A369" s="6"/>
      <c r="B369" s="6"/>
      <c r="C369" s="6"/>
      <c r="D369" s="6"/>
      <c r="E369" s="6"/>
      <c r="F369" s="6"/>
      <c r="G369" s="51"/>
      <c r="H369" s="51"/>
      <c r="I369" s="51"/>
      <c r="J369" s="51"/>
      <c r="K369" s="51"/>
      <c r="L369" s="5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1">
      <c r="A370" s="6"/>
      <c r="B370" s="6"/>
      <c r="C370" s="6"/>
      <c r="D370" s="6"/>
      <c r="E370" s="6"/>
      <c r="F370" s="6"/>
      <c r="G370" s="51"/>
      <c r="H370" s="51"/>
      <c r="I370" s="51"/>
      <c r="J370" s="51"/>
      <c r="K370" s="51"/>
      <c r="L370" s="5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1">
      <c r="A371" s="6"/>
      <c r="B371" s="6"/>
      <c r="C371" s="6"/>
      <c r="D371" s="6"/>
      <c r="E371" s="6"/>
      <c r="F371" s="6"/>
      <c r="G371" s="51"/>
      <c r="H371" s="51"/>
      <c r="I371" s="51"/>
      <c r="J371" s="51"/>
      <c r="K371" s="51"/>
      <c r="L371" s="5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1">
      <c r="A372" s="6"/>
      <c r="B372" s="6"/>
      <c r="C372" s="6"/>
      <c r="D372" s="6"/>
      <c r="E372" s="6"/>
      <c r="F372" s="6"/>
      <c r="G372" s="51"/>
      <c r="H372" s="51"/>
      <c r="I372" s="51"/>
      <c r="J372" s="51"/>
      <c r="K372" s="51"/>
      <c r="L372" s="5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1">
      <c r="A373" s="6"/>
      <c r="B373" s="6"/>
      <c r="C373" s="6"/>
      <c r="D373" s="6"/>
      <c r="E373" s="6"/>
      <c r="F373" s="6"/>
      <c r="G373" s="51"/>
      <c r="H373" s="51"/>
      <c r="I373" s="51"/>
      <c r="J373" s="51"/>
      <c r="K373" s="51"/>
      <c r="L373" s="5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1">
      <c r="A374" s="6"/>
      <c r="B374" s="6"/>
      <c r="C374" s="6"/>
      <c r="D374" s="6"/>
      <c r="E374" s="6"/>
      <c r="F374" s="6"/>
      <c r="G374" s="51"/>
      <c r="H374" s="51"/>
      <c r="I374" s="51"/>
      <c r="J374" s="51"/>
      <c r="K374" s="51"/>
      <c r="L374" s="51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1">
      <c r="A376" s="17"/>
      <c r="B376" s="6"/>
      <c r="C376" s="6"/>
      <c r="D376" s="6"/>
      <c r="E376" s="59"/>
      <c r="F376" s="59"/>
      <c r="G376" s="59"/>
      <c r="H376" s="59"/>
      <c r="I376" s="59"/>
      <c r="J376" s="59"/>
      <c r="K376" s="59"/>
      <c r="L376" s="5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1">
      <c r="A377" s="17"/>
      <c r="B377" s="6"/>
      <c r="C377" s="6"/>
      <c r="D377" s="14"/>
      <c r="E377" s="20"/>
      <c r="F377" s="20"/>
      <c r="G377" s="59"/>
      <c r="H377" s="59"/>
      <c r="I377" s="59"/>
      <c r="J377" s="59"/>
      <c r="K377" s="59"/>
      <c r="L377" s="5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1">
      <c r="A378" s="17"/>
      <c r="B378" s="6"/>
      <c r="C378" s="6"/>
      <c r="D378" s="6"/>
      <c r="E378" s="59"/>
      <c r="F378" s="59"/>
      <c r="G378" s="59"/>
      <c r="H378" s="59"/>
      <c r="I378" s="59"/>
      <c r="J378" s="59"/>
      <c r="K378" s="59"/>
      <c r="L378" s="5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1">
      <c r="A379" s="17"/>
      <c r="B379" s="6"/>
      <c r="C379" s="6"/>
      <c r="D379" s="6"/>
      <c r="E379" s="6"/>
      <c r="F379" s="6"/>
      <c r="G379" s="59"/>
      <c r="H379" s="59"/>
      <c r="I379" s="59"/>
      <c r="J379" s="59"/>
      <c r="K379" s="59"/>
      <c r="L379" s="5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1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outlineLevel="1">
      <c r="A382" s="1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outlineLevel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>
      <c r="A384" s="6"/>
      <c r="B384" s="6"/>
      <c r="C384" s="6"/>
      <c r="D384" s="6"/>
      <c r="E384" s="6"/>
      <c r="F384" s="6"/>
      <c r="G384" s="45"/>
      <c r="H384" s="45"/>
      <c r="I384" s="45"/>
      <c r="J384" s="45"/>
      <c r="K384" s="45"/>
      <c r="L384" s="4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outlineLevel="1">
      <c r="A385" s="6"/>
      <c r="B385" s="6"/>
      <c r="C385" s="6"/>
      <c r="D385" s="6"/>
      <c r="E385" s="6"/>
      <c r="F385" s="6"/>
      <c r="G385" s="59"/>
      <c r="H385" s="59"/>
      <c r="I385" s="59"/>
      <c r="J385" s="59"/>
      <c r="K385" s="59"/>
      <c r="L385" s="59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outlineLevel="1">
      <c r="A386" s="6"/>
      <c r="B386" s="6"/>
      <c r="C386" s="6"/>
      <c r="D386" s="6"/>
      <c r="E386" s="6"/>
      <c r="F386" s="6"/>
      <c r="G386" s="45"/>
      <c r="H386" s="45"/>
      <c r="I386" s="45"/>
      <c r="J386" s="45"/>
      <c r="K386" s="45"/>
      <c r="L386" s="4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outlineLevel="1">
      <c r="A387" s="6"/>
      <c r="B387" s="6"/>
      <c r="C387" s="6"/>
      <c r="D387" s="6"/>
      <c r="E387" s="6"/>
      <c r="F387" s="6"/>
      <c r="G387" s="45"/>
      <c r="H387" s="45"/>
      <c r="I387" s="45"/>
      <c r="J387" s="45"/>
      <c r="K387" s="45"/>
      <c r="L387" s="4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outlineLevel="1">
      <c r="A388" s="6"/>
      <c r="B388" s="6"/>
      <c r="C388" s="6"/>
      <c r="D388" s="6"/>
      <c r="E388" s="6"/>
      <c r="F388" s="6"/>
      <c r="G388" s="45"/>
      <c r="H388" s="45"/>
      <c r="I388" s="45"/>
      <c r="J388" s="45"/>
      <c r="K388" s="45"/>
      <c r="L388" s="4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outlineLevel="1">
      <c r="A389" s="6"/>
      <c r="B389" s="6"/>
      <c r="C389" s="6"/>
      <c r="D389" s="6"/>
      <c r="E389" s="6"/>
      <c r="F389" s="6"/>
      <c r="G389" s="61"/>
      <c r="H389" s="61"/>
      <c r="I389" s="61"/>
      <c r="J389" s="61"/>
      <c r="K389" s="61"/>
      <c r="L389" s="6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outlineLevel="1">
      <c r="A390" s="6"/>
      <c r="B390" s="6"/>
      <c r="C390" s="6"/>
      <c r="D390" s="6"/>
      <c r="E390" s="6"/>
      <c r="F390" s="6"/>
      <c r="G390" s="61"/>
      <c r="H390" s="61"/>
      <c r="I390" s="61"/>
      <c r="J390" s="61"/>
      <c r="K390" s="61"/>
      <c r="L390" s="6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idden="1" outlineLevel="2">
      <c r="A391" s="17"/>
      <c r="B391" s="6"/>
      <c r="C391" s="6"/>
      <c r="D391" s="6"/>
      <c r="E391" s="6"/>
      <c r="F391" s="6"/>
      <c r="G391" s="61"/>
      <c r="H391" s="61"/>
      <c r="I391" s="61"/>
      <c r="J391" s="61"/>
      <c r="K391" s="61"/>
      <c r="L391" s="6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idden="1" outlineLevel="2">
      <c r="A392" s="17"/>
      <c r="B392" s="6"/>
      <c r="C392" s="6"/>
      <c r="D392" s="6"/>
      <c r="E392" s="6"/>
      <c r="F392" s="6"/>
      <c r="G392" s="61"/>
      <c r="H392" s="61"/>
      <c r="I392" s="61"/>
      <c r="J392" s="61"/>
      <c r="K392" s="61"/>
      <c r="L392" s="6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idden="1" outlineLevel="2">
      <c r="A393" s="6"/>
      <c r="B393" s="6"/>
      <c r="C393" s="6"/>
      <c r="D393" s="6"/>
      <c r="E393" s="6"/>
      <c r="F393" s="6"/>
      <c r="G393" s="61"/>
      <c r="H393" s="61"/>
      <c r="I393" s="61"/>
      <c r="J393" s="61"/>
      <c r="K393" s="61"/>
      <c r="L393" s="61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idden="1" outlineLevel="2">
      <c r="A394" s="17"/>
      <c r="B394" s="9"/>
      <c r="C394" s="9"/>
      <c r="D394" s="9"/>
      <c r="E394" s="10"/>
      <c r="F394" s="10"/>
      <c r="G394" s="10"/>
      <c r="H394" s="9"/>
      <c r="I394" s="9"/>
      <c r="J394" s="10"/>
      <c r="K394" s="10"/>
      <c r="L394" s="9"/>
      <c r="M394" s="10"/>
      <c r="N394" s="10"/>
      <c r="O394" s="10"/>
      <c r="P394" s="9"/>
      <c r="Q394" s="10"/>
      <c r="R394" s="10"/>
      <c r="S394" s="6"/>
      <c r="T394" s="6"/>
      <c r="U394" s="6"/>
      <c r="V394" s="6"/>
      <c r="W394" s="6"/>
      <c r="X394" s="10"/>
      <c r="Y394" s="6"/>
    </row>
    <row r="395" spans="1:25" hidden="1" outlineLevel="2">
      <c r="A395" s="1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idden="1" outlineLevel="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idden="1" outlineLevel="2">
      <c r="A397" s="6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6"/>
      <c r="T397" s="6"/>
      <c r="U397" s="6"/>
      <c r="V397" s="6"/>
      <c r="W397" s="6"/>
      <c r="X397" s="45"/>
      <c r="Y397" s="6"/>
    </row>
    <row r="398" spans="1:25" hidden="1" outlineLevel="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idden="1" outlineLevel="2">
      <c r="A399" s="6"/>
      <c r="B399" s="59"/>
      <c r="C399" s="59"/>
      <c r="D399" s="59"/>
      <c r="E399" s="59"/>
      <c r="F399" s="59"/>
      <c r="G399" s="59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6"/>
      <c r="T399" s="6"/>
      <c r="U399" s="6"/>
      <c r="V399" s="6"/>
      <c r="W399" s="6"/>
      <c r="X399" s="45"/>
      <c r="Y399" s="6"/>
    </row>
    <row r="400" spans="1:25" hidden="1" outlineLevel="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30" hidden="1" outlineLevel="2">
      <c r="A401" s="6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6"/>
      <c r="T401" s="6"/>
      <c r="U401" s="6"/>
      <c r="V401" s="6"/>
      <c r="W401" s="6"/>
      <c r="X401" s="45"/>
      <c r="Y401" s="45"/>
      <c r="Z401" s="45"/>
      <c r="AA401" s="45"/>
      <c r="AB401" s="45"/>
      <c r="AC401" s="45"/>
      <c r="AD401" s="45"/>
    </row>
    <row r="402" spans="1:30" hidden="1" outlineLevel="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30" hidden="1" outlineLevel="2">
      <c r="A403" s="6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6"/>
      <c r="T403" s="6"/>
      <c r="U403" s="6"/>
      <c r="V403" s="6"/>
      <c r="W403" s="6"/>
      <c r="X403" s="45"/>
      <c r="Y403" s="6"/>
    </row>
    <row r="404" spans="1:30" hidden="1" outlineLevel="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30" hidden="1" outlineLevel="2">
      <c r="A405" s="6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6"/>
      <c r="T405" s="6"/>
      <c r="U405" s="6"/>
      <c r="V405" s="6"/>
      <c r="W405" s="6"/>
      <c r="X405" s="45"/>
      <c r="Y405" s="45"/>
    </row>
    <row r="406" spans="1:30" hidden="1" outlineLevel="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30" hidden="1" outlineLevel="2">
      <c r="A407" s="6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6"/>
      <c r="T407" s="6"/>
      <c r="U407" s="6"/>
      <c r="V407" s="6"/>
      <c r="W407" s="6"/>
      <c r="X407" s="45"/>
      <c r="Y407" s="45"/>
    </row>
    <row r="408" spans="1:30" hidden="1" outlineLevel="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30" outlineLevel="1" collapsed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30" outlineLevel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30" outlineLevel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30" outlineLevel="1">
      <c r="A412" s="3"/>
      <c r="B412" s="3"/>
      <c r="C412" s="3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30" outlineLevel="1">
      <c r="A413" s="17"/>
      <c r="B413" s="17"/>
      <c r="C413" s="1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30" outlineLevel="1">
      <c r="A414" s="17"/>
      <c r="B414" s="43"/>
      <c r="C414" s="43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30" outlineLevel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30" outlineLevel="1">
      <c r="A416" s="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outlineLevel="1">
      <c r="A417" s="17"/>
      <c r="B417" s="17"/>
      <c r="C417" s="1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outlineLevel="1">
      <c r="A418" s="44"/>
      <c r="B418" s="17"/>
      <c r="C418" s="17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outlineLevel="1">
      <c r="A419" s="44"/>
      <c r="B419" s="17"/>
      <c r="C419" s="17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outlineLevel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outlineLevel="1">
      <c r="A421" s="44"/>
      <c r="B421" s="44"/>
      <c r="C421" s="44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outlineLevel="1">
      <c r="A422" s="44"/>
      <c r="B422" s="3"/>
      <c r="C422" s="3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outlineLevel="1">
      <c r="A423" s="6"/>
      <c r="B423" s="6"/>
      <c r="C423" s="6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outlineLevel="1">
      <c r="A424" s="17"/>
      <c r="B424" s="17"/>
      <c r="C424" s="17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outlineLevel="1">
      <c r="A425" s="44"/>
      <c r="B425" s="17"/>
      <c r="C425" s="17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outlineLevel="1">
      <c r="A426" s="44"/>
      <c r="B426" s="17"/>
      <c r="C426" s="17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outlineLevel="1">
      <c r="A427" s="44"/>
      <c r="B427" s="17"/>
      <c r="C427" s="17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outlineLevel="1">
      <c r="A428" s="44"/>
      <c r="B428" s="17"/>
      <c r="C428" s="17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outlineLevel="1">
      <c r="A429" s="44"/>
      <c r="B429" s="17"/>
      <c r="C429" s="17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outlineLevel="1">
      <c r="A430" s="44"/>
      <c r="B430" s="17"/>
      <c r="C430" s="17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outlineLevel="1">
      <c r="A431" s="44"/>
      <c r="B431" s="17"/>
      <c r="C431" s="17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outlineLevel="1">
      <c r="A432" s="44"/>
      <c r="B432" s="17"/>
      <c r="C432" s="17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outlineLevel="1">
      <c r="A433" s="44"/>
      <c r="B433" s="17"/>
      <c r="C433" s="17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outlineLevel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outlineLevel="1">
      <c r="A435" s="44"/>
      <c r="B435" s="44"/>
      <c r="C435" s="44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outlineLevel="1">
      <c r="A436" s="17"/>
      <c r="B436" s="17"/>
      <c r="C436" s="17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outlineLevel="1">
      <c r="A437" s="44"/>
      <c r="B437" s="44"/>
      <c r="C437" s="44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outlineLevel="1">
      <c r="A438" s="17"/>
      <c r="B438" s="17"/>
      <c r="C438" s="17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outlineLevel="1">
      <c r="A439" s="44"/>
      <c r="B439" s="46"/>
      <c r="C439" s="46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outlineLevel="1">
      <c r="A440" s="17"/>
      <c r="B440" s="17"/>
      <c r="C440" s="17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outlineLevel="1">
      <c r="A441" s="6"/>
      <c r="B441" s="6"/>
      <c r="C441" s="6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outlineLevel="1">
      <c r="A442" s="17"/>
      <c r="B442" s="17"/>
      <c r="C442" s="17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outlineLevel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outlineLevel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outlineLevel="1">
      <c r="A445" s="44"/>
      <c r="B445" s="44"/>
      <c r="C445" s="44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outlineLevel="1">
      <c r="A446" s="44"/>
      <c r="B446" s="6"/>
      <c r="C446" s="6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outlineLevel="1">
      <c r="A447" s="17"/>
      <c r="B447" s="17"/>
      <c r="C447" s="17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outlineLevel="1">
      <c r="A448" s="17"/>
      <c r="B448" s="17"/>
      <c r="C448" s="17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outlineLevel="1">
      <c r="A449" s="44"/>
      <c r="B449" s="17"/>
      <c r="C449" s="17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outlineLevel="1">
      <c r="A450" s="44"/>
      <c r="B450" s="17"/>
      <c r="C450" s="17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outlineLevel="1">
      <c r="A451" s="44"/>
      <c r="B451" s="17"/>
      <c r="C451" s="17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outlineLevel="1">
      <c r="A452" s="44"/>
      <c r="B452" s="17"/>
      <c r="C452" s="17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outlineLevel="1">
      <c r="A453" s="44"/>
      <c r="B453" s="17"/>
      <c r="C453" s="17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outlineLevel="1">
      <c r="A454" s="3"/>
      <c r="B454" s="46"/>
      <c r="C454" s="46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outlineLevel="1">
      <c r="A455" s="17"/>
      <c r="B455" s="17"/>
      <c r="C455" s="17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outlineLevel="1">
      <c r="A456" s="6"/>
      <c r="B456" s="6"/>
      <c r="C456" s="6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outlineLevel="1">
      <c r="A457" s="17"/>
      <c r="B457" s="43"/>
      <c r="C457" s="43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outlineLevel="1">
      <c r="A458" s="17"/>
      <c r="B458" s="43"/>
      <c r="C458" s="43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outlineLevel="1">
      <c r="A459" s="17"/>
      <c r="B459" s="43"/>
      <c r="C459" s="43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</row>
    <row r="460" spans="1:25" outlineLevel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outlineLevel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>
      <c r="A462" s="3"/>
      <c r="B462" s="3"/>
      <c r="C462" s="3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1">
      <c r="A463" s="17"/>
      <c r="B463" s="17"/>
      <c r="C463" s="1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1">
      <c r="A464" s="17"/>
      <c r="B464" s="43"/>
      <c r="C464" s="43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outlineLevel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outlineLevel="1">
      <c r="A466" s="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6"/>
      <c r="T466" s="6"/>
      <c r="U466" s="6"/>
      <c r="V466" s="6"/>
      <c r="W466" s="6"/>
      <c r="X466" s="6"/>
      <c r="Y466" s="6"/>
    </row>
    <row r="467" spans="1:25" outlineLevel="1">
      <c r="A467" s="17"/>
      <c r="B467" s="17"/>
      <c r="C467" s="17"/>
      <c r="D467" s="1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outlineLevel="1">
      <c r="A468" s="44"/>
      <c r="B468" s="17"/>
      <c r="C468" s="17"/>
      <c r="D468" s="17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6"/>
      <c r="T468" s="6"/>
      <c r="U468" s="6"/>
      <c r="V468" s="6"/>
      <c r="W468" s="6"/>
      <c r="X468" s="6"/>
      <c r="Y468" s="6"/>
    </row>
    <row r="469" spans="1:25" outlineLevel="1">
      <c r="A469" s="44"/>
      <c r="B469" s="17"/>
      <c r="C469" s="17"/>
      <c r="D469" s="17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6"/>
      <c r="T469" s="6"/>
      <c r="U469" s="6"/>
      <c r="V469" s="6"/>
      <c r="W469" s="6"/>
      <c r="X469" s="6"/>
      <c r="Y469" s="6"/>
    </row>
    <row r="470" spans="1:25" outlineLevel="1">
      <c r="A470" s="44"/>
      <c r="B470" s="44"/>
      <c r="C470" s="44"/>
      <c r="D470" s="44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6"/>
      <c r="T470" s="6"/>
      <c r="U470" s="6"/>
      <c r="V470" s="6"/>
      <c r="W470" s="6"/>
      <c r="X470" s="6"/>
      <c r="Y470" s="6"/>
    </row>
    <row r="471" spans="1:25" outlineLevel="1">
      <c r="A471" s="44"/>
      <c r="B471" s="44"/>
      <c r="C471" s="44"/>
      <c r="D471" s="44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6"/>
      <c r="T471" s="6"/>
      <c r="U471" s="6"/>
      <c r="V471" s="6"/>
      <c r="W471" s="6"/>
      <c r="X471" s="6"/>
      <c r="Y471" s="6"/>
    </row>
    <row r="472" spans="1:25" outlineLevel="1">
      <c r="A472" s="44"/>
      <c r="B472" s="3"/>
      <c r="C472" s="3"/>
      <c r="D472" s="3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6"/>
      <c r="T472" s="6"/>
      <c r="U472" s="6"/>
      <c r="V472" s="6"/>
      <c r="W472" s="6"/>
      <c r="X472" s="6"/>
      <c r="Y472" s="6"/>
    </row>
    <row r="473" spans="1:25" outlineLevel="1">
      <c r="A473" s="44"/>
      <c r="B473" s="3"/>
      <c r="C473" s="3"/>
      <c r="D473" s="3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6"/>
      <c r="T473" s="6"/>
      <c r="U473" s="6"/>
      <c r="V473" s="6"/>
      <c r="W473" s="6"/>
      <c r="X473" s="6"/>
      <c r="Y473" s="6"/>
    </row>
    <row r="474" spans="1:25" outlineLevel="1">
      <c r="A474" s="17"/>
      <c r="B474" s="17"/>
      <c r="C474" s="17"/>
      <c r="D474" s="17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6"/>
      <c r="T474" s="6"/>
      <c r="U474" s="6"/>
      <c r="V474" s="6"/>
      <c r="W474" s="6"/>
      <c r="X474" s="6"/>
      <c r="Y474" s="6"/>
    </row>
    <row r="475" spans="1:25" outlineLevel="1">
      <c r="A475" s="44"/>
      <c r="B475" s="17"/>
      <c r="C475" s="17"/>
      <c r="D475" s="17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6"/>
      <c r="T475" s="6"/>
      <c r="U475" s="6"/>
      <c r="V475" s="6"/>
      <c r="W475" s="6"/>
      <c r="X475" s="6"/>
      <c r="Y475" s="6"/>
    </row>
    <row r="476" spans="1:25" outlineLevel="1">
      <c r="A476" s="44"/>
      <c r="B476" s="17"/>
      <c r="C476" s="17"/>
      <c r="D476" s="17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6"/>
      <c r="T476" s="6"/>
      <c r="U476" s="6"/>
      <c r="V476" s="6"/>
      <c r="W476" s="6"/>
      <c r="X476" s="6"/>
      <c r="Y476" s="6"/>
    </row>
    <row r="477" spans="1:25" outlineLevel="1">
      <c r="A477" s="44"/>
      <c r="B477" s="17"/>
      <c r="C477" s="17"/>
      <c r="D477" s="17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6"/>
      <c r="T477" s="6"/>
      <c r="U477" s="6"/>
      <c r="V477" s="6"/>
      <c r="W477" s="6"/>
      <c r="X477" s="6"/>
      <c r="Y477" s="6"/>
    </row>
    <row r="478" spans="1:25" outlineLevel="1">
      <c r="A478" s="44"/>
      <c r="B478" s="17"/>
      <c r="C478" s="17"/>
      <c r="D478" s="17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6"/>
      <c r="T478" s="6"/>
      <c r="U478" s="6"/>
      <c r="V478" s="6"/>
      <c r="W478" s="6"/>
      <c r="X478" s="6"/>
      <c r="Y478" s="6"/>
    </row>
    <row r="479" spans="1:25" outlineLevel="1">
      <c r="A479" s="44"/>
      <c r="B479" s="17"/>
      <c r="C479" s="17"/>
      <c r="D479" s="17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6"/>
      <c r="T479" s="6"/>
      <c r="U479" s="6"/>
      <c r="V479" s="6"/>
      <c r="W479" s="6"/>
      <c r="X479" s="6"/>
      <c r="Y479" s="6"/>
    </row>
    <row r="480" spans="1:25" outlineLevel="1">
      <c r="A480" s="44"/>
      <c r="B480" s="17"/>
      <c r="C480" s="17"/>
      <c r="D480" s="17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6"/>
      <c r="T480" s="6"/>
      <c r="U480" s="6"/>
      <c r="V480" s="6"/>
      <c r="W480" s="6"/>
      <c r="X480" s="6"/>
      <c r="Y480" s="6"/>
    </row>
    <row r="481" spans="1:25" outlineLevel="1">
      <c r="A481" s="44"/>
      <c r="B481" s="17"/>
      <c r="C481" s="17"/>
      <c r="D481" s="17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6"/>
      <c r="T481" s="6"/>
      <c r="U481" s="6"/>
      <c r="V481" s="6"/>
      <c r="W481" s="6"/>
      <c r="X481" s="6"/>
      <c r="Y481" s="6"/>
    </row>
    <row r="482" spans="1:25" outlineLevel="1">
      <c r="A482" s="44"/>
      <c r="B482" s="17"/>
      <c r="C482" s="17"/>
      <c r="D482" s="17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6"/>
      <c r="T482" s="6"/>
      <c r="U482" s="6"/>
      <c r="V482" s="6"/>
      <c r="W482" s="6"/>
      <c r="X482" s="6"/>
      <c r="Y482" s="6"/>
    </row>
    <row r="483" spans="1:25" outlineLevel="1">
      <c r="A483" s="44"/>
      <c r="B483" s="17"/>
      <c r="C483" s="17"/>
      <c r="D483" s="17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6"/>
      <c r="T483" s="6"/>
      <c r="U483" s="6"/>
      <c r="V483" s="6"/>
      <c r="W483" s="6"/>
      <c r="X483" s="6"/>
      <c r="Y483" s="6"/>
    </row>
    <row r="484" spans="1:25" outlineLevel="1">
      <c r="A484" s="44"/>
      <c r="B484" s="17"/>
      <c r="C484" s="17"/>
      <c r="D484" s="17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6"/>
      <c r="T484" s="6"/>
      <c r="U484" s="6"/>
      <c r="V484" s="6"/>
      <c r="W484" s="6"/>
      <c r="X484" s="6"/>
      <c r="Y484" s="6"/>
    </row>
    <row r="485" spans="1:25" outlineLevel="1">
      <c r="A485" s="44"/>
      <c r="B485" s="44"/>
      <c r="C485" s="44"/>
      <c r="D485" s="44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6"/>
      <c r="T485" s="6"/>
      <c r="U485" s="6"/>
      <c r="V485" s="6"/>
      <c r="W485" s="6"/>
      <c r="X485" s="6"/>
      <c r="Y485" s="6"/>
    </row>
    <row r="486" spans="1:25" outlineLevel="1">
      <c r="A486" s="44"/>
      <c r="B486" s="44"/>
      <c r="C486" s="44"/>
      <c r="D486" s="44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6"/>
      <c r="T486" s="6"/>
      <c r="U486" s="6"/>
      <c r="V486" s="6"/>
      <c r="W486" s="6"/>
      <c r="X486" s="6"/>
      <c r="Y486" s="6"/>
    </row>
    <row r="487" spans="1:25" outlineLevel="1">
      <c r="A487" s="17"/>
      <c r="B487" s="17"/>
      <c r="C487" s="17"/>
      <c r="D487" s="17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6"/>
      <c r="T487" s="6"/>
      <c r="U487" s="6"/>
      <c r="V487" s="6"/>
      <c r="W487" s="6"/>
      <c r="X487" s="6"/>
      <c r="Y487" s="6"/>
    </row>
    <row r="488" spans="1:25" outlineLevel="1">
      <c r="A488" s="6"/>
      <c r="B488" s="17"/>
      <c r="C488" s="17"/>
      <c r="D488" s="17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6"/>
      <c r="T488" s="6"/>
      <c r="U488" s="6"/>
      <c r="V488" s="6"/>
      <c r="W488" s="6"/>
      <c r="X488" s="6"/>
      <c r="Y488" s="6"/>
    </row>
    <row r="489" spans="1:25" outlineLevel="1">
      <c r="A489" s="44"/>
      <c r="B489" s="44"/>
      <c r="C489" s="44"/>
      <c r="D489" s="44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6"/>
      <c r="T489" s="6"/>
      <c r="U489" s="6"/>
      <c r="V489" s="6"/>
      <c r="W489" s="6"/>
      <c r="X489" s="6"/>
      <c r="Y489" s="6"/>
    </row>
    <row r="490" spans="1:25" outlineLevel="1">
      <c r="A490" s="17"/>
      <c r="B490" s="17"/>
      <c r="C490" s="17"/>
      <c r="D490" s="17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6"/>
      <c r="T490" s="6"/>
      <c r="U490" s="6"/>
      <c r="V490" s="6"/>
      <c r="W490" s="6"/>
      <c r="X490" s="6"/>
      <c r="Y490" s="6"/>
    </row>
    <row r="491" spans="1:25" outlineLevel="1">
      <c r="A491" s="44"/>
      <c r="B491" s="46"/>
      <c r="C491" s="46"/>
      <c r="D491" s="46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6"/>
      <c r="T491" s="6"/>
      <c r="U491" s="6"/>
      <c r="V491" s="6"/>
      <c r="W491" s="6"/>
      <c r="X491" s="6"/>
      <c r="Y491" s="6"/>
    </row>
    <row r="492" spans="1:25" outlineLevel="1">
      <c r="A492" s="17"/>
      <c r="B492" s="17"/>
      <c r="C492" s="17"/>
      <c r="D492" s="17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6"/>
      <c r="T492" s="6"/>
      <c r="U492" s="6"/>
      <c r="V492" s="6"/>
      <c r="W492" s="6"/>
      <c r="X492" s="6"/>
      <c r="Y492" s="6"/>
    </row>
    <row r="493" spans="1:25" outlineLevel="1">
      <c r="A493" s="17"/>
      <c r="B493" s="17"/>
      <c r="C493" s="17"/>
      <c r="D493" s="17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6"/>
      <c r="T493" s="6"/>
      <c r="U493" s="6"/>
      <c r="V493" s="6"/>
      <c r="W493" s="6"/>
      <c r="X493" s="6"/>
      <c r="Y493" s="6"/>
    </row>
    <row r="494" spans="1:25" outlineLevel="1">
      <c r="A494" s="17"/>
      <c r="B494" s="17"/>
      <c r="C494" s="17"/>
      <c r="D494" s="17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6"/>
      <c r="T494" s="6"/>
      <c r="U494" s="6"/>
      <c r="V494" s="6"/>
      <c r="W494" s="6"/>
      <c r="X494" s="6"/>
      <c r="Y494" s="6"/>
    </row>
    <row r="495" spans="1:25" outlineLevel="1">
      <c r="A495" s="17"/>
      <c r="B495" s="43"/>
      <c r="C495" s="43"/>
      <c r="D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6"/>
      <c r="T495" s="6"/>
      <c r="U495" s="6"/>
      <c r="V495" s="6"/>
      <c r="W495" s="6"/>
      <c r="X495" s="6"/>
      <c r="Y495" s="6"/>
    </row>
    <row r="496" spans="1:25" outlineLevel="1">
      <c r="A496" s="17"/>
      <c r="B496" s="43"/>
      <c r="C496" s="43"/>
      <c r="D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6"/>
      <c r="T496" s="6"/>
      <c r="U496" s="6"/>
      <c r="V496" s="6"/>
      <c r="W496" s="6"/>
      <c r="X496" s="6"/>
      <c r="Y496" s="6"/>
    </row>
    <row r="497" spans="1:25" outlineLevel="1">
      <c r="A497" s="17"/>
      <c r="B497" s="43"/>
      <c r="C497" s="43"/>
      <c r="D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6"/>
      <c r="T497" s="6"/>
      <c r="U497" s="6"/>
      <c r="V497" s="6"/>
      <c r="W497" s="6"/>
      <c r="X497" s="6"/>
      <c r="Y497" s="6"/>
    </row>
    <row r="498" spans="1:25" outlineLevel="1">
      <c r="A498" s="17"/>
      <c r="B498" s="43"/>
      <c r="C498" s="43"/>
      <c r="D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6"/>
      <c r="T498" s="6"/>
      <c r="U498" s="6"/>
      <c r="V498" s="6"/>
      <c r="W498" s="6"/>
      <c r="X498" s="6"/>
      <c r="Y498" s="6"/>
    </row>
    <row r="499" spans="1:25" outlineLevel="1">
      <c r="A499" s="17"/>
      <c r="B499" s="43"/>
      <c r="C499" s="43"/>
      <c r="D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6"/>
      <c r="T499" s="6"/>
      <c r="U499" s="6"/>
      <c r="V499" s="6"/>
      <c r="W499" s="6"/>
      <c r="X499" s="6"/>
      <c r="Y499" s="6"/>
    </row>
    <row r="500" spans="1:25" outlineLevel="1">
      <c r="A500" s="6"/>
      <c r="B500" s="43"/>
      <c r="C500" s="43"/>
      <c r="D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spans="1:25" outlineLevel="1">
      <c r="A501" s="6"/>
      <c r="B501" s="45"/>
      <c r="C501" s="45"/>
      <c r="D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outlineLevel="1">
      <c r="A502" s="6"/>
      <c r="B502" s="43"/>
      <c r="C502" s="43"/>
      <c r="D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outlineLevel="1">
      <c r="A503" s="6"/>
      <c r="B503" s="43"/>
      <c r="C503" s="43"/>
      <c r="D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outlineLevel="1">
      <c r="A504" s="6"/>
      <c r="B504" s="43"/>
      <c r="C504" s="43"/>
      <c r="D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outlineLevel="1">
      <c r="A505" s="6"/>
      <c r="B505" s="43"/>
      <c r="C505" s="43"/>
      <c r="D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outlineLevel="1">
      <c r="A506" s="17"/>
      <c r="B506" s="43"/>
      <c r="C506" s="43"/>
      <c r="D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outlineLevel="1">
      <c r="A507" s="6"/>
      <c r="B507" s="43"/>
      <c r="C507" s="43"/>
      <c r="D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outlineLevel="1">
      <c r="A508" s="6"/>
      <c r="B508" s="43"/>
      <c r="C508" s="43"/>
      <c r="D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outlineLevel="1">
      <c r="A509" s="17"/>
      <c r="B509" s="43"/>
      <c r="C509" s="43"/>
      <c r="D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outlineLevel="1">
      <c r="A510" s="17"/>
      <c r="B510" s="43"/>
      <c r="C510" s="43"/>
      <c r="D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outlineLevel="1">
      <c r="A511" s="6"/>
      <c r="B511" s="43"/>
      <c r="C511" s="43"/>
      <c r="D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outlineLevel="1">
      <c r="A512" s="6"/>
      <c r="B512" s="43"/>
      <c r="C512" s="43"/>
      <c r="D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outlineLevel="1">
      <c r="A513" s="6"/>
      <c r="B513" s="43"/>
      <c r="C513" s="43"/>
      <c r="D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outlineLevel="1">
      <c r="A514" s="6"/>
      <c r="B514" s="43"/>
      <c r="C514" s="43"/>
      <c r="D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outlineLevel="1">
      <c r="A515" s="6"/>
      <c r="B515" s="43"/>
      <c r="C515" s="43"/>
      <c r="D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outlineLevel="1">
      <c r="A516" s="6"/>
      <c r="B516" s="43"/>
      <c r="C516" s="43"/>
      <c r="D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spans="1:25" outlineLevel="1">
      <c r="A517" s="6"/>
      <c r="B517" s="43"/>
      <c r="C517" s="43"/>
      <c r="D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</row>
    <row r="518" spans="1:25" outlineLevel="1">
      <c r="A518" s="6"/>
      <c r="B518" s="43"/>
      <c r="C518" s="43"/>
      <c r="D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6"/>
      <c r="T518" s="6"/>
      <c r="U518" s="6"/>
      <c r="V518" s="6"/>
      <c r="W518" s="6"/>
      <c r="X518" s="6"/>
      <c r="Y518" s="6"/>
    </row>
    <row r="519" spans="1:25" outlineLevel="1">
      <c r="A519" s="17"/>
      <c r="B519" s="43"/>
      <c r="C519" s="43"/>
      <c r="D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6"/>
      <c r="T519" s="6"/>
      <c r="U519" s="6"/>
      <c r="V519" s="6"/>
      <c r="W519" s="6"/>
      <c r="X519" s="6"/>
      <c r="Y519" s="6"/>
    </row>
    <row r="520" spans="1:25" outlineLevel="1">
      <c r="A520" s="17"/>
      <c r="B520" s="43"/>
      <c r="C520" s="43"/>
      <c r="D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6"/>
      <c r="T520" s="6"/>
      <c r="U520" s="6"/>
      <c r="V520" s="6"/>
      <c r="W520" s="6"/>
      <c r="X520" s="6"/>
      <c r="Y520" s="6"/>
    </row>
    <row r="521" spans="1:25" outlineLevel="1">
      <c r="A521" s="17"/>
      <c r="B521" s="43"/>
      <c r="C521" s="43"/>
      <c r="D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6"/>
      <c r="T521" s="6"/>
      <c r="U521" s="6"/>
      <c r="V521" s="6"/>
      <c r="W521" s="6"/>
      <c r="X521" s="6"/>
      <c r="Y521" s="6"/>
    </row>
    <row r="522" spans="1:25" outlineLevel="1">
      <c r="A522" s="17"/>
      <c r="B522" s="43"/>
      <c r="C522" s="43"/>
      <c r="D522" s="43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6"/>
      <c r="T522" s="6"/>
      <c r="U522" s="6"/>
      <c r="V522" s="6"/>
      <c r="W522" s="6"/>
      <c r="X522" s="6"/>
      <c r="Y522" s="6"/>
    </row>
    <row r="523" spans="1:25" outlineLevel="1">
      <c r="A523" s="17"/>
      <c r="B523" s="43"/>
      <c r="C523" s="43"/>
      <c r="D523" s="43"/>
      <c r="E523" s="6"/>
      <c r="F523" s="6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6"/>
      <c r="T523" s="6"/>
      <c r="U523" s="6"/>
      <c r="V523" s="6"/>
      <c r="W523" s="6"/>
      <c r="X523" s="6"/>
      <c r="Y523" s="6"/>
    </row>
    <row r="524" spans="1:25" outlineLevel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1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1">
      <c r="A526" s="1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outlineLevel="1">
      <c r="A529" s="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outlineLevel="1">
      <c r="A530" s="6"/>
      <c r="B530" s="6"/>
      <c r="C530" s="6"/>
      <c r="D530" s="6"/>
      <c r="E530" s="6"/>
      <c r="F530" s="6"/>
      <c r="G530" s="3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outlineLevel="1">
      <c r="A531" s="17"/>
      <c r="B531" s="6"/>
      <c r="C531" s="6"/>
      <c r="D531" s="6"/>
      <c r="E531" s="6"/>
      <c r="F531" s="6"/>
      <c r="G531" s="31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6"/>
      <c r="T531" s="6"/>
      <c r="U531" s="6"/>
      <c r="V531" s="6"/>
      <c r="W531" s="6"/>
      <c r="X531" s="6"/>
      <c r="Y531" s="6"/>
    </row>
    <row r="532" spans="1:25" outlineLevel="1">
      <c r="A532" s="6"/>
      <c r="B532" s="6"/>
      <c r="C532" s="6"/>
      <c r="D532" s="6"/>
      <c r="E532" s="6"/>
      <c r="F532" s="6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6"/>
      <c r="T532" s="6"/>
      <c r="U532" s="6"/>
      <c r="V532" s="6"/>
      <c r="W532" s="6"/>
      <c r="X532" s="6"/>
      <c r="Y532" s="6"/>
    </row>
    <row r="533" spans="1:25" outlineLevel="1">
      <c r="A533" s="6"/>
      <c r="B533" s="6"/>
      <c r="C533" s="6"/>
      <c r="D533" s="6"/>
      <c r="E533" s="6"/>
      <c r="F533" s="6"/>
      <c r="G533" s="31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6"/>
      <c r="T533" s="6"/>
      <c r="U533" s="6"/>
      <c r="V533" s="6"/>
      <c r="W533" s="6"/>
      <c r="X533" s="6"/>
      <c r="Y533" s="6"/>
    </row>
    <row r="534" spans="1:25" outlineLevel="1">
      <c r="A534" s="6"/>
      <c r="B534" s="6"/>
      <c r="C534" s="6"/>
      <c r="D534" s="6"/>
      <c r="E534" s="6"/>
      <c r="F534" s="6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6"/>
      <c r="T534" s="6"/>
      <c r="U534" s="6"/>
      <c r="V534" s="6"/>
      <c r="W534" s="6"/>
      <c r="X534" s="6"/>
      <c r="Y534" s="6"/>
    </row>
    <row r="535" spans="1:25" outlineLevel="1">
      <c r="A535" s="6"/>
      <c r="B535" s="6"/>
      <c r="C535" s="6"/>
      <c r="D535" s="6"/>
      <c r="E535" s="6"/>
      <c r="F535" s="6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6"/>
      <c r="T535" s="6"/>
      <c r="U535" s="6"/>
      <c r="V535" s="6"/>
      <c r="W535" s="6"/>
      <c r="X535" s="6"/>
      <c r="Y535" s="6"/>
    </row>
    <row r="536" spans="1:25" outlineLevel="1">
      <c r="A536" s="188"/>
      <c r="B536" s="6"/>
      <c r="C536" s="6"/>
      <c r="D536" s="6"/>
      <c r="E536" s="6"/>
      <c r="F536" s="6"/>
      <c r="G536" s="3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6"/>
      <c r="T536" s="6"/>
      <c r="U536" s="6"/>
      <c r="V536" s="6"/>
      <c r="W536" s="6"/>
      <c r="X536" s="6"/>
      <c r="Y536" s="6"/>
    </row>
    <row r="537" spans="1:25" outlineLevel="1">
      <c r="A537" s="188"/>
      <c r="B537" s="6"/>
      <c r="C537" s="6"/>
      <c r="D537" s="6"/>
      <c r="E537" s="6"/>
      <c r="F537" s="6"/>
      <c r="G537" s="31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6"/>
      <c r="T537" s="6"/>
      <c r="U537" s="6"/>
      <c r="V537" s="6"/>
      <c r="W537" s="6"/>
      <c r="X537" s="6"/>
      <c r="Y537" s="6"/>
    </row>
    <row r="538" spans="1:25" outlineLevel="1">
      <c r="A538" s="17"/>
      <c r="B538" s="6"/>
      <c r="C538" s="6"/>
      <c r="D538" s="6"/>
      <c r="E538" s="6"/>
      <c r="F538" s="6"/>
      <c r="G538" s="3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outlineLevel="1">
      <c r="A539" s="6"/>
      <c r="B539" s="6"/>
      <c r="C539" s="6"/>
      <c r="D539" s="6"/>
      <c r="E539" s="6"/>
      <c r="F539" s="6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6"/>
      <c r="T539" s="6"/>
      <c r="U539" s="6"/>
      <c r="V539" s="6"/>
      <c r="W539" s="6"/>
      <c r="X539" s="6"/>
      <c r="Y539" s="6"/>
    </row>
    <row r="540" spans="1:25" outlineLevel="1">
      <c r="A540" s="6"/>
      <c r="B540" s="6"/>
      <c r="C540" s="6"/>
      <c r="D540" s="6"/>
      <c r="E540" s="6"/>
      <c r="F540" s="6"/>
      <c r="G540" s="3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outlineLevel="1">
      <c r="A541" s="17"/>
      <c r="B541" s="6"/>
      <c r="C541" s="6"/>
      <c r="D541" s="6"/>
      <c r="E541" s="6"/>
      <c r="F541" s="6"/>
      <c r="G541" s="31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6"/>
      <c r="T541" s="6"/>
      <c r="U541" s="6"/>
      <c r="V541" s="6"/>
      <c r="W541" s="6"/>
      <c r="X541" s="6"/>
      <c r="Y541" s="6"/>
    </row>
    <row r="542" spans="1:25" outlineLevel="1">
      <c r="A542" s="6"/>
      <c r="B542" s="14"/>
      <c r="C542" s="14"/>
      <c r="D542" s="6"/>
      <c r="E542" s="6"/>
      <c r="F542" s="6"/>
      <c r="G542" s="3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6"/>
      <c r="T542" s="6"/>
      <c r="U542" s="6"/>
      <c r="V542" s="6"/>
      <c r="W542" s="6"/>
      <c r="X542" s="6"/>
      <c r="Y542" s="6"/>
    </row>
    <row r="543" spans="1:25" outlineLevel="1">
      <c r="A543" s="17"/>
      <c r="B543" s="6"/>
      <c r="C543" s="6"/>
      <c r="D543" s="6"/>
      <c r="E543" s="6"/>
      <c r="F543" s="6"/>
      <c r="G543" s="31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6"/>
      <c r="T543" s="6"/>
      <c r="U543" s="6"/>
      <c r="V543" s="6"/>
      <c r="W543" s="6"/>
      <c r="X543" s="6"/>
      <c r="Y543" s="6"/>
    </row>
    <row r="544" spans="1:25" outlineLevel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outlineLevel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s="67" customFormat="1" outlineLevel="1">
      <c r="A546" s="66"/>
      <c r="B546" s="66"/>
      <c r="C546" s="66"/>
      <c r="D546" s="66"/>
      <c r="E546" s="66"/>
      <c r="F546" s="66"/>
      <c r="G546" s="66"/>
    </row>
    <row r="547" spans="1:25" s="67" customFormat="1" outlineLevel="1">
      <c r="A547" s="66"/>
      <c r="B547" s="66"/>
      <c r="C547" s="66"/>
      <c r="D547" s="66"/>
      <c r="E547" s="66"/>
      <c r="F547" s="68"/>
      <c r="G547" s="69"/>
      <c r="H547" s="66"/>
      <c r="I547" s="70"/>
    </row>
    <row r="548" spans="1:25" s="67" customFormat="1" outlineLevel="1">
      <c r="A548" s="66"/>
      <c r="B548" s="69"/>
      <c r="C548" s="69"/>
      <c r="D548" s="69"/>
      <c r="E548" s="69"/>
      <c r="F548" s="71"/>
      <c r="G548" s="47"/>
      <c r="H548" s="47"/>
      <c r="I548" s="70"/>
    </row>
    <row r="549" spans="1:25" s="67" customFormat="1" outlineLevel="1">
      <c r="A549" s="66"/>
      <c r="B549" s="47"/>
      <c r="C549" s="47"/>
      <c r="D549" s="47"/>
      <c r="E549" s="47"/>
      <c r="F549" s="47"/>
      <c r="G549" s="70"/>
      <c r="H549" s="47"/>
      <c r="I549" s="71"/>
    </row>
    <row r="550" spans="1:25" s="67" customFormat="1" outlineLevel="1">
      <c r="A550" s="72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</row>
    <row r="551" spans="1:25" s="67" customFormat="1" outlineLevel="1">
      <c r="A551" s="40"/>
      <c r="B551" s="66"/>
      <c r="C551" s="66"/>
      <c r="D551" s="66"/>
      <c r="E551" s="66"/>
      <c r="F551" s="66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s="67" customFormat="1" outlineLevel="1">
      <c r="A552" s="39"/>
      <c r="B552" s="66"/>
      <c r="C552" s="66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s="67" customFormat="1" outlineLevel="1">
      <c r="A553" s="39"/>
      <c r="B553" s="74"/>
      <c r="C553" s="74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s="67" customFormat="1" outlineLevel="1">
      <c r="A554" s="39"/>
      <c r="B554" s="155"/>
      <c r="C554" s="155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s="67" customFormat="1" outlineLevel="1">
      <c r="A555" s="38"/>
      <c r="B555" s="72"/>
      <c r="C555" s="72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s="67" customFormat="1" outlineLevel="1">
      <c r="A556" s="27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s="67" customFormat="1" outlineLevel="1">
      <c r="A557" s="40"/>
      <c r="B557" s="66"/>
      <c r="C557" s="66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s="67" customFormat="1" outlineLevel="1">
      <c r="A558" s="76"/>
      <c r="B558" s="77"/>
      <c r="C558" s="77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s="67" customFormat="1" outlineLevel="1">
      <c r="A559" s="76"/>
      <c r="B559" s="77"/>
      <c r="C559" s="77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s="67" customFormat="1" outlineLevel="1">
      <c r="A560" s="76"/>
      <c r="B560" s="77"/>
      <c r="C560" s="77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s="67" customFormat="1" outlineLevel="1">
      <c r="A561" s="76"/>
      <c r="B561" s="77"/>
      <c r="C561" s="77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s="67" customFormat="1" outlineLevel="1">
      <c r="A562" s="76"/>
      <c r="B562" s="77"/>
      <c r="C562" s="77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s="67" customFormat="1" outlineLevel="1">
      <c r="A563" s="42"/>
      <c r="B563" s="77"/>
      <c r="C563" s="77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s="67" customFormat="1" outlineLevel="1">
      <c r="A564" s="76"/>
      <c r="B564" s="77"/>
      <c r="C564" s="77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s="67" customFormat="1" outlineLevel="1">
      <c r="A565" s="76"/>
      <c r="B565" s="77"/>
      <c r="C565" s="77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s="67" customFormat="1" outlineLevel="1">
      <c r="A566" s="76"/>
      <c r="B566" s="77"/>
      <c r="C566" s="77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s="67" customFormat="1" outlineLevel="1">
      <c r="A567" s="76"/>
      <c r="B567" s="77"/>
      <c r="C567" s="77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s="67" customFormat="1" outlineLevel="1">
      <c r="A568" s="76"/>
      <c r="B568" s="77"/>
      <c r="C568" s="77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67" customFormat="1" outlineLevel="1">
      <c r="A569" s="40"/>
      <c r="B569" s="77"/>
      <c r="C569" s="77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s="67" customFormat="1" outlineLevel="1">
      <c r="A570" s="40"/>
      <c r="B570" s="77"/>
      <c r="C570" s="77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s="67" customFormat="1" outlineLevel="1">
      <c r="A571" s="40"/>
      <c r="B571" s="77"/>
      <c r="C571" s="77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s="67" customFormat="1" outlineLevel="1">
      <c r="A572" s="40"/>
      <c r="B572" s="77"/>
      <c r="C572" s="77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s="67" customFormat="1" outlineLevel="1">
      <c r="A573" s="39"/>
      <c r="B573" s="77"/>
      <c r="C573" s="77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s="67" customFormat="1" outlineLevel="1">
      <c r="A574" s="39"/>
      <c r="B574" s="77"/>
      <c r="C574" s="77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s="67" customFormat="1" outlineLevel="1">
      <c r="A575" s="40"/>
      <c r="B575" s="77"/>
      <c r="C575" s="77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</row>
    <row r="576" spans="1:25" s="67" customFormat="1" outlineLevel="1">
      <c r="A576" s="39"/>
      <c r="B576" s="77"/>
      <c r="C576" s="77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</row>
    <row r="577" spans="1:25" s="67" customFormat="1" outlineLevel="1">
      <c r="A577" s="39"/>
      <c r="B577" s="80"/>
      <c r="C577" s="80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s="67" customFormat="1" ht="13.9" customHeight="1" outlineLevel="1">
      <c r="A578" s="38"/>
      <c r="B578" s="80"/>
      <c r="C578" s="80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s="67" customFormat="1" outlineLevel="1">
      <c r="A579" s="39"/>
      <c r="B579" s="74"/>
      <c r="C579" s="74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s="67" customFormat="1" outlineLevel="1">
      <c r="A580" s="38"/>
      <c r="B580" s="74"/>
      <c r="C580" s="74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s="67" customFormat="1" outlineLevel="1">
      <c r="A581" s="39"/>
      <c r="B581" s="74"/>
      <c r="C581" s="74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s="67" customFormat="1" outlineLevel="1">
      <c r="A582" s="39"/>
      <c r="B582" s="74"/>
      <c r="C582" s="74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s="67" customFormat="1" outlineLevel="1">
      <c r="A583" s="39"/>
      <c r="B583" s="74"/>
      <c r="C583" s="74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s="67" customFormat="1" outlineLevel="1">
      <c r="A584" s="39"/>
      <c r="B584" s="74"/>
      <c r="C584" s="74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s="67" customFormat="1" outlineLevel="1">
      <c r="A585" s="40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s="67" customFormat="1" outlineLevel="1">
      <c r="A586" s="40"/>
      <c r="B586" s="66"/>
      <c r="C586" s="66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s="67" customFormat="1" outlineLevel="1">
      <c r="A587" s="39"/>
      <c r="B587" s="66"/>
      <c r="C587" s="66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s="67" customFormat="1" outlineLevel="1">
      <c r="A588" s="39"/>
      <c r="B588" s="66"/>
      <c r="C588" s="66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s="67" customFormat="1" outlineLevel="1">
      <c r="A589" s="39"/>
      <c r="B589" s="66"/>
      <c r="C589" s="66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s="67" customFormat="1" outlineLevel="1">
      <c r="A590" s="39"/>
      <c r="B590" s="66"/>
      <c r="C590" s="66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s="67" customFormat="1" outlineLevel="1">
      <c r="A591" s="39"/>
      <c r="B591" s="66"/>
      <c r="C591" s="66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s="67" customFormat="1" outlineLevel="1">
      <c r="A592" s="39"/>
      <c r="B592" s="66"/>
      <c r="C592" s="66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s="67" customFormat="1" outlineLevel="1">
      <c r="A593" s="39"/>
      <c r="B593" s="82"/>
      <c r="C593" s="8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s="67" customFormat="1" outlineLevel="1">
      <c r="A594" s="39"/>
      <c r="B594" s="82"/>
      <c r="C594" s="82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s="67" customFormat="1" outlineLevel="1">
      <c r="A595" s="38"/>
      <c r="B595" s="80"/>
      <c r="C595" s="80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s="67" customFormat="1" outlineLevel="1">
      <c r="A596" s="40"/>
      <c r="B596" s="66"/>
      <c r="C596" s="66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s="67" customFormat="1" outlineLevel="1">
      <c r="A597" s="40"/>
      <c r="B597" s="66"/>
      <c r="C597" s="66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s="67" customFormat="1" outlineLevel="1">
      <c r="A598" s="40"/>
      <c r="B598" s="66"/>
      <c r="C598" s="66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s="67" customFormat="1" outlineLevel="1">
      <c r="A599" s="40"/>
      <c r="B599" s="80"/>
      <c r="C599" s="80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s="67" customFormat="1" outlineLevel="1">
      <c r="A600" s="40"/>
      <c r="B600" s="80"/>
      <c r="C600" s="80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s="67" customFormat="1" outlineLevel="1">
      <c r="A601" s="40"/>
      <c r="B601" s="80"/>
      <c r="C601" s="80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</row>
    <row r="602" spans="1:25" outlineLevel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outlineLevel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outlineLevel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outlineLevel="1">
      <c r="A605" s="3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outlineLevel="1">
      <c r="A606" s="1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outlineLevel="1">
      <c r="A607" s="83"/>
      <c r="B607" s="6"/>
      <c r="C607" s="6"/>
      <c r="D607" s="6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6"/>
      <c r="R607" s="6"/>
      <c r="S607" s="6"/>
      <c r="T607" s="6"/>
      <c r="U607" s="6"/>
      <c r="V607" s="6"/>
      <c r="W607" s="6"/>
      <c r="X607" s="6"/>
      <c r="Y607" s="6"/>
    </row>
    <row r="608" spans="1:25" outlineLevel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outlineLevel="1">
      <c r="A609" s="3"/>
      <c r="B609" s="3"/>
      <c r="C609" s="3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idden="1" outlineLevel="2">
      <c r="A610" s="1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idden="1" outlineLevel="2">
      <c r="A611" s="44"/>
      <c r="B611" s="6"/>
      <c r="C611" s="6"/>
      <c r="D611" s="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idden="1" outlineLevel="2">
      <c r="A612" s="44"/>
      <c r="B612" s="6"/>
      <c r="C612" s="6"/>
      <c r="D612" s="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idden="1" outlineLevel="2">
      <c r="A613" s="44"/>
      <c r="B613" s="6"/>
      <c r="C613" s="6"/>
      <c r="D613" s="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idden="1" outlineLevel="2">
      <c r="A614" s="44"/>
      <c r="B614" s="6"/>
      <c r="C614" s="6"/>
      <c r="D614" s="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idden="1" outlineLevel="2">
      <c r="A615" s="6"/>
      <c r="B615" s="6"/>
      <c r="C615" s="6"/>
      <c r="D615" s="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idden="1" outlineLevel="2">
      <c r="A616" s="17"/>
      <c r="B616" s="6"/>
      <c r="C616" s="6"/>
      <c r="D616" s="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idden="1" outlineLevel="2">
      <c r="A617" s="44"/>
      <c r="B617" s="6"/>
      <c r="C617" s="6"/>
      <c r="D617" s="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idden="1" outlineLevel="2">
      <c r="A618" s="44"/>
      <c r="B618" s="6"/>
      <c r="C618" s="6"/>
      <c r="D618" s="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idden="1" outlineLevel="2">
      <c r="A619" s="44"/>
      <c r="B619" s="6"/>
      <c r="C619" s="6"/>
      <c r="D619" s="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idden="1" outlineLevel="2">
      <c r="A620" s="44"/>
      <c r="B620" s="6"/>
      <c r="C620" s="6"/>
      <c r="D620" s="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idden="1" outlineLevel="2">
      <c r="A621" s="44"/>
      <c r="B621" s="6"/>
      <c r="C621" s="6"/>
      <c r="D621" s="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idden="1" outlineLevel="2">
      <c r="A622" s="44"/>
      <c r="B622" s="6"/>
      <c r="C622" s="6"/>
      <c r="D622" s="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idden="1" outlineLevel="2">
      <c r="A623" s="44"/>
      <c r="B623" s="6"/>
      <c r="C623" s="6"/>
      <c r="D623" s="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idden="1" outlineLevel="2">
      <c r="A624" s="44"/>
      <c r="B624" s="6"/>
      <c r="C624" s="6"/>
      <c r="D624" s="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idden="1" outlineLevel="2">
      <c r="A625" s="44"/>
      <c r="B625" s="6"/>
      <c r="C625" s="6"/>
      <c r="D625" s="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idden="1" outlineLevel="2">
      <c r="A626" s="44"/>
      <c r="B626" s="6"/>
      <c r="C626" s="6"/>
      <c r="D626" s="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idden="1" outlineLevel="2">
      <c r="A627" s="6"/>
      <c r="B627" s="6"/>
      <c r="C627" s="6"/>
      <c r="D627" s="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idden="1" outlineLevel="2">
      <c r="A628" s="6"/>
      <c r="B628" s="6"/>
      <c r="C628" s="6"/>
      <c r="D628" s="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idden="1" outlineLevel="2">
      <c r="A629" s="6"/>
      <c r="B629" s="6"/>
      <c r="C629" s="6"/>
      <c r="D629" s="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idden="1" outlineLevel="2">
      <c r="A630" s="44"/>
      <c r="B630" s="6"/>
      <c r="C630" s="6"/>
      <c r="D630" s="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idden="1" outlineLevel="2">
      <c r="A631" s="6"/>
      <c r="B631" s="6"/>
      <c r="C631" s="6"/>
      <c r="D631" s="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idden="1" outlineLevel="2">
      <c r="A632" s="6"/>
      <c r="B632" s="6"/>
      <c r="C632" s="6"/>
      <c r="D632" s="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idden="1" outlineLevel="2">
      <c r="A633" s="17"/>
      <c r="B633" s="6"/>
      <c r="C633" s="6"/>
      <c r="D633" s="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idden="1" outlineLevel="2">
      <c r="A634" s="44"/>
      <c r="B634" s="6"/>
      <c r="C634" s="6"/>
      <c r="D634" s="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6"/>
      <c r="R634" s="6"/>
      <c r="S634" s="6"/>
      <c r="T634" s="6"/>
      <c r="U634" s="6"/>
      <c r="V634" s="6"/>
      <c r="W634" s="6"/>
      <c r="X634" s="6"/>
      <c r="Y634" s="6"/>
    </row>
    <row r="635" spans="1:25" outlineLevel="1" collapsed="1">
      <c r="A635" s="17"/>
      <c r="B635" s="6"/>
      <c r="C635" s="6"/>
      <c r="D635" s="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6"/>
      <c r="R635" s="6"/>
      <c r="S635" s="6"/>
      <c r="T635" s="6"/>
      <c r="U635" s="6"/>
      <c r="V635" s="6"/>
      <c r="W635" s="6"/>
      <c r="X635" s="6"/>
      <c r="Y635" s="6"/>
    </row>
    <row r="636" spans="1:25" outlineLevel="1">
      <c r="A636" s="17"/>
      <c r="B636" s="6"/>
      <c r="C636" s="6"/>
      <c r="D636" s="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6"/>
      <c r="R636" s="6"/>
      <c r="S636" s="6"/>
      <c r="T636" s="6"/>
      <c r="U636" s="6"/>
      <c r="V636" s="6"/>
      <c r="W636" s="6"/>
      <c r="X636" s="6"/>
      <c r="Y636" s="6"/>
    </row>
    <row r="637" spans="1:25" outlineLevel="1">
      <c r="A637" s="17"/>
      <c r="B637" s="6"/>
      <c r="C637" s="6"/>
      <c r="D637" s="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6"/>
      <c r="R637" s="6"/>
      <c r="S637" s="6"/>
      <c r="T637" s="6"/>
      <c r="U637" s="6"/>
      <c r="V637" s="6"/>
      <c r="W637" s="6"/>
      <c r="X637" s="6"/>
      <c r="Y637" s="6"/>
    </row>
    <row r="638" spans="1:25" outlineLevel="1">
      <c r="A638" s="6"/>
      <c r="B638" s="6"/>
      <c r="C638" s="6"/>
      <c r="D638" s="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6"/>
      <c r="R638" s="6"/>
      <c r="S638" s="6"/>
      <c r="T638" s="6"/>
      <c r="U638" s="6"/>
      <c r="V638" s="6"/>
      <c r="W638" s="6"/>
      <c r="X638" s="6"/>
      <c r="Y638" s="6"/>
    </row>
    <row r="639" spans="1:25" outlineLevel="1">
      <c r="A639" s="6"/>
      <c r="B639" s="6"/>
      <c r="C639" s="6"/>
      <c r="D639" s="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6"/>
      <c r="R639" s="6"/>
      <c r="S639" s="6"/>
      <c r="T639" s="6"/>
      <c r="U639" s="6"/>
      <c r="V639" s="6"/>
      <c r="W639" s="6"/>
      <c r="X639" s="6"/>
      <c r="Y639" s="6"/>
    </row>
    <row r="640" spans="1:25" outlineLevel="1">
      <c r="A640" s="17"/>
      <c r="B640" s="6"/>
      <c r="C640" s="6"/>
      <c r="D640" s="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6"/>
      <c r="R640" s="6"/>
      <c r="S640" s="6"/>
      <c r="T640" s="6"/>
      <c r="U640" s="6"/>
      <c r="V640" s="6"/>
      <c r="W640" s="6"/>
      <c r="X640" s="6"/>
      <c r="Y640" s="6"/>
    </row>
    <row r="641" spans="1:25" outlineLevel="1">
      <c r="A641" s="17"/>
      <c r="B641" s="6"/>
      <c r="C641" s="6"/>
      <c r="D641" s="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6"/>
      <c r="R641" s="6"/>
      <c r="S641" s="6"/>
      <c r="T641" s="6"/>
      <c r="U641" s="6"/>
      <c r="V641" s="6"/>
      <c r="W641" s="6"/>
      <c r="X641" s="6"/>
      <c r="Y641" s="6"/>
    </row>
    <row r="642" spans="1:25" outlineLevel="1">
      <c r="A642" s="17"/>
      <c r="B642" s="6"/>
      <c r="C642" s="6"/>
      <c r="D642" s="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6"/>
      <c r="R642" s="6"/>
      <c r="S642" s="6"/>
      <c r="T642" s="6"/>
      <c r="U642" s="6"/>
      <c r="V642" s="6"/>
      <c r="W642" s="6"/>
      <c r="X642" s="6"/>
      <c r="Y642" s="6"/>
    </row>
    <row r="643" spans="1:25" outlineLevel="1">
      <c r="A643" s="17"/>
      <c r="B643" s="6"/>
      <c r="C643" s="6"/>
      <c r="D643" s="6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6"/>
      <c r="R643" s="6"/>
      <c r="S643" s="6"/>
      <c r="T643" s="6"/>
      <c r="U643" s="6"/>
      <c r="V643" s="6"/>
      <c r="W643" s="6"/>
      <c r="X643" s="6"/>
      <c r="Y643" s="6"/>
    </row>
    <row r="644" spans="1:25">
      <c r="A644" s="6"/>
      <c r="B644" s="6"/>
      <c r="C644" s="6"/>
      <c r="D644" s="6"/>
      <c r="E644" s="6"/>
      <c r="F644" s="6"/>
      <c r="G644" s="6"/>
      <c r="H644" s="45"/>
      <c r="I644" s="45"/>
      <c r="J644" s="45"/>
      <c r="K644" s="45"/>
      <c r="L644" s="45"/>
      <c r="M644" s="45"/>
      <c r="N644" s="45"/>
      <c r="O644" s="45"/>
      <c r="P644" s="45"/>
      <c r="Q644" s="6"/>
      <c r="R644" s="6"/>
      <c r="S644" s="6"/>
      <c r="T644" s="6"/>
      <c r="U644" s="6"/>
      <c r="V644" s="6"/>
      <c r="W644" s="6"/>
      <c r="X644" s="6"/>
      <c r="Y644" s="6"/>
    </row>
    <row r="645" spans="1:25">
      <c r="A645" s="6"/>
      <c r="B645" s="6"/>
      <c r="C645" s="6"/>
      <c r="D645" s="6"/>
      <c r="E645" s="6"/>
      <c r="F645" s="6"/>
      <c r="G645" s="6"/>
      <c r="H645" s="45"/>
      <c r="I645" s="45"/>
      <c r="J645" s="45"/>
      <c r="K645" s="45"/>
      <c r="L645" s="45"/>
      <c r="M645" s="45"/>
      <c r="N645" s="45"/>
      <c r="O645" s="45"/>
      <c r="P645" s="45"/>
      <c r="Q645" s="6"/>
      <c r="R645" s="6"/>
      <c r="S645" s="6"/>
      <c r="T645" s="6"/>
      <c r="U645" s="6"/>
      <c r="V645" s="6"/>
      <c r="W645" s="6"/>
      <c r="X645" s="6"/>
      <c r="Y645" s="6"/>
    </row>
    <row r="646" spans="1:25">
      <c r="A646" s="6"/>
      <c r="B646" s="6"/>
      <c r="C646" s="6"/>
      <c r="D646" s="6"/>
      <c r="E646" s="6"/>
      <c r="F646" s="6"/>
      <c r="G646" s="6"/>
      <c r="H646" s="45"/>
      <c r="I646" s="45"/>
      <c r="J646" s="45"/>
      <c r="K646" s="45"/>
      <c r="L646" s="45"/>
      <c r="M646" s="45"/>
      <c r="N646" s="45"/>
      <c r="O646" s="45"/>
      <c r="P646" s="45"/>
      <c r="Q646" s="6"/>
      <c r="R646" s="6"/>
      <c r="S646" s="6"/>
      <c r="T646" s="6"/>
      <c r="U646" s="6"/>
      <c r="V646" s="6"/>
      <c r="W646" s="6"/>
      <c r="X646" s="6"/>
      <c r="Y646" s="6"/>
    </row>
    <row r="647" spans="1:25">
      <c r="A647" s="6"/>
      <c r="B647" s="6"/>
      <c r="C647" s="6"/>
      <c r="D647" s="6"/>
      <c r="E647" s="6"/>
      <c r="F647" s="6"/>
      <c r="G647" s="6"/>
      <c r="H647" s="45"/>
      <c r="I647" s="45"/>
      <c r="J647" s="45"/>
      <c r="K647" s="45"/>
      <c r="L647" s="45"/>
      <c r="M647" s="45"/>
      <c r="N647" s="45"/>
      <c r="O647" s="45"/>
      <c r="P647" s="45"/>
      <c r="Q647" s="6"/>
      <c r="R647" s="6"/>
      <c r="S647" s="6"/>
      <c r="T647" s="6"/>
      <c r="U647" s="6"/>
      <c r="V647" s="6"/>
      <c r="W647" s="6"/>
      <c r="X647" s="6"/>
      <c r="Y647" s="6"/>
    </row>
    <row r="648" spans="1:25">
      <c r="A648" s="6"/>
      <c r="B648" s="6"/>
      <c r="C648" s="6"/>
      <c r="D648" s="6"/>
      <c r="E648" s="6"/>
      <c r="F648" s="6"/>
      <c r="G648" s="6"/>
      <c r="H648" s="45"/>
      <c r="I648" s="45"/>
      <c r="J648" s="45"/>
      <c r="K648" s="45"/>
      <c r="L648" s="45"/>
      <c r="M648" s="45"/>
      <c r="N648" s="45"/>
      <c r="O648" s="45"/>
      <c r="P648" s="45"/>
      <c r="Q648" s="6"/>
      <c r="R648" s="6"/>
      <c r="S648" s="6"/>
      <c r="T648" s="6"/>
      <c r="U648" s="6"/>
      <c r="V648" s="6"/>
      <c r="W648" s="6"/>
      <c r="X648" s="6"/>
      <c r="Y648" s="6"/>
    </row>
    <row r="649" spans="1: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</sheetData>
  <pageMargins left="0.5" right="0.5" top="0.75" bottom="0.5" header="0.25" footer="0.25"/>
  <pageSetup scale="45" orientation="landscape" r:id="rId1"/>
  <headerFooter alignWithMargins="0">
    <oddHeader>&amp;L&amp;12NewCo&amp;RCONFIDENTIAL</oddHeader>
    <oddFooter>&amp;L&amp;D&amp;C&amp;F&amp;RPage &amp;P</oddFooter>
  </headerFooter>
  <rowBreaks count="1" manualBreakCount="1">
    <brk id="83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31</vt:i4>
      </vt:variant>
    </vt:vector>
  </HeadingPairs>
  <TitlesOfParts>
    <vt:vector size="50" baseType="lpstr">
      <vt:lpstr>EnronVal</vt:lpstr>
      <vt:lpstr>EnronSumm</vt:lpstr>
      <vt:lpstr>FPLE_Wind Summary</vt:lpstr>
      <vt:lpstr>Cerro Gordo</vt:lpstr>
      <vt:lpstr>Southwest Mesa</vt:lpstr>
      <vt:lpstr>Vansycle</vt:lpstr>
      <vt:lpstr>Cameron</vt:lpstr>
      <vt:lpstr>Pacific Crest</vt:lpstr>
      <vt:lpstr>Sky River</vt:lpstr>
      <vt:lpstr>Ridgetop</vt:lpstr>
      <vt:lpstr>Green Ridge</vt:lpstr>
      <vt:lpstr>Mojave 16-18</vt:lpstr>
      <vt:lpstr>Morwind</vt:lpstr>
      <vt:lpstr>VG</vt:lpstr>
      <vt:lpstr>WPP 92</vt:lpstr>
      <vt:lpstr>WPP 91-2</vt:lpstr>
      <vt:lpstr>WPP 89</vt:lpstr>
      <vt:lpstr>WPP 91</vt:lpstr>
      <vt:lpstr>WPP 90</vt:lpstr>
      <vt:lpstr>Cameron!Print_Area</vt:lpstr>
      <vt:lpstr>'Cerro Gordo'!Print_Area</vt:lpstr>
      <vt:lpstr>'FPLE_Wind Summary'!Print_Area</vt:lpstr>
      <vt:lpstr>'Green Ridge'!Print_Area</vt:lpstr>
      <vt:lpstr>'Mojave 16-18'!Print_Area</vt:lpstr>
      <vt:lpstr>Morwind!Print_Area</vt:lpstr>
      <vt:lpstr>'Pacific Crest'!Print_Area</vt:lpstr>
      <vt:lpstr>Ridgetop!Print_Area</vt:lpstr>
      <vt:lpstr>'Sky River'!Print_Area</vt:lpstr>
      <vt:lpstr>'Southwest Mesa'!Print_Area</vt:lpstr>
      <vt:lpstr>Vansycle!Print_Area</vt:lpstr>
      <vt:lpstr>VG!Print_Area</vt:lpstr>
      <vt:lpstr>'WPP 89'!Print_Area</vt:lpstr>
      <vt:lpstr>'WPP 90'!Print_Area</vt:lpstr>
      <vt:lpstr>'WPP 91'!Print_Area</vt:lpstr>
      <vt:lpstr>'WPP 91-2'!Print_Area</vt:lpstr>
      <vt:lpstr>'WPP 92'!Print_Area</vt:lpstr>
      <vt:lpstr>Cameron!Print_Titles</vt:lpstr>
      <vt:lpstr>'Green Ridge'!Print_Titles</vt:lpstr>
      <vt:lpstr>'Mojave 16-18'!Print_Titles</vt:lpstr>
      <vt:lpstr>Morwind!Print_Titles</vt:lpstr>
      <vt:lpstr>'Pacific Crest'!Print_Titles</vt:lpstr>
      <vt:lpstr>Ridgetop!Print_Titles</vt:lpstr>
      <vt:lpstr>'Sky River'!Print_Titles</vt:lpstr>
      <vt:lpstr>'Southwest Mesa'!Print_Titles</vt:lpstr>
      <vt:lpstr>Vansycle!Print_Titles</vt:lpstr>
      <vt:lpstr>VG!Print_Titles</vt:lpstr>
      <vt:lpstr>'WPP 89'!Print_Titles</vt:lpstr>
      <vt:lpstr>'WPP 90'!Print_Titles</vt:lpstr>
      <vt:lpstr>'WPP 91'!Print_Titles</vt:lpstr>
      <vt:lpstr>'WPP 91-2'!Print_Titles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Jinsung Myung</dc:creator>
  <cp:lastModifiedBy>Jan Havlíček</cp:lastModifiedBy>
  <cp:lastPrinted>2000-07-19T14:10:18Z</cp:lastPrinted>
  <dcterms:created xsi:type="dcterms:W3CDTF">1999-04-02T01:38:38Z</dcterms:created>
  <dcterms:modified xsi:type="dcterms:W3CDTF">2023-09-13T21:27:02Z</dcterms:modified>
</cp:coreProperties>
</file>