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A19457-E473-4721-AB4A-A2BB7B7D8F31}" xr6:coauthVersionLast="47" xr6:coauthVersionMax="47" xr10:uidLastSave="{00000000-0000-0000-0000-000000000000}"/>
  <bookViews>
    <workbookView xWindow="-120" yWindow="-120" windowWidth="38640" windowHeight="15720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Gleason!$A$1:$BX$259</definedName>
    <definedName name="_xlnm.Print_Area" localSheetId="4">Summary!$A$1:$O$118</definedName>
    <definedName name="_xlnm.Print_Area" localSheetId="8">Wheatland!$A$1:$BV$188</definedName>
    <definedName name="_xlnm.Print_Area" localSheetId="5">Wilton!$A$1:$BV$280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Gleason!$C:$I,Gleason!$T:$BL,Gleason!$BQ:$BR,Gleason!$BO:$BO</definedName>
    <definedName name="To_Hide" localSheetId="8">Wheatland!$C:$I,Wheatland!$T:$BJ,Wheatland!$BO:$BP,Wheatland!$BM:$BM</definedName>
    <definedName name="To_Hide" localSheetId="5">Wilton!$C:$I,Wilton!$T:$BJ,Wilton!$BO:$BP,Wilton!$BM:$BM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X2" i="15"/>
  <c r="BT3" i="15"/>
  <c r="BX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N7" i="15"/>
  <c r="BP7" i="15"/>
  <c r="BR7" i="15"/>
  <c r="BF9" i="15"/>
  <c r="BP9" i="15"/>
  <c r="BR9" i="15"/>
  <c r="BT9" i="15"/>
  <c r="BV9" i="15"/>
  <c r="BX9" i="15"/>
  <c r="BP10" i="15"/>
  <c r="BR10" i="15"/>
  <c r="BT10" i="15"/>
  <c r="BV10" i="15"/>
  <c r="BX10" i="15"/>
  <c r="R11" i="15"/>
  <c r="BP11" i="15"/>
  <c r="BT11" i="15"/>
  <c r="BV11" i="15"/>
  <c r="BX11" i="15"/>
  <c r="R12" i="15"/>
  <c r="BP12" i="15"/>
  <c r="BT12" i="15"/>
  <c r="BV12" i="15"/>
  <c r="BX12" i="15"/>
  <c r="R13" i="15"/>
  <c r="BP13" i="15"/>
  <c r="BT13" i="15"/>
  <c r="BV13" i="15"/>
  <c r="BX13" i="15"/>
  <c r="BF14" i="15"/>
  <c r="BP14" i="15"/>
  <c r="BR14" i="15"/>
  <c r="BT14" i="15"/>
  <c r="BV14" i="15"/>
  <c r="BX14" i="15"/>
  <c r="BT15" i="15"/>
  <c r="BX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N16" i="15"/>
  <c r="BP16" i="15"/>
  <c r="BR16" i="15"/>
  <c r="BT16" i="15"/>
  <c r="BV16" i="15"/>
  <c r="BX16" i="15"/>
  <c r="R18" i="15"/>
  <c r="BP18" i="15"/>
  <c r="BT18" i="15"/>
  <c r="BV18" i="15"/>
  <c r="BX18" i="15"/>
  <c r="AV19" i="15"/>
  <c r="AZ19" i="15"/>
  <c r="BP19" i="15"/>
  <c r="BR19" i="15"/>
  <c r="BT19" i="15"/>
  <c r="BV19" i="15"/>
  <c r="BX19" i="15"/>
  <c r="BP20" i="15"/>
  <c r="BT20" i="15"/>
  <c r="BV20" i="15"/>
  <c r="BX20" i="15"/>
  <c r="BP21" i="15"/>
  <c r="BT21" i="15"/>
  <c r="BV21" i="15"/>
  <c r="BX21" i="15"/>
  <c r="BP22" i="15"/>
  <c r="BT22" i="15"/>
  <c r="BV22" i="15"/>
  <c r="BX22" i="15"/>
  <c r="BP23" i="15"/>
  <c r="BT23" i="15"/>
  <c r="BV23" i="15"/>
  <c r="BX23" i="15"/>
  <c r="BP24" i="15"/>
  <c r="BT24" i="15"/>
  <c r="BV24" i="15"/>
  <c r="BX24" i="15"/>
  <c r="R25" i="15"/>
  <c r="BP25" i="15"/>
  <c r="BT25" i="15"/>
  <c r="BV25" i="15"/>
  <c r="BX25" i="15"/>
  <c r="R26" i="15"/>
  <c r="BP26" i="15"/>
  <c r="BT26" i="15"/>
  <c r="BV26" i="15"/>
  <c r="BX26" i="15"/>
  <c r="R27" i="15"/>
  <c r="BP27" i="15"/>
  <c r="BT27" i="15"/>
  <c r="BV27" i="15"/>
  <c r="BX27" i="15"/>
  <c r="R28" i="15"/>
  <c r="BP28" i="15"/>
  <c r="BT28" i="15"/>
  <c r="BV28" i="15"/>
  <c r="BX28" i="15"/>
  <c r="R29" i="15"/>
  <c r="BP29" i="15"/>
  <c r="BT29" i="15"/>
  <c r="BV29" i="15"/>
  <c r="BX29" i="15"/>
  <c r="R30" i="15"/>
  <c r="BP30" i="15"/>
  <c r="BT30" i="15"/>
  <c r="BV30" i="15"/>
  <c r="BX30" i="15"/>
  <c r="R31" i="15"/>
  <c r="BP31" i="15"/>
  <c r="BT31" i="15"/>
  <c r="BV31" i="15"/>
  <c r="BX31" i="15"/>
  <c r="R32" i="15"/>
  <c r="BP32" i="15"/>
  <c r="BT32" i="15"/>
  <c r="BV32" i="15"/>
  <c r="BX32" i="15"/>
  <c r="BP33" i="15"/>
  <c r="BT33" i="15"/>
  <c r="BV33" i="15"/>
  <c r="BX33" i="15"/>
  <c r="BT34" i="15"/>
  <c r="BV34" i="15"/>
  <c r="BX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N35" i="15"/>
  <c r="BP35" i="15"/>
  <c r="BR35" i="15"/>
  <c r="BT35" i="15"/>
  <c r="BV35" i="15"/>
  <c r="BX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N37" i="15"/>
  <c r="BP37" i="15"/>
  <c r="BR37" i="15"/>
  <c r="BT37" i="15"/>
  <c r="BV37" i="15"/>
  <c r="BX37" i="15"/>
  <c r="AV43" i="15"/>
  <c r="AZ43" i="15"/>
  <c r="BH43" i="15"/>
  <c r="BP43" i="15"/>
  <c r="BR43" i="15"/>
  <c r="BT43" i="15"/>
  <c r="BV43" i="15"/>
  <c r="BX43" i="15"/>
  <c r="AR44" i="15"/>
  <c r="AV44" i="15"/>
  <c r="AZ44" i="15"/>
  <c r="BH44" i="15"/>
  <c r="BP44" i="15"/>
  <c r="BR44" i="15"/>
  <c r="BT44" i="15"/>
  <c r="BV44" i="15"/>
  <c r="BX44" i="15"/>
  <c r="AR45" i="15"/>
  <c r="AV45" i="15"/>
  <c r="AZ45" i="15"/>
  <c r="BH45" i="15"/>
  <c r="BP45" i="15"/>
  <c r="BR45" i="15"/>
  <c r="BT45" i="15"/>
  <c r="BV45" i="15"/>
  <c r="BX45" i="15"/>
  <c r="AV46" i="15"/>
  <c r="AZ46" i="15"/>
  <c r="BH46" i="15"/>
  <c r="BP46" i="15"/>
  <c r="BR46" i="15"/>
  <c r="BT46" i="15"/>
  <c r="BV46" i="15"/>
  <c r="BX46" i="15"/>
  <c r="AV47" i="15"/>
  <c r="AZ47" i="15"/>
  <c r="BH47" i="15"/>
  <c r="BP47" i="15"/>
  <c r="BT47" i="15"/>
  <c r="BV47" i="15"/>
  <c r="BX47" i="15"/>
  <c r="BP48" i="15"/>
  <c r="BT48" i="15"/>
  <c r="BV48" i="15"/>
  <c r="BX48" i="15"/>
  <c r="BP49" i="15"/>
  <c r="BT49" i="15"/>
  <c r="BV49" i="15"/>
  <c r="BX49" i="15"/>
  <c r="BP50" i="15"/>
  <c r="BT50" i="15"/>
  <c r="BV50" i="15"/>
  <c r="BX50" i="15"/>
  <c r="AZ51" i="15"/>
  <c r="BH51" i="15"/>
  <c r="BP51" i="15"/>
  <c r="BT51" i="15"/>
  <c r="BV51" i="15"/>
  <c r="BX51" i="15"/>
  <c r="AZ52" i="15"/>
  <c r="BP52" i="15"/>
  <c r="BT52" i="15"/>
  <c r="BV52" i="15"/>
  <c r="BX52" i="15"/>
  <c r="BP53" i="15"/>
  <c r="BT53" i="15"/>
  <c r="BV53" i="15"/>
  <c r="BX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X54" i="15"/>
  <c r="AZ57" i="15"/>
  <c r="BH57" i="15"/>
  <c r="BP57" i="15"/>
  <c r="BT57" i="15"/>
  <c r="BV57" i="15"/>
  <c r="BX57" i="15"/>
  <c r="AZ58" i="15"/>
  <c r="BH58" i="15"/>
  <c r="BP58" i="15"/>
  <c r="BR58" i="15"/>
  <c r="BT58" i="15"/>
  <c r="BV58" i="15"/>
  <c r="BX58" i="15"/>
  <c r="BH59" i="15"/>
  <c r="BP59" i="15"/>
  <c r="BT59" i="15"/>
  <c r="BV59" i="15"/>
  <c r="BX59" i="15"/>
  <c r="BH60" i="15"/>
  <c r="BP60" i="15"/>
  <c r="BR60" i="15"/>
  <c r="BT60" i="15"/>
  <c r="BV60" i="15"/>
  <c r="BX60" i="15"/>
  <c r="BH61" i="15"/>
  <c r="BP61" i="15"/>
  <c r="BT61" i="15"/>
  <c r="BV61" i="15"/>
  <c r="BX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X63" i="15"/>
  <c r="R66" i="15"/>
  <c r="AV66" i="15"/>
  <c r="AZ66" i="15"/>
  <c r="BH66" i="15"/>
  <c r="BP66" i="15"/>
  <c r="BT66" i="15"/>
  <c r="BV66" i="15"/>
  <c r="BX66" i="15"/>
  <c r="AV67" i="15"/>
  <c r="AZ67" i="15"/>
  <c r="BH67" i="15"/>
  <c r="BP67" i="15"/>
  <c r="BR67" i="15"/>
  <c r="BT67" i="15"/>
  <c r="BV67" i="15"/>
  <c r="BX67" i="15"/>
  <c r="AZ68" i="15"/>
  <c r="BH68" i="15"/>
  <c r="BP68" i="15"/>
  <c r="BT68" i="15"/>
  <c r="BV68" i="15"/>
  <c r="BX68" i="15"/>
  <c r="BH69" i="15"/>
  <c r="BP69" i="15"/>
  <c r="BR69" i="15"/>
  <c r="BT69" i="15"/>
  <c r="BV69" i="15"/>
  <c r="BX69" i="15"/>
  <c r="AZ70" i="15"/>
  <c r="BH70" i="15"/>
  <c r="BP70" i="15"/>
  <c r="BT70" i="15"/>
  <c r="BV70" i="15"/>
  <c r="BX70" i="15"/>
  <c r="AV71" i="15"/>
  <c r="AZ71" i="15"/>
  <c r="BH71" i="15"/>
  <c r="BP71" i="15"/>
  <c r="BR71" i="15"/>
  <c r="BT71" i="15"/>
  <c r="BV71" i="15"/>
  <c r="BX71" i="15"/>
  <c r="AZ72" i="15"/>
  <c r="BH72" i="15"/>
  <c r="BP72" i="15"/>
  <c r="BT72" i="15"/>
  <c r="BV72" i="15"/>
  <c r="BX72" i="15"/>
  <c r="BH73" i="15"/>
  <c r="BP73" i="15"/>
  <c r="BR73" i="15"/>
  <c r="BT73" i="15"/>
  <c r="BV73" i="15"/>
  <c r="BX73" i="15"/>
  <c r="AZ74" i="15"/>
  <c r="BH74" i="15"/>
  <c r="BP74" i="15"/>
  <c r="BT74" i="15"/>
  <c r="BV74" i="15"/>
  <c r="BX74" i="15"/>
  <c r="AZ75" i="15"/>
  <c r="BH75" i="15"/>
  <c r="BP75" i="15"/>
  <c r="BR75" i="15"/>
  <c r="BT75" i="15"/>
  <c r="BV75" i="15"/>
  <c r="BX75" i="15"/>
  <c r="BP76" i="15"/>
  <c r="BT76" i="15"/>
  <c r="BV76" i="15"/>
  <c r="BX76" i="15"/>
  <c r="BH77" i="15"/>
  <c r="BP77" i="15"/>
  <c r="BR77" i="15"/>
  <c r="BT77" i="15"/>
  <c r="BV77" i="15"/>
  <c r="BX77" i="15"/>
  <c r="AZ78" i="15"/>
  <c r="BH78" i="15"/>
  <c r="BP78" i="15"/>
  <c r="BT78" i="15"/>
  <c r="BV78" i="15"/>
  <c r="BX78" i="15"/>
  <c r="AZ79" i="15"/>
  <c r="BH79" i="15"/>
  <c r="BP79" i="15"/>
  <c r="BR79" i="15"/>
  <c r="BT79" i="15"/>
  <c r="BV79" i="15"/>
  <c r="BX79" i="15"/>
  <c r="BH80" i="15"/>
  <c r="BP80" i="15"/>
  <c r="BR80" i="15"/>
  <c r="BT80" i="15"/>
  <c r="BV80" i="15"/>
  <c r="BX80" i="15"/>
  <c r="BP81" i="15"/>
  <c r="BR81" i="15"/>
  <c r="BT81" i="15"/>
  <c r="BV81" i="15"/>
  <c r="BX81" i="15"/>
  <c r="R82" i="15"/>
  <c r="BH82" i="15"/>
  <c r="BP82" i="15"/>
  <c r="BT82" i="15"/>
  <c r="BV82" i="15"/>
  <c r="BX82" i="15"/>
  <c r="AZ83" i="15"/>
  <c r="BH83" i="15"/>
  <c r="BP83" i="15"/>
  <c r="BR83" i="15"/>
  <c r="BT83" i="15"/>
  <c r="BV83" i="15"/>
  <c r="BX83" i="15"/>
  <c r="BH84" i="15"/>
  <c r="BP84" i="15"/>
  <c r="BR84" i="15"/>
  <c r="BT84" i="15"/>
  <c r="BV84" i="15"/>
  <c r="BX84" i="15"/>
  <c r="BT85" i="15"/>
  <c r="BV85" i="15"/>
  <c r="BX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BR86" i="15"/>
  <c r="BS86" i="15"/>
  <c r="BT86" i="15"/>
  <c r="BU86" i="15"/>
  <c r="BV86" i="15"/>
  <c r="BW86" i="15"/>
  <c r="BX86" i="15"/>
  <c r="AZ89" i="15"/>
  <c r="BH89" i="15"/>
  <c r="BP89" i="15"/>
  <c r="BR89" i="15"/>
  <c r="BT89" i="15"/>
  <c r="BV89" i="15"/>
  <c r="BX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BR91" i="15"/>
  <c r="BS91" i="15"/>
  <c r="BT91" i="15"/>
  <c r="BU91" i="15"/>
  <c r="BV91" i="15"/>
  <c r="BX91" i="15"/>
  <c r="BP93" i="15"/>
  <c r="BX93" i="15"/>
  <c r="AR95" i="15"/>
  <c r="AV95" i="15"/>
  <c r="BF95" i="15"/>
  <c r="BH95" i="15"/>
  <c r="BP95" i="15"/>
  <c r="BR95" i="15"/>
  <c r="BV95" i="15"/>
  <c r="BX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BR97" i="15"/>
  <c r="BS97" i="15"/>
  <c r="BT97" i="15"/>
  <c r="BU97" i="15"/>
  <c r="BV97" i="15"/>
  <c r="BW97" i="15"/>
  <c r="BX97" i="15"/>
  <c r="BY97" i="15"/>
  <c r="BH98" i="15"/>
  <c r="BP98" i="15"/>
  <c r="BV98" i="15"/>
  <c r="BP100" i="15"/>
  <c r="BT100" i="15"/>
  <c r="BV100" i="15"/>
  <c r="BX100" i="15"/>
  <c r="BP101" i="15"/>
  <c r="BT101" i="15"/>
  <c r="BV101" i="15"/>
  <c r="BX101" i="15"/>
  <c r="BP102" i="15"/>
  <c r="BT102" i="15"/>
  <c r="BV102" i="15"/>
  <c r="BX102" i="15"/>
  <c r="R103" i="15"/>
  <c r="BP103" i="15"/>
  <c r="BT103" i="15"/>
  <c r="BV103" i="15"/>
  <c r="BX103" i="15"/>
  <c r="R104" i="15"/>
  <c r="BP104" i="15"/>
  <c r="BT104" i="15"/>
  <c r="BV104" i="15"/>
  <c r="BX104" i="15"/>
  <c r="R105" i="15"/>
  <c r="BP105" i="15"/>
  <c r="BV105" i="15"/>
  <c r="BX105" i="15"/>
  <c r="BT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BR107" i="15"/>
  <c r="BT107" i="15"/>
  <c r="BV107" i="15"/>
  <c r="BX107" i="15"/>
  <c r="R110" i="15"/>
  <c r="BP110" i="15"/>
  <c r="BT110" i="15"/>
  <c r="BV110" i="15"/>
  <c r="BX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N112" i="15"/>
  <c r="BP112" i="15"/>
  <c r="BR112" i="15"/>
  <c r="BT112" i="15"/>
  <c r="BV112" i="15"/>
  <c r="BX112" i="15"/>
  <c r="R116" i="15"/>
  <c r="BP116" i="15"/>
  <c r="BT116" i="15"/>
  <c r="BV116" i="15"/>
  <c r="BX116" i="15"/>
  <c r="R117" i="15"/>
  <c r="BP117" i="15"/>
  <c r="BT117" i="15"/>
  <c r="BV117" i="15"/>
  <c r="BX117" i="15"/>
  <c r="R118" i="15"/>
  <c r="BP118" i="15"/>
  <c r="BT118" i="15"/>
  <c r="BV118" i="15"/>
  <c r="BX118" i="15"/>
  <c r="R119" i="15"/>
  <c r="BP119" i="15"/>
  <c r="BT119" i="15"/>
  <c r="BV119" i="15"/>
  <c r="BX119" i="15"/>
  <c r="R120" i="15"/>
  <c r="BP120" i="15"/>
  <c r="BT120" i="15"/>
  <c r="BV120" i="15"/>
  <c r="BX120" i="15"/>
  <c r="R121" i="15"/>
  <c r="BP121" i="15"/>
  <c r="BT121" i="15"/>
  <c r="BV121" i="15"/>
  <c r="BX121" i="15"/>
  <c r="R122" i="15"/>
  <c r="BP122" i="15"/>
  <c r="BT122" i="15"/>
  <c r="BV122" i="15"/>
  <c r="BX122" i="15"/>
  <c r="R123" i="15"/>
  <c r="BP123" i="15"/>
  <c r="BT123" i="15"/>
  <c r="BV123" i="15"/>
  <c r="BX123" i="15"/>
  <c r="R124" i="15"/>
  <c r="BP124" i="15"/>
  <c r="BT124" i="15"/>
  <c r="BV124" i="15"/>
  <c r="BX124" i="15"/>
  <c r="R125" i="15"/>
  <c r="BP125" i="15"/>
  <c r="BT125" i="15"/>
  <c r="BV125" i="15"/>
  <c r="BX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N127" i="15"/>
  <c r="BP127" i="15"/>
  <c r="BR127" i="15"/>
  <c r="BT127" i="15"/>
  <c r="BV127" i="15"/>
  <c r="BX127" i="15"/>
  <c r="BP131" i="15"/>
  <c r="BT131" i="15"/>
  <c r="BV131" i="15"/>
  <c r="BX131" i="15"/>
  <c r="AZ132" i="15"/>
  <c r="BP132" i="15"/>
  <c r="BT132" i="15"/>
  <c r="BV132" i="15"/>
  <c r="BX132" i="15"/>
  <c r="BP133" i="15"/>
  <c r="BT133" i="15"/>
  <c r="BV133" i="15"/>
  <c r="BX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N134" i="15"/>
  <c r="BP134" i="15"/>
  <c r="BR134" i="15"/>
  <c r="BT134" i="15"/>
  <c r="BV134" i="15"/>
  <c r="BX134" i="15"/>
  <c r="BD136" i="15"/>
  <c r="BP136" i="15"/>
  <c r="BT136" i="15"/>
  <c r="BV136" i="15"/>
  <c r="BX136" i="15"/>
  <c r="BP138" i="15"/>
  <c r="BT138" i="15"/>
  <c r="BV138" i="15"/>
  <c r="BX138" i="15"/>
  <c r="BP140" i="15"/>
  <c r="BT140" i="15"/>
  <c r="BV140" i="15"/>
  <c r="BX140" i="15"/>
  <c r="BL142" i="15"/>
  <c r="BP142" i="15"/>
  <c r="BT142" i="15"/>
  <c r="BV142" i="15"/>
  <c r="BX142" i="15"/>
  <c r="BP145" i="15"/>
  <c r="BT145" i="15"/>
  <c r="BV145" i="15"/>
  <c r="BX145" i="15"/>
  <c r="BP146" i="15"/>
  <c r="BT146" i="15"/>
  <c r="BV146" i="15"/>
  <c r="BX146" i="15"/>
  <c r="BP147" i="15"/>
  <c r="BT147" i="15"/>
  <c r="BV147" i="15"/>
  <c r="BX147" i="15"/>
  <c r="BT148" i="15"/>
  <c r="BV148" i="15"/>
  <c r="BX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N149" i="15"/>
  <c r="BP149" i="15"/>
  <c r="BR149" i="15"/>
  <c r="BT149" i="15"/>
  <c r="BV149" i="15"/>
  <c r="BX149" i="15"/>
  <c r="BP152" i="15"/>
  <c r="BT152" i="15"/>
  <c r="BV152" i="15"/>
  <c r="BX152" i="15"/>
  <c r="BP153" i="15"/>
  <c r="BT153" i="15"/>
  <c r="BV153" i="15"/>
  <c r="BX153" i="15"/>
  <c r="BP154" i="15"/>
  <c r="BT154" i="15"/>
  <c r="BV154" i="15"/>
  <c r="BX154" i="15"/>
  <c r="BP155" i="15"/>
  <c r="BT155" i="15"/>
  <c r="BV155" i="15"/>
  <c r="BX155" i="15"/>
  <c r="BP156" i="15"/>
  <c r="BT156" i="15"/>
  <c r="BV156" i="15"/>
  <c r="BX156" i="15"/>
  <c r="AN157" i="15"/>
  <c r="AZ157" i="15"/>
  <c r="BD157" i="15"/>
  <c r="BL157" i="15"/>
  <c r="BP157" i="15"/>
  <c r="BT157" i="15"/>
  <c r="BV157" i="15"/>
  <c r="BX157" i="15"/>
  <c r="BT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N159" i="15"/>
  <c r="BP159" i="15"/>
  <c r="BR159" i="15"/>
  <c r="BT159" i="15"/>
  <c r="BV159" i="15"/>
  <c r="BX159" i="15"/>
  <c r="Q162" i="15"/>
  <c r="BP162" i="15"/>
  <c r="BV162" i="15"/>
  <c r="BX162" i="15"/>
  <c r="O163" i="15"/>
  <c r="Q163" i="15"/>
  <c r="BP163" i="15"/>
  <c r="BT163" i="15"/>
  <c r="BV163" i="15"/>
  <c r="BX163" i="15"/>
  <c r="M164" i="15"/>
  <c r="O164" i="15"/>
  <c r="Q164" i="15"/>
  <c r="BB164" i="15"/>
  <c r="BP164" i="15"/>
  <c r="BT164" i="15"/>
  <c r="BV164" i="15"/>
  <c r="BX164" i="15"/>
  <c r="BB165" i="15"/>
  <c r="BP165" i="15"/>
  <c r="BT165" i="15"/>
  <c r="BV165" i="15"/>
  <c r="BX165" i="15"/>
  <c r="BP166" i="15"/>
  <c r="BT166" i="15"/>
  <c r="BV166" i="15"/>
  <c r="BX166" i="15"/>
  <c r="BB167" i="15"/>
  <c r="BP167" i="15"/>
  <c r="BT167" i="15"/>
  <c r="BV167" i="15"/>
  <c r="BX167" i="15"/>
  <c r="BB168" i="15"/>
  <c r="BP168" i="15"/>
  <c r="BT168" i="15"/>
  <c r="BV168" i="15"/>
  <c r="BX168" i="15"/>
  <c r="BB169" i="15"/>
  <c r="BP169" i="15"/>
  <c r="BT169" i="15"/>
  <c r="BV169" i="15"/>
  <c r="BX169" i="15"/>
  <c r="BB170" i="15"/>
  <c r="BP170" i="15"/>
  <c r="BT170" i="15"/>
  <c r="BV170" i="15"/>
  <c r="BX170" i="15"/>
  <c r="BB171" i="15"/>
  <c r="BP171" i="15"/>
  <c r="BT171" i="15"/>
  <c r="BV171" i="15"/>
  <c r="BX171" i="15"/>
  <c r="BB172" i="15"/>
  <c r="BP172" i="15"/>
  <c r="BT172" i="15"/>
  <c r="BV172" i="15"/>
  <c r="BX172" i="15"/>
  <c r="BB173" i="15"/>
  <c r="BP173" i="15"/>
  <c r="BT173" i="15"/>
  <c r="BV173" i="15"/>
  <c r="BX173" i="15"/>
  <c r="BB174" i="15"/>
  <c r="BP174" i="15"/>
  <c r="BT174" i="15"/>
  <c r="BV174" i="15"/>
  <c r="BX174" i="15"/>
  <c r="BB175" i="15"/>
  <c r="BP175" i="15"/>
  <c r="BT175" i="15"/>
  <c r="BV175" i="15"/>
  <c r="BX175" i="15"/>
  <c r="BB176" i="15"/>
  <c r="BP176" i="15"/>
  <c r="BT176" i="15"/>
  <c r="BV176" i="15"/>
  <c r="BX176" i="15"/>
  <c r="BB177" i="15"/>
  <c r="BP177" i="15"/>
  <c r="BT177" i="15"/>
  <c r="BV177" i="15"/>
  <c r="BX177" i="15"/>
  <c r="BB178" i="15"/>
  <c r="BP178" i="15"/>
  <c r="BT178" i="15"/>
  <c r="BV178" i="15"/>
  <c r="BX178" i="15"/>
  <c r="BB179" i="15"/>
  <c r="BP179" i="15"/>
  <c r="BT179" i="15"/>
  <c r="BV179" i="15"/>
  <c r="BX179" i="15"/>
  <c r="BL180" i="15"/>
  <c r="BP180" i="15"/>
  <c r="BV180" i="15"/>
  <c r="BX180" i="15"/>
  <c r="R181" i="15"/>
  <c r="BP181" i="15"/>
  <c r="BT181" i="15"/>
  <c r="BV181" i="15"/>
  <c r="BX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N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L184" i="15"/>
  <c r="BP184" i="15"/>
  <c r="BT184" i="15"/>
  <c r="BV184" i="15"/>
  <c r="BX184" i="15"/>
  <c r="R187" i="15"/>
  <c r="BP187" i="15"/>
  <c r="BT187" i="15"/>
  <c r="BV187" i="15"/>
  <c r="BX187" i="15"/>
  <c r="BP188" i="15"/>
  <c r="BT188" i="15"/>
  <c r="BV188" i="15"/>
  <c r="BX188" i="15"/>
  <c r="BP189" i="15"/>
  <c r="BT189" i="15"/>
  <c r="BV189" i="15"/>
  <c r="BX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N190" i="15"/>
  <c r="BP190" i="15"/>
  <c r="BR190" i="15"/>
  <c r="BT190" i="15"/>
  <c r="BV190" i="15"/>
  <c r="BX190" i="15"/>
  <c r="BP192" i="15"/>
  <c r="BT192" i="15"/>
  <c r="BV192" i="15"/>
  <c r="BX192" i="15"/>
  <c r="AL194" i="15"/>
  <c r="BP194" i="15"/>
  <c r="BT194" i="15"/>
  <c r="BV194" i="15"/>
  <c r="BX194" i="15"/>
  <c r="AJ197" i="15"/>
  <c r="BP197" i="15"/>
  <c r="BT197" i="15"/>
  <c r="BV197" i="15"/>
  <c r="BX197" i="15"/>
  <c r="AT198" i="15"/>
  <c r="AV198" i="15"/>
  <c r="BP198" i="15"/>
  <c r="BT198" i="15"/>
  <c r="BV198" i="15"/>
  <c r="BX198" i="15"/>
  <c r="R199" i="15"/>
  <c r="BP199" i="15"/>
  <c r="BT199" i="15"/>
  <c r="BV199" i="15"/>
  <c r="BX199" i="15"/>
  <c r="P200" i="15"/>
  <c r="R200" i="15"/>
  <c r="AR200" i="15"/>
  <c r="AT200" i="15"/>
  <c r="AV200" i="15"/>
  <c r="BF200" i="15"/>
  <c r="BH200" i="15"/>
  <c r="BJ200" i="15"/>
  <c r="BL200" i="15"/>
  <c r="BP200" i="15"/>
  <c r="BT200" i="15"/>
  <c r="BV200" i="15"/>
  <c r="BX200" i="15"/>
  <c r="AT201" i="15"/>
  <c r="BP201" i="15"/>
  <c r="BT201" i="15"/>
  <c r="BV201" i="15"/>
  <c r="BX201" i="15"/>
  <c r="BP202" i="15"/>
  <c r="BV202" i="15"/>
  <c r="BX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N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P206" i="15"/>
  <c r="BF206" i="15"/>
  <c r="BP206" i="15"/>
  <c r="BT206" i="15"/>
  <c r="BV206" i="15"/>
  <c r="BX206" i="15"/>
  <c r="P207" i="15"/>
  <c r="AT207" i="15"/>
  <c r="BP207" i="15"/>
  <c r="BT207" i="15"/>
  <c r="BV207" i="15"/>
  <c r="BX207" i="15"/>
  <c r="BP208" i="15"/>
  <c r="BT208" i="15"/>
  <c r="BV208" i="15"/>
  <c r="BX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N209" i="15"/>
  <c r="BP209" i="15"/>
  <c r="BR209" i="15"/>
  <c r="BT209" i="15"/>
  <c r="BV209" i="15"/>
  <c r="BX209" i="15"/>
  <c r="P211" i="15"/>
  <c r="AN211" i="15"/>
  <c r="AP211" i="15"/>
  <c r="AR211" i="15"/>
  <c r="AT211" i="15"/>
  <c r="AV211" i="15"/>
  <c r="AX211" i="15"/>
  <c r="AZ211" i="15"/>
  <c r="BF211" i="15"/>
  <c r="BP211" i="15"/>
  <c r="BV211" i="15"/>
  <c r="BX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N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P215" i="15"/>
  <c r="R215" i="15"/>
  <c r="BP215" i="15"/>
  <c r="BT215" i="15"/>
  <c r="BV215" i="15"/>
  <c r="BX215" i="15"/>
  <c r="BP217" i="15"/>
  <c r="BV217" i="15"/>
  <c r="BX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N219" i="15"/>
  <c r="BO219" i="15"/>
  <c r="BP219" i="15"/>
  <c r="BQ219" i="15"/>
  <c r="BR219" i="15"/>
  <c r="BS219" i="15"/>
  <c r="BT219" i="15"/>
  <c r="BU219" i="15"/>
  <c r="BV219" i="15"/>
  <c r="BW219" i="15"/>
  <c r="BX219" i="15"/>
  <c r="BP222" i="15"/>
  <c r="BP223" i="15"/>
  <c r="BP224" i="15"/>
  <c r="BP226" i="15"/>
  <c r="BP229" i="15"/>
  <c r="BL234" i="15"/>
  <c r="BP234" i="15"/>
  <c r="BB235" i="15"/>
  <c r="BP235" i="15"/>
  <c r="BT235" i="15"/>
  <c r="BV235" i="15"/>
  <c r="BX235" i="15"/>
  <c r="BP236" i="15"/>
  <c r="BT236" i="15"/>
  <c r="BV236" i="15"/>
  <c r="BX236" i="15"/>
  <c r="BB237" i="15"/>
  <c r="BP237" i="15"/>
  <c r="BT237" i="15"/>
  <c r="BV237" i="15"/>
  <c r="BX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N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N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P246" i="15"/>
  <c r="BP247" i="15"/>
  <c r="BP248" i="15"/>
  <c r="BP249" i="15"/>
  <c r="BP253" i="15"/>
  <c r="BP255" i="15"/>
  <c r="BP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V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V2" i="13"/>
  <c r="BR3" i="13"/>
  <c r="BV3" i="13"/>
  <c r="BX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AD9" i="13"/>
  <c r="AV9" i="13"/>
  <c r="BD9" i="13"/>
  <c r="BN9" i="13"/>
  <c r="BP9" i="13"/>
  <c r="BR9" i="13"/>
  <c r="BT9" i="13"/>
  <c r="BV9" i="13"/>
  <c r="BN10" i="13"/>
  <c r="BP10" i="13"/>
  <c r="BR10" i="13"/>
  <c r="BT10" i="13"/>
  <c r="BV10" i="13"/>
  <c r="BV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R14" i="13"/>
  <c r="BN14" i="13"/>
  <c r="BR14" i="13"/>
  <c r="BT14" i="13"/>
  <c r="BV14" i="13"/>
  <c r="AX15" i="13"/>
  <c r="BN15" i="13"/>
  <c r="BP15" i="13"/>
  <c r="BR15" i="13"/>
  <c r="BT15" i="13"/>
  <c r="BV15" i="13"/>
  <c r="BN16" i="13"/>
  <c r="BR16" i="13"/>
  <c r="BT16" i="13"/>
  <c r="BV16" i="13"/>
  <c r="BN17" i="13"/>
  <c r="BR17" i="13"/>
  <c r="BT17" i="13"/>
  <c r="BV17" i="13"/>
  <c r="BN18" i="13"/>
  <c r="BR18" i="13"/>
  <c r="BT18" i="13"/>
  <c r="BV18" i="13"/>
  <c r="BN19" i="13"/>
  <c r="BR19" i="13"/>
  <c r="BT19" i="13"/>
  <c r="BV19" i="13"/>
  <c r="BN20" i="13"/>
  <c r="BR20" i="13"/>
  <c r="BT20" i="13"/>
  <c r="BV20" i="13"/>
  <c r="BN21" i="13"/>
  <c r="BR21" i="13"/>
  <c r="BT21" i="13"/>
  <c r="BV21" i="13"/>
  <c r="R22" i="13"/>
  <c r="BN22" i="13"/>
  <c r="BR22" i="13"/>
  <c r="BT22" i="13"/>
  <c r="BV22" i="13"/>
  <c r="R23" i="13"/>
  <c r="BN23" i="13"/>
  <c r="BR23" i="13"/>
  <c r="BT23" i="13"/>
  <c r="BV23" i="13"/>
  <c r="R24" i="13"/>
  <c r="BN24" i="13"/>
  <c r="BR24" i="13"/>
  <c r="BT24" i="13"/>
  <c r="BV24" i="13"/>
  <c r="R25" i="13"/>
  <c r="BN25" i="13"/>
  <c r="BR25" i="13"/>
  <c r="BT25" i="13"/>
  <c r="BV25" i="13"/>
  <c r="R26" i="13"/>
  <c r="BN26" i="13"/>
  <c r="BR26" i="13"/>
  <c r="BT26" i="13"/>
  <c r="BV26" i="13"/>
  <c r="R27" i="13"/>
  <c r="BN27" i="13"/>
  <c r="BR27" i="13"/>
  <c r="BT27" i="13"/>
  <c r="BV27" i="13"/>
  <c r="R28" i="13"/>
  <c r="BN28" i="13"/>
  <c r="BR28" i="13"/>
  <c r="BT28" i="13"/>
  <c r="BV28" i="13"/>
  <c r="R29" i="13"/>
  <c r="BN29" i="13"/>
  <c r="BR29" i="13"/>
  <c r="BT29" i="13"/>
  <c r="BV29" i="13"/>
  <c r="BN30" i="13"/>
  <c r="BR30" i="13"/>
  <c r="BT30" i="13"/>
  <c r="BV30" i="13"/>
  <c r="BR31" i="13"/>
  <c r="BT31" i="13"/>
  <c r="BV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AT40" i="13"/>
  <c r="AX40" i="13"/>
  <c r="BN40" i="13"/>
  <c r="BP40" i="13"/>
  <c r="BR40" i="13"/>
  <c r="BT40" i="13"/>
  <c r="BV40" i="13"/>
  <c r="AP41" i="13"/>
  <c r="AT41" i="13"/>
  <c r="AX41" i="13"/>
  <c r="BN41" i="13"/>
  <c r="BP41" i="13"/>
  <c r="BR41" i="13"/>
  <c r="BT41" i="13"/>
  <c r="BV41" i="13"/>
  <c r="AP42" i="13"/>
  <c r="AT42" i="13"/>
  <c r="AX42" i="13"/>
  <c r="BN42" i="13"/>
  <c r="BP42" i="13"/>
  <c r="BR42" i="13"/>
  <c r="BT42" i="13"/>
  <c r="BV42" i="13"/>
  <c r="AT43" i="13"/>
  <c r="AX43" i="13"/>
  <c r="BN43" i="13"/>
  <c r="BP43" i="13"/>
  <c r="BR43" i="13"/>
  <c r="BT43" i="13"/>
  <c r="BV43" i="13"/>
  <c r="AT44" i="13"/>
  <c r="AX44" i="13"/>
  <c r="BN44" i="13"/>
  <c r="BR44" i="13"/>
  <c r="BT44" i="13"/>
  <c r="BV44" i="13"/>
  <c r="BN45" i="13"/>
  <c r="BR45" i="13"/>
  <c r="BT45" i="13"/>
  <c r="BV45" i="13"/>
  <c r="BN46" i="13"/>
  <c r="BR46" i="13"/>
  <c r="BT46" i="13"/>
  <c r="BV46" i="13"/>
  <c r="BN47" i="13"/>
  <c r="BR47" i="13"/>
  <c r="BT47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BS48" i="13"/>
  <c r="BT48" i="13"/>
  <c r="BU48" i="13"/>
  <c r="BV48" i="13"/>
  <c r="BN50" i="13"/>
  <c r="BN51" i="13"/>
  <c r="BR51" i="13"/>
  <c r="BT51" i="13"/>
  <c r="BV51" i="13"/>
  <c r="AT52" i="13"/>
  <c r="AX52" i="13"/>
  <c r="BN52" i="13"/>
  <c r="BP52" i="13"/>
  <c r="BR52" i="13"/>
  <c r="BT52" i="13"/>
  <c r="BV52" i="13"/>
  <c r="BN53" i="13"/>
  <c r="BP53" i="13"/>
  <c r="BR53" i="13"/>
  <c r="BT53" i="13"/>
  <c r="BV53" i="13"/>
  <c r="AX54" i="13"/>
  <c r="BN54" i="13"/>
  <c r="BP54" i="13"/>
  <c r="BR54" i="13"/>
  <c r="BT54" i="13"/>
  <c r="BV54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BS55" i="13"/>
  <c r="BT55" i="13"/>
  <c r="BU55" i="13"/>
  <c r="BV55" i="13"/>
  <c r="R58" i="13"/>
  <c r="AX58" i="13"/>
  <c r="BN58" i="13"/>
  <c r="BP58" i="13"/>
  <c r="BR58" i="13"/>
  <c r="BT58" i="13"/>
  <c r="BV58" i="13"/>
  <c r="AX59" i="13"/>
  <c r="BN59" i="13"/>
  <c r="BO59" i="13"/>
  <c r="BQ59" i="13"/>
  <c r="BR59" i="13"/>
  <c r="BS59" i="13"/>
  <c r="BT59" i="13"/>
  <c r="BU59" i="13"/>
  <c r="BV59" i="13"/>
  <c r="AT60" i="13"/>
  <c r="AX60" i="13"/>
  <c r="BN60" i="13"/>
  <c r="BO60" i="13"/>
  <c r="BP60" i="13"/>
  <c r="BQ60" i="13"/>
  <c r="BR60" i="13"/>
  <c r="BS60" i="13"/>
  <c r="BT60" i="13"/>
  <c r="BU60" i="13"/>
  <c r="BV60" i="13"/>
  <c r="AT61" i="13"/>
  <c r="AX61" i="13"/>
  <c r="BN61" i="13"/>
  <c r="BR61" i="13"/>
  <c r="BT61" i="13"/>
  <c r="BV61" i="13"/>
  <c r="AT62" i="13"/>
  <c r="AX62" i="13"/>
  <c r="BN62" i="13"/>
  <c r="BP62" i="13"/>
  <c r="BR62" i="13"/>
  <c r="BT62" i="13"/>
  <c r="BV62" i="13"/>
  <c r="AT63" i="13"/>
  <c r="AX63" i="13"/>
  <c r="BN63" i="13"/>
  <c r="BR63" i="13"/>
  <c r="BT63" i="13"/>
  <c r="BV63" i="13"/>
  <c r="AT64" i="13"/>
  <c r="AX64" i="13"/>
  <c r="BN64" i="13"/>
  <c r="BP64" i="13"/>
  <c r="BR64" i="13"/>
  <c r="BT64" i="13"/>
  <c r="BV64" i="13"/>
  <c r="AX65" i="13"/>
  <c r="BN65" i="13"/>
  <c r="BR65" i="13"/>
  <c r="BT65" i="13"/>
  <c r="BV65" i="13"/>
  <c r="AX66" i="13"/>
  <c r="BN66" i="13"/>
  <c r="BO66" i="13"/>
  <c r="BP66" i="13"/>
  <c r="BQ66" i="13"/>
  <c r="BR66" i="13"/>
  <c r="BS66" i="13"/>
  <c r="BT66" i="13"/>
  <c r="BU66" i="13"/>
  <c r="BV66" i="13"/>
  <c r="BW66" i="13"/>
  <c r="BX66" i="13"/>
  <c r="BY66" i="13"/>
  <c r="AX67" i="13"/>
  <c r="BN67" i="13"/>
  <c r="BR67" i="13"/>
  <c r="BT67" i="13"/>
  <c r="BV67" i="13"/>
  <c r="AX68" i="13"/>
  <c r="BN68" i="13"/>
  <c r="BP68" i="13"/>
  <c r="BR68" i="13"/>
  <c r="BT68" i="13"/>
  <c r="BV68" i="13"/>
  <c r="BN69" i="13"/>
  <c r="BR69" i="13"/>
  <c r="BT69" i="13"/>
  <c r="BV69" i="13"/>
  <c r="AX70" i="13"/>
  <c r="BN70" i="13"/>
  <c r="BR70" i="13"/>
  <c r="BT70" i="13"/>
  <c r="BV70" i="13"/>
  <c r="BN71" i="13"/>
  <c r="BR71" i="13"/>
  <c r="BT71" i="13"/>
  <c r="BV71" i="13"/>
  <c r="AX72" i="13"/>
  <c r="BN72" i="13"/>
  <c r="BP72" i="13"/>
  <c r="BR72" i="13"/>
  <c r="BT72" i="13"/>
  <c r="BV72" i="13"/>
  <c r="AX73" i="13"/>
  <c r="BN73" i="13"/>
  <c r="BP73" i="13"/>
  <c r="BR73" i="13"/>
  <c r="BT73" i="13"/>
  <c r="BV73" i="13"/>
  <c r="AX74" i="13"/>
  <c r="BN74" i="13"/>
  <c r="BP74" i="13"/>
  <c r="BR74" i="13"/>
  <c r="BT74" i="13"/>
  <c r="BV74" i="13"/>
  <c r="R75" i="13"/>
  <c r="BN75" i="13"/>
  <c r="BR75" i="13"/>
  <c r="BT75" i="13"/>
  <c r="BV75" i="13"/>
  <c r="AP76" i="13"/>
  <c r="AT76" i="13"/>
  <c r="AX76" i="13"/>
  <c r="BN76" i="13"/>
  <c r="BP76" i="13"/>
  <c r="BR76" i="13"/>
  <c r="BT76" i="13"/>
  <c r="BV76" i="13"/>
  <c r="AX77" i="13"/>
  <c r="BN77" i="13"/>
  <c r="BP77" i="13"/>
  <c r="BR77" i="13"/>
  <c r="BT77" i="13"/>
  <c r="BV77" i="13"/>
  <c r="AX78" i="13"/>
  <c r="BN78" i="13"/>
  <c r="BR78" i="13"/>
  <c r="BT78" i="13"/>
  <c r="BV78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BV80" i="13"/>
  <c r="BW80" i="13"/>
  <c r="AX83" i="13"/>
  <c r="BN83" i="13"/>
  <c r="BP83" i="13"/>
  <c r="BR83" i="13"/>
  <c r="BT83" i="13"/>
  <c r="BV83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BS85" i="13"/>
  <c r="BT85" i="13"/>
  <c r="BU85" i="13"/>
  <c r="BV85" i="13"/>
  <c r="AT87" i="13"/>
  <c r="BN87" i="13"/>
  <c r="BV87" i="13"/>
  <c r="AP89" i="13"/>
  <c r="AT89" i="13"/>
  <c r="AZ89" i="13"/>
  <c r="BD89" i="13"/>
  <c r="BN89" i="13"/>
  <c r="BP89" i="13"/>
  <c r="BR89" i="13"/>
  <c r="BT89" i="13"/>
  <c r="BV89" i="13"/>
  <c r="N91" i="13"/>
  <c r="P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BS91" i="13"/>
  <c r="BT91" i="13"/>
  <c r="BU91" i="13"/>
  <c r="BV91" i="13"/>
  <c r="BW91" i="13"/>
  <c r="AH95" i="13"/>
  <c r="BN95" i="13"/>
  <c r="BR95" i="13"/>
  <c r="BT95" i="13"/>
  <c r="BV95" i="13"/>
  <c r="AH96" i="13"/>
  <c r="BN96" i="13"/>
  <c r="BR96" i="13"/>
  <c r="BT96" i="13"/>
  <c r="BV96" i="13"/>
  <c r="BN97" i="13"/>
  <c r="BR97" i="13"/>
  <c r="BT97" i="13"/>
  <c r="BV97" i="13"/>
  <c r="R98" i="13"/>
  <c r="BN98" i="13"/>
  <c r="BR98" i="13"/>
  <c r="BT98" i="13"/>
  <c r="BV98" i="13"/>
  <c r="R99" i="13"/>
  <c r="BN99" i="13"/>
  <c r="BR99" i="13"/>
  <c r="BT99" i="13"/>
  <c r="BV99" i="13"/>
  <c r="R100" i="13"/>
  <c r="BN100" i="13"/>
  <c r="BR100" i="13"/>
  <c r="BT100" i="13"/>
  <c r="BV100" i="13"/>
  <c r="BR101" i="13"/>
  <c r="BV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N105" i="13"/>
  <c r="BR105" i="13"/>
  <c r="BT105" i="13"/>
  <c r="BV105" i="13"/>
  <c r="BV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N112" i="13"/>
  <c r="BR112" i="13"/>
  <c r="BT112" i="13"/>
  <c r="BV112" i="13"/>
  <c r="AX113" i="13"/>
  <c r="BN113" i="13"/>
  <c r="BR113" i="13"/>
  <c r="BT113" i="13"/>
  <c r="BV113" i="13"/>
  <c r="BN114" i="13"/>
  <c r="BR114" i="13"/>
  <c r="BT114" i="13"/>
  <c r="BV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N117" i="13"/>
  <c r="BR117" i="13"/>
  <c r="BT117" i="13"/>
  <c r="BV117" i="13"/>
  <c r="BN119" i="13"/>
  <c r="BR119" i="13"/>
  <c r="BT119" i="13"/>
  <c r="BV119" i="13"/>
  <c r="BN121" i="13"/>
  <c r="BR121" i="13"/>
  <c r="BT121" i="13"/>
  <c r="BV121" i="13"/>
  <c r="BJ123" i="13"/>
  <c r="BN123" i="13"/>
  <c r="BR123" i="13"/>
  <c r="BT123" i="13"/>
  <c r="BV123" i="13"/>
  <c r="BN126" i="13"/>
  <c r="BR126" i="13"/>
  <c r="BT126" i="13"/>
  <c r="BV126" i="13"/>
  <c r="BN127" i="13"/>
  <c r="BR127" i="13"/>
  <c r="BT127" i="13"/>
  <c r="BV127" i="13"/>
  <c r="R128" i="13"/>
  <c r="AL128" i="13"/>
  <c r="AN128" i="13"/>
  <c r="AV128" i="13"/>
  <c r="BN128" i="13"/>
  <c r="BP128" i="13"/>
  <c r="BR128" i="13"/>
  <c r="BT128" i="13"/>
  <c r="BV128" i="13"/>
  <c r="BR129" i="13"/>
  <c r="BT129" i="13"/>
  <c r="BV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N133" i="13"/>
  <c r="BR133" i="13"/>
  <c r="BT133" i="13"/>
  <c r="BV133" i="13"/>
  <c r="BN134" i="13"/>
  <c r="BR134" i="13"/>
  <c r="BT134" i="13"/>
  <c r="BV134" i="13"/>
  <c r="Z135" i="13"/>
  <c r="AB135" i="13"/>
  <c r="AR135" i="13"/>
  <c r="BH135" i="13"/>
  <c r="BN135" i="13"/>
  <c r="BR135" i="13"/>
  <c r="BT135" i="13"/>
  <c r="BV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H139" i="13"/>
  <c r="BJ139" i="13"/>
  <c r="BN139" i="13"/>
  <c r="BT139" i="13"/>
  <c r="BV139" i="13"/>
  <c r="BN141" i="13"/>
  <c r="BR141" i="13"/>
  <c r="BT141" i="13"/>
  <c r="BV141" i="13"/>
  <c r="R144" i="13"/>
  <c r="BN144" i="13"/>
  <c r="BR144" i="13"/>
  <c r="BT144" i="13"/>
  <c r="BV144" i="13"/>
  <c r="BN145" i="13"/>
  <c r="BR145" i="13"/>
  <c r="BT145" i="13"/>
  <c r="BV145" i="13"/>
  <c r="BN146" i="13"/>
  <c r="BR146" i="13"/>
  <c r="BT146" i="13"/>
  <c r="BV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N149" i="13"/>
  <c r="BR149" i="13"/>
  <c r="BT149" i="13"/>
  <c r="BV149" i="13"/>
  <c r="AB151" i="13"/>
  <c r="AD151" i="13"/>
  <c r="BN151" i="13"/>
  <c r="BR151" i="13"/>
  <c r="BT151" i="13"/>
  <c r="BV151" i="13"/>
  <c r="BN154" i="13"/>
  <c r="BR154" i="13"/>
  <c r="BT154" i="13"/>
  <c r="BV154" i="13"/>
  <c r="Z155" i="13"/>
  <c r="AD155" i="13"/>
  <c r="BN155" i="13"/>
  <c r="BR155" i="13"/>
  <c r="BT155" i="13"/>
  <c r="BV155" i="13"/>
  <c r="BN156" i="13"/>
  <c r="BR156" i="13"/>
  <c r="BT156" i="13"/>
  <c r="BV156" i="13"/>
  <c r="P157" i="13"/>
  <c r="AD157" i="13"/>
  <c r="AP157" i="13"/>
  <c r="AR157" i="13"/>
  <c r="AZ157" i="13"/>
  <c r="BB157" i="13"/>
  <c r="BD157" i="13"/>
  <c r="BH157" i="13"/>
  <c r="BJ157" i="13"/>
  <c r="BN157" i="13"/>
  <c r="BR157" i="13"/>
  <c r="BT157" i="13"/>
  <c r="BV157" i="13"/>
  <c r="AR158" i="13"/>
  <c r="BN158" i="13"/>
  <c r="BR158" i="13"/>
  <c r="BT158" i="13"/>
  <c r="BV158" i="13"/>
  <c r="AH159" i="13"/>
  <c r="BN159" i="13"/>
  <c r="BR159" i="13"/>
  <c r="BT159" i="13"/>
  <c r="BV159" i="13"/>
  <c r="N160" i="13"/>
  <c r="P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BS160" i="13"/>
  <c r="BT160" i="13"/>
  <c r="BU160" i="13"/>
  <c r="BV160" i="13"/>
  <c r="P163" i="13"/>
  <c r="BN163" i="13"/>
  <c r="BR163" i="13"/>
  <c r="BT163" i="13"/>
  <c r="BV163" i="13"/>
  <c r="AR164" i="13"/>
  <c r="BN164" i="13"/>
  <c r="BR164" i="13"/>
  <c r="BT164" i="13"/>
  <c r="BV164" i="13"/>
  <c r="AR165" i="13"/>
  <c r="BD165" i="13"/>
  <c r="BJ165" i="13"/>
  <c r="BN165" i="13"/>
  <c r="BR165" i="13"/>
  <c r="BT165" i="13"/>
  <c r="BV165" i="13"/>
  <c r="BN166" i="13"/>
  <c r="BR166" i="13"/>
  <c r="BT166" i="13"/>
  <c r="BV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N169" i="13"/>
  <c r="BT169" i="13"/>
  <c r="BV169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BS171" i="13"/>
  <c r="BT171" i="13"/>
  <c r="BU171" i="13"/>
  <c r="BV171" i="13"/>
  <c r="BW171" i="13"/>
  <c r="P173" i="13"/>
  <c r="R173" i="13"/>
  <c r="BR173" i="13"/>
  <c r="BT173" i="13"/>
  <c r="BV173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BS176" i="13"/>
  <c r="BT176" i="13"/>
  <c r="BU176" i="13"/>
  <c r="BV176" i="13"/>
  <c r="BT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N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N180" i="13"/>
  <c r="BN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N183" i="13"/>
  <c r="BD184" i="13"/>
  <c r="BD186" i="13"/>
  <c r="BN186" i="13"/>
  <c r="BD187" i="13"/>
  <c r="A1" i="12"/>
  <c r="A2" i="12"/>
  <c r="BV2" i="12"/>
  <c r="BR3" i="12"/>
  <c r="BV3" i="12"/>
  <c r="BX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P7" i="12"/>
  <c r="BN9" i="12"/>
  <c r="BP9" i="12"/>
  <c r="BR9" i="12"/>
  <c r="BT9" i="12"/>
  <c r="BV9" i="12"/>
  <c r="BN10" i="12"/>
  <c r="BR10" i="12"/>
  <c r="BT10" i="12"/>
  <c r="BV10" i="12"/>
  <c r="BR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BP12" i="12"/>
  <c r="BR12" i="12"/>
  <c r="BT12" i="12"/>
  <c r="BV12" i="12"/>
  <c r="R14" i="12"/>
  <c r="BN14" i="12"/>
  <c r="BR14" i="12"/>
  <c r="BT14" i="12"/>
  <c r="BV14" i="12"/>
  <c r="AH15" i="12"/>
  <c r="BN15" i="12"/>
  <c r="BP15" i="12"/>
  <c r="BR15" i="12"/>
  <c r="BT15" i="12"/>
  <c r="BV15" i="12"/>
  <c r="BR16" i="12"/>
  <c r="BT16" i="12"/>
  <c r="BV16" i="12"/>
  <c r="BR17" i="12"/>
  <c r="BT17" i="12"/>
  <c r="BV17" i="12"/>
  <c r="BR18" i="12"/>
  <c r="BT18" i="12"/>
  <c r="BV18" i="12"/>
  <c r="BR19" i="12"/>
  <c r="BT19" i="12"/>
  <c r="BV19" i="12"/>
  <c r="BR20" i="12"/>
  <c r="BT20" i="12"/>
  <c r="BV20" i="12"/>
  <c r="R21" i="12"/>
  <c r="BN21" i="12"/>
  <c r="BR21" i="12"/>
  <c r="BT21" i="12"/>
  <c r="BV21" i="12"/>
  <c r="R22" i="12"/>
  <c r="BN22" i="12"/>
  <c r="BR22" i="12"/>
  <c r="BT22" i="12"/>
  <c r="BV22" i="12"/>
  <c r="R23" i="12"/>
  <c r="BN23" i="12"/>
  <c r="BR23" i="12"/>
  <c r="BT23" i="12"/>
  <c r="BV23" i="12"/>
  <c r="R24" i="12"/>
  <c r="BN24" i="12"/>
  <c r="BR24" i="12"/>
  <c r="BT24" i="12"/>
  <c r="BV24" i="12"/>
  <c r="R25" i="12"/>
  <c r="BN25" i="12"/>
  <c r="BR25" i="12"/>
  <c r="BT25" i="12"/>
  <c r="BV25" i="12"/>
  <c r="R26" i="12"/>
  <c r="BN26" i="12"/>
  <c r="BR26" i="12"/>
  <c r="BT26" i="12"/>
  <c r="BV26" i="12"/>
  <c r="R27" i="12"/>
  <c r="BN27" i="12"/>
  <c r="BR27" i="12"/>
  <c r="BT27" i="12"/>
  <c r="BV27" i="12"/>
  <c r="R28" i="12"/>
  <c r="BN28" i="12"/>
  <c r="BR28" i="12"/>
  <c r="BT28" i="12"/>
  <c r="BV28" i="12"/>
  <c r="BN29" i="12"/>
  <c r="BR29" i="12"/>
  <c r="BT29" i="12"/>
  <c r="BV29" i="12"/>
  <c r="BR30" i="12"/>
  <c r="BT30" i="12"/>
  <c r="BV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L31" i="12"/>
  <c r="BN31" i="12"/>
  <c r="BP31" i="12"/>
  <c r="BR31" i="12"/>
  <c r="BT31" i="12"/>
  <c r="BV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L33" i="12"/>
  <c r="BN33" i="12"/>
  <c r="BP33" i="12"/>
  <c r="BR33" i="12"/>
  <c r="BT33" i="12"/>
  <c r="BV33" i="12"/>
  <c r="AR39" i="12"/>
  <c r="AT39" i="12"/>
  <c r="AX39" i="12"/>
  <c r="BD39" i="12"/>
  <c r="BF39" i="12"/>
  <c r="BJ39" i="12"/>
  <c r="BN39" i="12"/>
  <c r="BP39" i="12"/>
  <c r="BR39" i="12"/>
  <c r="BT39" i="12"/>
  <c r="BV39" i="12"/>
  <c r="AP40" i="12"/>
  <c r="AR40" i="12"/>
  <c r="AT40" i="12"/>
  <c r="AX40" i="12"/>
  <c r="BD40" i="12"/>
  <c r="BF40" i="12"/>
  <c r="BJ40" i="12"/>
  <c r="BN40" i="12"/>
  <c r="BP40" i="12"/>
  <c r="BR40" i="12"/>
  <c r="BT40" i="12"/>
  <c r="BV40" i="12"/>
  <c r="AP41" i="12"/>
  <c r="AR41" i="12"/>
  <c r="AT41" i="12"/>
  <c r="AX41" i="12"/>
  <c r="BD41" i="12"/>
  <c r="BF41" i="12"/>
  <c r="BJ41" i="12"/>
  <c r="BN41" i="12"/>
  <c r="BP41" i="12"/>
  <c r="BR41" i="12"/>
  <c r="BT41" i="12"/>
  <c r="BV41" i="12"/>
  <c r="R42" i="12"/>
  <c r="AP42" i="12"/>
  <c r="AR42" i="12"/>
  <c r="AT42" i="12"/>
  <c r="AX42" i="12"/>
  <c r="BD42" i="12"/>
  <c r="BF42" i="12"/>
  <c r="BJ42" i="12"/>
  <c r="BN42" i="12"/>
  <c r="BP42" i="12"/>
  <c r="BR42" i="12"/>
  <c r="BT42" i="12"/>
  <c r="BV42" i="12"/>
  <c r="AR43" i="12"/>
  <c r="AT43" i="12"/>
  <c r="AX43" i="12"/>
  <c r="BD43" i="12"/>
  <c r="BJ43" i="12"/>
  <c r="BN43" i="12"/>
  <c r="BP43" i="12"/>
  <c r="BR43" i="12"/>
  <c r="BT43" i="12"/>
  <c r="BV43" i="12"/>
  <c r="BN44" i="12"/>
  <c r="BP44" i="12"/>
  <c r="BR44" i="12"/>
  <c r="BT44" i="12"/>
  <c r="BV44" i="12"/>
  <c r="BN45" i="12"/>
  <c r="BP45" i="12"/>
  <c r="BR45" i="12"/>
  <c r="BT45" i="12"/>
  <c r="BV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L46" i="12"/>
  <c r="BN46" i="12"/>
  <c r="BP46" i="12"/>
  <c r="BR46" i="12"/>
  <c r="BS46" i="12"/>
  <c r="BT46" i="12"/>
  <c r="BU46" i="12"/>
  <c r="BV46" i="12"/>
  <c r="AT49" i="12"/>
  <c r="AX49" i="12"/>
  <c r="BD49" i="12"/>
  <c r="BF49" i="12"/>
  <c r="BJ49" i="12"/>
  <c r="BN49" i="12"/>
  <c r="BP49" i="12"/>
  <c r="BR49" i="12"/>
  <c r="BT49" i="12"/>
  <c r="BV49" i="12"/>
  <c r="AR50" i="12"/>
  <c r="AT50" i="12"/>
  <c r="AX50" i="12"/>
  <c r="BD50" i="12"/>
  <c r="BF50" i="12"/>
  <c r="BJ50" i="12"/>
  <c r="BN50" i="12"/>
  <c r="BP50" i="12"/>
  <c r="BR50" i="12"/>
  <c r="BT50" i="12"/>
  <c r="BV50" i="12"/>
  <c r="AT51" i="12"/>
  <c r="AX51" i="12"/>
  <c r="BD51" i="12"/>
  <c r="BF51" i="12"/>
  <c r="BJ51" i="12"/>
  <c r="BN51" i="12"/>
  <c r="BP51" i="12"/>
  <c r="BR51" i="12"/>
  <c r="BT51" i="12"/>
  <c r="BV51" i="12"/>
  <c r="AX52" i="12"/>
  <c r="BD52" i="12"/>
  <c r="BF52" i="12"/>
  <c r="BJ52" i="12"/>
  <c r="BN52" i="12"/>
  <c r="BP52" i="12"/>
  <c r="BR52" i="12"/>
  <c r="BT52" i="12"/>
  <c r="BV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L53" i="12"/>
  <c r="BN53" i="12"/>
  <c r="BP53" i="12"/>
  <c r="BR53" i="12"/>
  <c r="BS53" i="12"/>
  <c r="BT53" i="12"/>
  <c r="BU53" i="12"/>
  <c r="BV53" i="12"/>
  <c r="R56" i="12"/>
  <c r="AT56" i="12"/>
  <c r="BD56" i="12"/>
  <c r="BF56" i="12"/>
  <c r="BJ56" i="12"/>
  <c r="BN56" i="12"/>
  <c r="BP56" i="12"/>
  <c r="BR56" i="12"/>
  <c r="BT56" i="12"/>
  <c r="BV56" i="12"/>
  <c r="BF57" i="12"/>
  <c r="BN57" i="12"/>
  <c r="BR57" i="12"/>
  <c r="BT57" i="12"/>
  <c r="BV57" i="12"/>
  <c r="AT58" i="12"/>
  <c r="AX58" i="12"/>
  <c r="BD58" i="12"/>
  <c r="BF58" i="12"/>
  <c r="BN58" i="12"/>
  <c r="BP58" i="12"/>
  <c r="BR58" i="12"/>
  <c r="BT58" i="12"/>
  <c r="BV58" i="12"/>
  <c r="AX59" i="12"/>
  <c r="BD59" i="12"/>
  <c r="BF59" i="12"/>
  <c r="BN59" i="12"/>
  <c r="BP59" i="12"/>
  <c r="BR59" i="12"/>
  <c r="BT59" i="12"/>
  <c r="BV59" i="12"/>
  <c r="AT60" i="12"/>
  <c r="AX60" i="12"/>
  <c r="BD60" i="12"/>
  <c r="BF60" i="12"/>
  <c r="BN60" i="12"/>
  <c r="BP60" i="12"/>
  <c r="BR60" i="12"/>
  <c r="BT60" i="12"/>
  <c r="BV60" i="12"/>
  <c r="AT61" i="12"/>
  <c r="AX61" i="12"/>
  <c r="BD61" i="12"/>
  <c r="BJ61" i="12"/>
  <c r="BN61" i="12"/>
  <c r="BP61" i="12"/>
  <c r="BR61" i="12"/>
  <c r="BT61" i="12"/>
  <c r="BV61" i="12"/>
  <c r="AX62" i="12"/>
  <c r="BD62" i="12"/>
  <c r="BF62" i="12"/>
  <c r="BJ62" i="12"/>
  <c r="BN62" i="12"/>
  <c r="BP62" i="12"/>
  <c r="BR62" i="12"/>
  <c r="BT62" i="12"/>
  <c r="BV62" i="12"/>
  <c r="AT63" i="12"/>
  <c r="AX63" i="12"/>
  <c r="BD63" i="12"/>
  <c r="BF63" i="12"/>
  <c r="BJ63" i="12"/>
  <c r="BN63" i="12"/>
  <c r="BP63" i="12"/>
  <c r="BR63" i="12"/>
  <c r="BT63" i="12"/>
  <c r="BV63" i="12"/>
  <c r="AX64" i="12"/>
  <c r="BD64" i="12"/>
  <c r="BF64" i="12"/>
  <c r="BN64" i="12"/>
  <c r="BP64" i="12"/>
  <c r="BR64" i="12"/>
  <c r="BT64" i="12"/>
  <c r="BV64" i="12"/>
  <c r="AT65" i="12"/>
  <c r="AX65" i="12"/>
  <c r="BD65" i="12"/>
  <c r="BF65" i="12"/>
  <c r="BJ65" i="12"/>
  <c r="BN65" i="12"/>
  <c r="BP65" i="12"/>
  <c r="BR65" i="12"/>
  <c r="BT65" i="12"/>
  <c r="BV65" i="12"/>
  <c r="AX66" i="12"/>
  <c r="BD66" i="12"/>
  <c r="BF66" i="12"/>
  <c r="BN66" i="12"/>
  <c r="BP66" i="12"/>
  <c r="BR66" i="12"/>
  <c r="BT66" i="12"/>
  <c r="BV66" i="12"/>
  <c r="AX67" i="12"/>
  <c r="BD67" i="12"/>
  <c r="BN67" i="12"/>
  <c r="BP67" i="12"/>
  <c r="BR67" i="12"/>
  <c r="BT67" i="12"/>
  <c r="BV67" i="12"/>
  <c r="BD68" i="12"/>
  <c r="BF68" i="12"/>
  <c r="BN68" i="12"/>
  <c r="BP68" i="12"/>
  <c r="BR68" i="12"/>
  <c r="BT68" i="12"/>
  <c r="BV68" i="12"/>
  <c r="AX69" i="12"/>
  <c r="BD69" i="12"/>
  <c r="BF69" i="12"/>
  <c r="BJ69" i="12"/>
  <c r="BN69" i="12"/>
  <c r="BP69" i="12"/>
  <c r="BR69" i="12"/>
  <c r="BT69" i="12"/>
  <c r="BV69" i="12"/>
  <c r="AT70" i="12"/>
  <c r="AX70" i="12"/>
  <c r="BD70" i="12"/>
  <c r="BF70" i="12"/>
  <c r="BN70" i="12"/>
  <c r="BP70" i="12"/>
  <c r="BR70" i="12"/>
  <c r="BT70" i="12"/>
  <c r="BV70" i="12"/>
  <c r="AX71" i="12"/>
  <c r="BD71" i="12"/>
  <c r="BF71" i="12"/>
  <c r="BJ71" i="12"/>
  <c r="BN71" i="12"/>
  <c r="BP71" i="12"/>
  <c r="BR71" i="12"/>
  <c r="BT71" i="12"/>
  <c r="BV71" i="12"/>
  <c r="AX72" i="12"/>
  <c r="BD72" i="12"/>
  <c r="BF72" i="12"/>
  <c r="BJ72" i="12"/>
  <c r="BN72" i="12"/>
  <c r="BP72" i="12"/>
  <c r="BR72" i="12"/>
  <c r="BT72" i="12"/>
  <c r="BV72" i="12"/>
  <c r="R73" i="12"/>
  <c r="BD73" i="12"/>
  <c r="BF73" i="12"/>
  <c r="BJ73" i="12"/>
  <c r="BN73" i="12"/>
  <c r="BP73" i="12"/>
  <c r="BR73" i="12"/>
  <c r="BT73" i="12"/>
  <c r="BV73" i="12"/>
  <c r="AT74" i="12"/>
  <c r="AX74" i="12"/>
  <c r="BD74" i="12"/>
  <c r="BF74" i="12"/>
  <c r="BJ74" i="12"/>
  <c r="BN74" i="12"/>
  <c r="BP74" i="12"/>
  <c r="BR74" i="12"/>
  <c r="BT74" i="12"/>
  <c r="BV74" i="12"/>
  <c r="BD75" i="12"/>
  <c r="BF75" i="12"/>
  <c r="BJ75" i="12"/>
  <c r="BN75" i="12"/>
  <c r="BP75" i="12"/>
  <c r="BR75" i="12"/>
  <c r="BT75" i="12"/>
  <c r="BV75" i="12"/>
  <c r="BN76" i="12"/>
  <c r="BR76" i="12"/>
  <c r="BT76" i="12"/>
  <c r="BV76" i="12"/>
  <c r="AX77" i="12"/>
  <c r="BD77" i="12"/>
  <c r="BF77" i="12"/>
  <c r="BJ77" i="12"/>
  <c r="BN77" i="12"/>
  <c r="BP77" i="12"/>
  <c r="BR77" i="12"/>
  <c r="BT77" i="12"/>
  <c r="BV77" i="12"/>
  <c r="AX78" i="12"/>
  <c r="BD78" i="12"/>
  <c r="BF78" i="12"/>
  <c r="BJ78" i="12"/>
  <c r="BN78" i="12"/>
  <c r="BR78" i="12"/>
  <c r="BT78" i="12"/>
  <c r="BV78" i="12"/>
  <c r="AX79" i="12"/>
  <c r="BD79" i="12"/>
  <c r="BF79" i="12"/>
  <c r="BJ79" i="12"/>
  <c r="BN79" i="12"/>
  <c r="BR79" i="12"/>
  <c r="BT79" i="12"/>
  <c r="BV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L80" i="12"/>
  <c r="BN80" i="12"/>
  <c r="BP80" i="12"/>
  <c r="BR80" i="12"/>
  <c r="BS80" i="12"/>
  <c r="BT80" i="12"/>
  <c r="BU80" i="12"/>
  <c r="BV80" i="12"/>
  <c r="BW80" i="12"/>
  <c r="AT83" i="12"/>
  <c r="AX83" i="12"/>
  <c r="BD83" i="12"/>
  <c r="BF83" i="12"/>
  <c r="BJ83" i="12"/>
  <c r="BN83" i="12"/>
  <c r="BP83" i="12"/>
  <c r="BR83" i="12"/>
  <c r="BT83" i="12"/>
  <c r="BV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L85" i="12"/>
  <c r="BN85" i="12"/>
  <c r="BP85" i="12"/>
  <c r="BR85" i="12"/>
  <c r="BS85" i="12"/>
  <c r="BT85" i="12"/>
  <c r="BU85" i="12"/>
  <c r="BV85" i="12"/>
  <c r="BN86" i="12"/>
  <c r="BS86" i="12"/>
  <c r="BU86" i="12"/>
  <c r="BV86" i="12"/>
  <c r="AP87" i="12"/>
  <c r="AR87" i="12"/>
  <c r="AT87" i="12"/>
  <c r="AX87" i="12"/>
  <c r="BD87" i="12"/>
  <c r="BF87" i="12"/>
  <c r="BN87" i="12"/>
  <c r="BR87" i="12"/>
  <c r="BS87" i="12"/>
  <c r="BT87" i="12"/>
  <c r="BU87" i="12"/>
  <c r="BV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L89" i="12"/>
  <c r="BN89" i="12"/>
  <c r="BP89" i="12"/>
  <c r="BR89" i="12"/>
  <c r="BS89" i="12"/>
  <c r="BT89" i="12"/>
  <c r="BU89" i="12"/>
  <c r="BV89" i="12"/>
  <c r="BW89" i="12"/>
  <c r="AH92" i="12"/>
  <c r="BN92" i="12"/>
  <c r="BR92" i="12"/>
  <c r="BT92" i="12"/>
  <c r="BV92" i="12"/>
  <c r="AH93" i="12"/>
  <c r="BN93" i="12"/>
  <c r="BR93" i="12"/>
  <c r="BT93" i="12"/>
  <c r="BV93" i="12"/>
  <c r="BN94" i="12"/>
  <c r="BR94" i="12"/>
  <c r="BT94" i="12"/>
  <c r="BV94" i="12"/>
  <c r="R95" i="12"/>
  <c r="BN95" i="12"/>
  <c r="BR95" i="12"/>
  <c r="BT95" i="12"/>
  <c r="BV95" i="12"/>
  <c r="R96" i="12"/>
  <c r="BN96" i="12"/>
  <c r="BR96" i="12"/>
  <c r="BT96" i="12"/>
  <c r="BV96" i="12"/>
  <c r="R97" i="12"/>
  <c r="BN97" i="12"/>
  <c r="BR97" i="12"/>
  <c r="BT97" i="12"/>
  <c r="BV97" i="12"/>
  <c r="BR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L99" i="12"/>
  <c r="BN99" i="12"/>
  <c r="BP99" i="12"/>
  <c r="BR99" i="12"/>
  <c r="BT99" i="12"/>
  <c r="BV99" i="12"/>
  <c r="BN102" i="12"/>
  <c r="BR102" i="12"/>
  <c r="BT102" i="12"/>
  <c r="BV102" i="12"/>
  <c r="BN103" i="12"/>
  <c r="BR103" i="12"/>
  <c r="BT103" i="12"/>
  <c r="BV103" i="12"/>
  <c r="BN104" i="12"/>
  <c r="BR104" i="12"/>
  <c r="BT104" i="12"/>
  <c r="BV104" i="12"/>
  <c r="BN105" i="12"/>
  <c r="BR105" i="12"/>
  <c r="BT105" i="12"/>
  <c r="BV105" i="12"/>
  <c r="BN106" i="12"/>
  <c r="BR106" i="12"/>
  <c r="BT106" i="12"/>
  <c r="BV106" i="12"/>
  <c r="BR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L108" i="12"/>
  <c r="BN108" i="12"/>
  <c r="BP108" i="12"/>
  <c r="BR108" i="12"/>
  <c r="BT108" i="12"/>
  <c r="BV108" i="12"/>
  <c r="AJ112" i="12"/>
  <c r="BN114" i="12"/>
  <c r="BR114" i="12"/>
  <c r="BT114" i="12"/>
  <c r="BV114" i="12"/>
  <c r="AX115" i="12"/>
  <c r="BN115" i="12"/>
  <c r="BR115" i="12"/>
  <c r="BT115" i="12"/>
  <c r="BV115" i="12"/>
  <c r="BN116" i="12"/>
  <c r="BR116" i="12"/>
  <c r="BT116" i="12"/>
  <c r="BV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N117" i="12"/>
  <c r="BP117" i="12"/>
  <c r="BR117" i="12"/>
  <c r="BT117" i="12"/>
  <c r="BV117" i="12"/>
  <c r="BN121" i="12"/>
  <c r="BR121" i="12"/>
  <c r="BT121" i="12"/>
  <c r="BV121" i="12"/>
  <c r="BN123" i="12"/>
  <c r="BR123" i="12"/>
  <c r="BT123" i="12"/>
  <c r="BV123" i="12"/>
  <c r="BN125" i="12"/>
  <c r="BR125" i="12"/>
  <c r="BT125" i="12"/>
  <c r="BV125" i="12"/>
  <c r="BN128" i="12"/>
  <c r="BR128" i="12"/>
  <c r="BT128" i="12"/>
  <c r="BV128" i="12"/>
  <c r="BN129" i="12"/>
  <c r="BR129" i="12"/>
  <c r="BT129" i="12"/>
  <c r="BV129" i="12"/>
  <c r="R130" i="12"/>
  <c r="AV130" i="12"/>
  <c r="BN130" i="12"/>
  <c r="BR130" i="12"/>
  <c r="BT130" i="12"/>
  <c r="BV130" i="12"/>
  <c r="BR131" i="12"/>
  <c r="BT131" i="12"/>
  <c r="BV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L132" i="12"/>
  <c r="BN132" i="12"/>
  <c r="BP132" i="12"/>
  <c r="BR132" i="12"/>
  <c r="BT132" i="12"/>
  <c r="BV132" i="12"/>
  <c r="BN135" i="12"/>
  <c r="BR135" i="12"/>
  <c r="BT135" i="12"/>
  <c r="BV135" i="12"/>
  <c r="BN136" i="12"/>
  <c r="BR136" i="12"/>
  <c r="BT136" i="12"/>
  <c r="BV136" i="12"/>
  <c r="AF137" i="12"/>
  <c r="AH137" i="12"/>
  <c r="AJ137" i="12"/>
  <c r="AP137" i="12"/>
  <c r="BB137" i="12"/>
  <c r="BH137" i="12"/>
  <c r="BN137" i="12"/>
  <c r="BR137" i="12"/>
  <c r="BT137" i="12"/>
  <c r="BV137" i="12"/>
  <c r="BJ138" i="12"/>
  <c r="BN138" i="12"/>
  <c r="BR138" i="12"/>
  <c r="BT138" i="12"/>
  <c r="BV138" i="12"/>
  <c r="BR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L140" i="12"/>
  <c r="BN140" i="12"/>
  <c r="BP140" i="12"/>
  <c r="BR140" i="12"/>
  <c r="BT140" i="12"/>
  <c r="BV140" i="12"/>
  <c r="AP142" i="12"/>
  <c r="BN142" i="12"/>
  <c r="BR142" i="12"/>
  <c r="BT142" i="12"/>
  <c r="BV142" i="12"/>
  <c r="BN144" i="12"/>
  <c r="BP144" i="12"/>
  <c r="BR144" i="12"/>
  <c r="BT144" i="12"/>
  <c r="BV144" i="12"/>
  <c r="R147" i="12"/>
  <c r="BN147" i="12"/>
  <c r="BR147" i="12"/>
  <c r="BT147" i="12"/>
  <c r="BV147" i="12"/>
  <c r="BN148" i="12"/>
  <c r="BR148" i="12"/>
  <c r="BT148" i="12"/>
  <c r="BV148" i="12"/>
  <c r="BN149" i="12"/>
  <c r="BR149" i="12"/>
  <c r="BT149" i="12"/>
  <c r="BV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L150" i="12"/>
  <c r="BN150" i="12"/>
  <c r="BP150" i="12"/>
  <c r="BR150" i="12"/>
  <c r="BT150" i="12"/>
  <c r="BV150" i="12"/>
  <c r="BN152" i="12"/>
  <c r="BR152" i="12"/>
  <c r="BT152" i="12"/>
  <c r="BV152" i="12"/>
  <c r="BN154" i="12"/>
  <c r="BR154" i="12"/>
  <c r="BT154" i="12"/>
  <c r="BV154" i="12"/>
  <c r="BB157" i="12"/>
  <c r="BN157" i="12"/>
  <c r="BR157" i="12"/>
  <c r="BT157" i="12"/>
  <c r="BV157" i="12"/>
  <c r="AT158" i="12"/>
  <c r="BB158" i="12"/>
  <c r="BN158" i="12"/>
  <c r="BR158" i="12"/>
  <c r="BT158" i="12"/>
  <c r="BV158" i="12"/>
  <c r="BD159" i="12"/>
  <c r="BN159" i="12"/>
  <c r="BR159" i="12"/>
  <c r="BT159" i="12"/>
  <c r="BV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N160" i="12"/>
  <c r="BR160" i="12"/>
  <c r="BT160" i="12"/>
  <c r="BV160" i="12"/>
  <c r="AR161" i="12"/>
  <c r="BN161" i="12"/>
  <c r="BR161" i="12"/>
  <c r="BT161" i="12"/>
  <c r="BV161" i="12"/>
  <c r="AF162" i="12"/>
  <c r="AH162" i="12"/>
  <c r="BN162" i="12"/>
  <c r="BR162" i="12"/>
  <c r="BT162" i="12"/>
  <c r="BV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L163" i="12"/>
  <c r="BN163" i="12"/>
  <c r="BP163" i="12"/>
  <c r="BR163" i="12"/>
  <c r="BS163" i="12"/>
  <c r="BT163" i="12"/>
  <c r="BU163" i="12"/>
  <c r="BV163" i="12"/>
  <c r="P166" i="12"/>
  <c r="BN166" i="12"/>
  <c r="BR166" i="12"/>
  <c r="BT166" i="12"/>
  <c r="BV166" i="12"/>
  <c r="BN167" i="12"/>
  <c r="BR167" i="12"/>
  <c r="BT167" i="12"/>
  <c r="BV167" i="12"/>
  <c r="BD168" i="12"/>
  <c r="BN168" i="12"/>
  <c r="BR168" i="12"/>
  <c r="BT168" i="12"/>
  <c r="BV168" i="12"/>
  <c r="BN169" i="12"/>
  <c r="BR169" i="12"/>
  <c r="BT169" i="12"/>
  <c r="BV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L170" i="12"/>
  <c r="BN170" i="12"/>
  <c r="BP170" i="12"/>
  <c r="BR170" i="12"/>
  <c r="BT170" i="12"/>
  <c r="BV170" i="12"/>
  <c r="P172" i="12"/>
  <c r="AD172" i="12"/>
  <c r="AJ172" i="12"/>
  <c r="AL172" i="12"/>
  <c r="AP172" i="12"/>
  <c r="AR172" i="12"/>
  <c r="AT172" i="12"/>
  <c r="AV172" i="12"/>
  <c r="AX172" i="12"/>
  <c r="BN172" i="12"/>
  <c r="BR172" i="12"/>
  <c r="BT172" i="12"/>
  <c r="BV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L174" i="12"/>
  <c r="BN174" i="12"/>
  <c r="BP174" i="12"/>
  <c r="BR174" i="12"/>
  <c r="BS174" i="12"/>
  <c r="BT174" i="12"/>
  <c r="BU174" i="12"/>
  <c r="BV174" i="12"/>
  <c r="BW174" i="12"/>
  <c r="P176" i="12"/>
  <c r="BN176" i="12"/>
  <c r="BR176" i="12"/>
  <c r="BT176" i="12"/>
  <c r="BV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L179" i="12"/>
  <c r="BN179" i="12"/>
  <c r="BP179" i="12"/>
  <c r="BR179" i="12"/>
  <c r="BS179" i="12"/>
  <c r="BT179" i="12"/>
  <c r="BU179" i="12"/>
  <c r="BV179" i="12"/>
  <c r="BT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L182" i="12"/>
  <c r="BN183" i="12"/>
  <c r="BN184" i="12"/>
  <c r="BN187" i="12"/>
  <c r="BN188" i="12"/>
  <c r="BN190" i="12"/>
  <c r="BN191" i="12"/>
  <c r="P241" i="12"/>
  <c r="AB241" i="12"/>
  <c r="BN241" i="12"/>
  <c r="BR241" i="12"/>
  <c r="BT241" i="12"/>
  <c r="AJ243" i="12"/>
  <c r="BN243" i="12"/>
  <c r="BR243" i="12"/>
  <c r="BT243" i="12"/>
  <c r="BN244" i="12"/>
  <c r="BR244" i="12"/>
  <c r="BT244" i="12"/>
  <c r="AD245" i="12"/>
  <c r="AJ245" i="12"/>
  <c r="AN245" i="12"/>
  <c r="AP245" i="12"/>
  <c r="BN245" i="12"/>
  <c r="BT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L247" i="12"/>
  <c r="BN247" i="12"/>
  <c r="BP247" i="12"/>
  <c r="BR247" i="12"/>
  <c r="BS247" i="12"/>
  <c r="BT247" i="12"/>
  <c r="BU247" i="12"/>
  <c r="BV247" i="12"/>
  <c r="X251" i="12"/>
  <c r="AH251" i="12"/>
  <c r="BN251" i="12"/>
  <c r="BR251" i="12"/>
  <c r="BT251" i="12"/>
  <c r="X252" i="12"/>
  <c r="Z252" i="12"/>
  <c r="AD252" i="12"/>
  <c r="BN252" i="12"/>
  <c r="BR252" i="12"/>
  <c r="BT252" i="12"/>
  <c r="BN253" i="12"/>
  <c r="BR253" i="12"/>
  <c r="BT253" i="12"/>
  <c r="BN254" i="12"/>
  <c r="BR254" i="12"/>
  <c r="BT254" i="12"/>
  <c r="BR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L256" i="12"/>
  <c r="BN256" i="12"/>
  <c r="BR256" i="12"/>
  <c r="BT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L261" i="12"/>
  <c r="BN261" i="12"/>
  <c r="BP261" i="12"/>
  <c r="BR261" i="12"/>
  <c r="BS261" i="12"/>
  <c r="BT261" i="12"/>
  <c r="BU261" i="12"/>
  <c r="BV261" i="12"/>
  <c r="BN271" i="12"/>
  <c r="BN277" i="12"/>
  <c r="BN278" i="12"/>
  <c r="BN280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P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R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T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R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<sst xmlns="http://schemas.openxmlformats.org/spreadsheetml/2006/main" count="1691" uniqueCount="459">
  <si>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</si>
  <si>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</si>
  <si>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</si>
  <si>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</si>
  <si>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</si>
  <si>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</si>
  <si>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</si>
  <si>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</si>
  <si>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</si>
  <si>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</si>
  <si>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</si>
  <si>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</si>
  <si>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</si>
  <si>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</si>
  <si>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</si>
  <si>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</si>
  <si>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</si>
  <si>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</si>
  <si>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</si>
  <si>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</si>
  <si>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</si>
  <si>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</si>
  <si>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</si>
  <si>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</si>
  <si>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</si>
  <si>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</si>
  <si>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</si>
  <si>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</si>
  <si>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</si>
  <si>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</si>
  <si>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</si>
  <si>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</si>
  <si>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</si>
  <si>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</si>
  <si>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</si>
  <si>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</si>
  <si>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</si>
  <si>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</si>
  <si>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</si>
  <si>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</si>
  <si>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</si>
  <si>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</si>
  <si>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</si>
  <si>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</si>
  <si>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</si>
  <si>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</si>
  <si>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</si>
  <si>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</si>
  <si>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</si>
  <si>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</si>
  <si>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</si>
  <si>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</si>
  <si>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</si>
  <si>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</si>
  <si>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</si>
  <si>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</si>
  <si>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</si>
  <si>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</si>
  <si>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</si>
  <si>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</si>
  <si>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</si>
  <si>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</si>
  <si>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</si>
  <si>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</si>
  <si>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</si>
  <si>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</si>
  <si>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</si>
  <si>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</si>
  <si>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</si>
  <si>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</si>
  <si>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</si>
  <si>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</si>
  <si>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</si>
  <si>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</si>
  <si>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</si>
  <si>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</si>
  <si>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</si>
  <si>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</si>
  <si>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</si>
  <si>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</si>
  <si>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</si>
  <si>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</si>
  <si>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</si>
  <si>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</si>
  <si>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</si>
  <si>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</si>
  <si>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</si>
  <si>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</si>
  <si>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</si>
  <si>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</si>
  <si>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</si>
  <si>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</si>
  <si>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</si>
  <si>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</si>
  <si>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</si>
  <si>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</si>
  <si>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</si>
  <si>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</si>
  <si>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</si>
  <si>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</si>
  <si>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</si>
  <si>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</si>
  <si>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</si>
  <si>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</si>
  <si>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</si>
  <si>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</si>
  <si>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</si>
  <si>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</si>
  <si>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</si>
  <si>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</si>
  <si>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</si>
  <si>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</si>
  <si>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</si>
  <si>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</si>
  <si>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</si>
  <si>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</si>
  <si>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</si>
  <si>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</si>
  <si>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</si>
  <si>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</si>
  <si>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</si>
  <si>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</si>
  <si>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</si>
  <si>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</si>
  <si>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</si>
  <si>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</si>
  <si>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</si>
  <si>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</si>
  <si>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</si>
  <si>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</si>
  <si>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</si>
  <si>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</si>
  <si>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</si>
  <si>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</si>
  <si>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</si>
  <si>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</si>
  <si>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</si>
  <si>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</si>
  <si>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</si>
  <si>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</si>
  <si>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</si>
  <si>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</si>
  <si>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</si>
  <si>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</si>
  <si>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</si>
  <si>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</si>
  <si>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</si>
  <si>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</si>
  <si>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</si>
  <si>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</si>
  <si>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</si>
  <si>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</si>
  <si>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</si>
  <si>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</si>
  <si>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</si>
  <si>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</si>
  <si>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</si>
  <si>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</si>
  <si>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</si>
  <si>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</si>
  <si>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</si>
  <si>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</si>
  <si>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</si>
  <si>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</si>
  <si>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</si>
  <si>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</si>
  <si>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</si>
  <si>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</si>
  <si>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</si>
  <si>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</si>
  <si>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</si>
  <si>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</si>
  <si>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</si>
  <si>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</si>
  <si>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</si>
  <si>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</si>
  <si>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</si>
  <si>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</si>
  <si>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</si>
  <si>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</si>
  <si>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</si>
  <si>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</si>
  <si>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</si>
  <si>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</si>
  <si>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</si>
  <si>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</si>
  <si>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</si>
  <si>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</si>
  <si>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</si>
  <si>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</si>
  <si>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</si>
  <si>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</si>
  <si>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</si>
  <si>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</si>
  <si>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</si>
  <si>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</si>
  <si>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</si>
  <si>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</si>
  <si>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</si>
  <si>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</si>
  <si>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</si>
  <si>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</si>
  <si>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</si>
  <si>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</si>
  <si>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</si>
  <si>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</si>
  <si>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</si>
  <si>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</si>
  <si>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</si>
  <si>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</si>
  <si>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</si>
  <si>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</si>
  <si>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</si>
  <si>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</si>
  <si>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</si>
  <si>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</si>
  <si>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</si>
  <si>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</si>
  <si>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</si>
  <si>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</si>
  <si>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</si>
  <si>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</si>
  <si>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</si>
  <si>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</si>
  <si>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</si>
  <si>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</si>
  <si>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</si>
  <si>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</si>
  <si>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</si>
  <si>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</si>
  <si>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</si>
  <si>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</si>
  <si>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</si>
  <si>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</si>
  <si>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</si>
  <si>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</si>
  <si>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</si>
  <si>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</si>
  <si>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</si>
  <si>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</si>
  <si>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</si>
  <si>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</si>
  <si>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</si>
  <si>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</si>
  <si>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</si>
  <si>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</si>
  <si>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</si>
  <si>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</si>
  <si>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</si>
  <si>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</si>
  <si>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</si>
  <si>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</si>
  <si>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</si>
  <si>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</si>
  <si>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</si>
  <si>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</si>
  <si>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</si>
  <si>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</si>
  <si>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</si>
  <si>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</si>
  <si>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</si>
  <si>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</si>
  <si>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</si>
  <si>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</si>
  <si>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</si>
  <si>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</si>
  <si>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</si>
  <si>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</si>
  <si>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</si>
  <si>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</si>
  <si>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</si>
  <si>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</si>
  <si>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</si>
  <si>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</si>
  <si>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</si>
  <si>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</si>
  <si>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</si>
  <si>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</si>
  <si>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</si>
  <si>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</si>
  <si>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</si>
  <si>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</si>
  <si>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</si>
  <si>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</si>
  <si>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</si>
  <si>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</si>
  <si>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</si>
  <si>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</si>
  <si>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</si>
  <si>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</si>
  <si>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</si>
  <si>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</si>
  <si>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</si>
  <si>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</si>
  <si>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</si>
  <si>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</si>
  <si>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</si>
  <si>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</si>
  <si>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</si>
  <si>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</si>
  <si>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</si>
  <si>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</si>
  <si>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</si>
  <si>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</si>
  <si>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</si>
  <si>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</si>
  <si>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</si>
  <si>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</si>
  <si>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</si>
  <si>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</si>
  <si>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</si>
  <si>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</si>
  <si>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</si>
  <si>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</si>
  <si>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</si>
  <si>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</si>
  <si>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</si>
  <si>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</si>
  <si>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</si>
  <si>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</si>
  <si>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</si>
  <si>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</si>
  <si>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</si>
  <si>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</si>
  <si>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</si>
  <si>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</si>
  <si>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</si>
  <si>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</si>
  <si>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</si>
  <si>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</si>
  <si>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</si>
  <si>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</si>
  <si>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</si>
  <si>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</si>
  <si>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</si>
  <si>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</si>
  <si>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</si>
  <si>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</si>
  <si>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</si>
  <si>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</si>
  <si>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</si>
  <si>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</si>
  <si>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</si>
  <si>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</si>
  <si>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</si>
  <si>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</si>
  <si>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</si>
  <si>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</si>
  <si>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</si>
  <si>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</si>
  <si>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</si>
  <si>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</si>
  <si>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</si>
  <si>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</si>
  <si>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</si>
  <si>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</si>
  <si>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</si>
  <si>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</si>
  <si>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</si>
  <si>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</si>
  <si>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</si>
  <si>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</si>
  <si>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</si>
  <si>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</si>
  <si>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</si>
  <si>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</si>
  <si>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</si>
  <si>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</si>
  <si>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</si>
  <si>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</si>
  <si>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</si>
  <si>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</si>
  <si>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</si>
  <si>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</si>
  <si>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</si>
  <si>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</si>
  <si>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</si>
  <si>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</si>
  <si>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</si>
  <si>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</si>
  <si>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</si>
  <si>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</si>
  <si>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</si>
  <si>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</si>
  <si>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</si>
  <si>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</si>
  <si>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</si>
  <si>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</si>
  <si>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</si>
  <si>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</si>
  <si>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</si>
  <si>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</si>
  <si>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</si>
  <si>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</si>
  <si>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</si>
  <si>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</si>
  <si>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</si>
  <si>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</si>
  <si>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</si>
  <si>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</si>
  <si>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</si>
  <si>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</si>
  <si>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</si>
  <si>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</si>
  <si>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</si>
  <si>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</si>
  <si>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</si>
  <si>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</si>
  <si>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</si>
  <si>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</si>
  <si>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</si>
  <si>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</si>
  <si>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</si>
  <si>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</si>
  <si>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</si>
  <si>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</si>
  <si>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</si>
  <si>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</si>
  <si>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</si>
  <si>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</si>
  <si>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</si>
  <si>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</si>
  <si>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</si>
  <si>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</si>
  <si>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</si>
  <si>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</si>
  <si>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</si>
  <si>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</si>
  <si>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</si>
  <si>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</si>
  <si>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</si>
  <si>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</si>
  <si>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</si>
  <si>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</si>
  <si>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</si>
  <si>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</si>
  <si>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</si>
  <si>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</si>
  <si>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</si>
  <si>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</si>
  <si>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</si>
  <si>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</si>
  <si>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</si>
  <si>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</si>
  <si>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</si>
  <si>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</si>
  <si>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</si>
  <si>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</si>
  <si>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Revision # 65</t>
  </si>
  <si>
    <t xml:space="preserve"> As of 10/09/00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</si>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</sst>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>
      <selection activeCell="G39" sqref="G39"/>
    </sheetView>
  </sheetViews>
  <sheetFormatPr defaultRowHeight="12.75"/>
  <cols>
    <col min="1" max="1" width="28.140625" style="173" customWidth="1"/>
    <col min="2" max="2" width="3.140625" style="173" customWidth="1"/>
    <col min="3" max="3" width="15" style="173" customWidth="1"/>
    <col min="4" max="4" width="2.42578125" style="173" customWidth="1"/>
    <col min="5" max="5" width="16.28515625" style="173" bestFit="1" customWidth="1"/>
    <col min="6" max="6" width="2.42578125" style="173" customWidth="1"/>
    <col min="7" max="7" width="15.7109375" style="173" bestFit="1" customWidth="1"/>
    <col min="8" max="8" width="2.42578125" style="173" customWidth="1"/>
    <col min="9" max="9" width="20.28515625" style="173" bestFit="1" customWidth="1"/>
    <col min="10" max="10" width="2.7109375" style="173" customWidth="1"/>
    <col min="11" max="11" width="17.140625" style="173" bestFit="1" customWidth="1"/>
    <col min="12" max="12" width="2.7109375" style="173" customWidth="1"/>
    <col min="13" max="13" width="13.28515625" style="173" bestFit="1" customWidth="1"/>
    <col min="14" max="14" width="2.7109375" style="173" customWidth="1"/>
    <col min="15" max="15" width="19.140625" style="173" bestFit="1" customWidth="1"/>
    <col min="16" max="18" width="0" hidden="1" customWidth="1"/>
    <col min="47" max="58" width="0" hidden="1" customWidth="1"/>
  </cols>
  <sheetData>
    <row r="1" spans="1:74" ht="15.75">
      <c r="A1" s="172" t="s">
        <v>127</v>
      </c>
    </row>
    <row r="2" spans="1:74" ht="15.75">
      <c r="A2" s="172" t="s">
        <v>170</v>
      </c>
      <c r="J2" s="175" t="s">
        <v>124</v>
      </c>
      <c r="O2" s="174">
        <f ca="1">NOW()</f>
        <v>36808.56319108796</v>
      </c>
    </row>
    <row r="3" spans="1:74" ht="15.75">
      <c r="A3" s="176" t="s">
        <v>189</v>
      </c>
      <c r="G3" s="174"/>
      <c r="J3" s="175"/>
      <c r="O3" s="174"/>
      <c r="BV3" t="str">
        <f>Summary!A5</f>
        <v>Revision # 65</v>
      </c>
    </row>
    <row r="4" spans="1:74" ht="15.75">
      <c r="A4" s="172" t="s">
        <v>185</v>
      </c>
      <c r="J4" s="175" t="s">
        <v>125</v>
      </c>
      <c r="O4" s="98" t="s">
        <v>449</v>
      </c>
    </row>
    <row r="5" spans="1:74" ht="15.75">
      <c r="A5" s="176" t="s">
        <v>448</v>
      </c>
      <c r="G5" s="174"/>
      <c r="I5" s="26"/>
      <c r="O5" s="177"/>
    </row>
    <row r="6" spans="1:74" ht="16.5" thickBot="1">
      <c r="A6" s="172"/>
      <c r="I6" s="26"/>
      <c r="O6" s="177"/>
    </row>
    <row r="7" spans="1:74" ht="16.5" thickBot="1">
      <c r="A7" s="172"/>
      <c r="G7" s="163" t="s">
        <v>122</v>
      </c>
      <c r="H7" s="164"/>
      <c r="I7" s="164"/>
      <c r="J7" s="164"/>
      <c r="K7" s="165"/>
      <c r="L7" s="172"/>
      <c r="M7" s="172"/>
    </row>
    <row r="8" spans="1:74">
      <c r="A8" s="222" t="s">
        <v>268</v>
      </c>
      <c r="C8" s="178"/>
      <c r="E8" s="27" t="s">
        <v>43</v>
      </c>
      <c r="G8" s="86" t="s">
        <v>44</v>
      </c>
      <c r="H8" s="179"/>
      <c r="I8" s="87" t="s">
        <v>51</v>
      </c>
      <c r="J8" s="179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49" t="s">
        <v>282</v>
      </c>
      <c r="G9" s="89" t="str">
        <f>+O4</f>
        <v xml:space="preserve"> As of 10/09/00</v>
      </c>
      <c r="H9" s="180"/>
      <c r="I9" s="53" t="str">
        <f>+O4</f>
        <v xml:space="preserve"> As of 10/09/00</v>
      </c>
      <c r="J9" s="180"/>
      <c r="K9" s="90" t="str">
        <f>+O4</f>
        <v xml:space="preserve"> As of 10/09/00</v>
      </c>
      <c r="M9" s="28" t="s">
        <v>143</v>
      </c>
      <c r="O9" s="28" t="s">
        <v>46</v>
      </c>
    </row>
    <row r="10" spans="1:74">
      <c r="A10" s="178"/>
      <c r="C10" s="27"/>
      <c r="E10" s="178"/>
      <c r="G10" s="181"/>
      <c r="H10" s="180"/>
      <c r="I10" s="178"/>
      <c r="J10" s="180"/>
      <c r="K10" s="182"/>
      <c r="M10" s="178"/>
      <c r="O10" s="178"/>
    </row>
    <row r="11" spans="1:74">
      <c r="A11" s="183" t="s">
        <v>254</v>
      </c>
      <c r="C11" s="257">
        <v>608</v>
      </c>
      <c r="E11" s="185">
        <f>Wilton!R179/1000</f>
        <v>239675.46775000001</v>
      </c>
      <c r="F11" s="184"/>
      <c r="G11" s="186">
        <f>Wilton!BN179/1000</f>
        <v>267894.80802869203</v>
      </c>
      <c r="H11" s="180"/>
      <c r="I11" s="185">
        <f>K11-G11</f>
        <v>2869.708956178627</v>
      </c>
      <c r="J11" s="180"/>
      <c r="K11" s="187">
        <f>Wilton!BT179/1000</f>
        <v>270764.51698487066</v>
      </c>
      <c r="M11" s="185">
        <f>+E11-K11</f>
        <v>-31089.049234870647</v>
      </c>
      <c r="O11" s="188">
        <f>+G11/K11</f>
        <v>0.98940145855101469</v>
      </c>
    </row>
    <row r="12" spans="1:74">
      <c r="A12" s="189"/>
      <c r="C12" s="257"/>
      <c r="E12" s="190"/>
      <c r="F12" s="184"/>
      <c r="G12" s="191"/>
      <c r="H12" s="180"/>
      <c r="I12" s="190"/>
      <c r="J12" s="180"/>
      <c r="K12" s="192"/>
      <c r="M12" s="190"/>
      <c r="O12" s="193"/>
    </row>
    <row r="13" spans="1:74">
      <c r="A13" s="183" t="str">
        <f>Gleason!A3</f>
        <v>Gleason, TN</v>
      </c>
      <c r="C13" s="257">
        <v>509</v>
      </c>
      <c r="E13" s="185">
        <f>Gleason!R219/1000</f>
        <v>170575.01</v>
      </c>
      <c r="F13" s="184"/>
      <c r="G13" s="186">
        <f>Gleason!BP219/1000</f>
        <v>170485.62735366749</v>
      </c>
      <c r="H13" s="180"/>
      <c r="I13" s="185">
        <f>K13-G13</f>
        <v>6949.6838299999945</v>
      </c>
      <c r="J13" s="180"/>
      <c r="K13" s="187">
        <f>Gleason!BV219/1000</f>
        <v>177435.31118366748</v>
      </c>
      <c r="M13" s="185">
        <f>+E13-K13</f>
        <v>-6860.3011836674705</v>
      </c>
      <c r="O13" s="188">
        <f>+G13/K13</f>
        <v>0.96083257732838634</v>
      </c>
    </row>
    <row r="14" spans="1:74">
      <c r="A14" s="189"/>
      <c r="C14" s="257"/>
      <c r="E14" s="190"/>
      <c r="F14" s="184"/>
      <c r="G14" s="191"/>
      <c r="H14" s="180"/>
      <c r="I14" s="190"/>
      <c r="J14" s="180"/>
      <c r="K14" s="192"/>
      <c r="M14" s="190"/>
      <c r="O14" s="193"/>
    </row>
    <row r="15" spans="1:74">
      <c r="A15" s="183" t="s">
        <v>194</v>
      </c>
      <c r="C15" s="257">
        <v>470</v>
      </c>
      <c r="E15" s="185">
        <f>Wheatland!R176/1000</f>
        <v>158451.2481</v>
      </c>
      <c r="F15" s="184"/>
      <c r="G15" s="186">
        <f>Wheatland!BN176/1000</f>
        <v>153919.8938402952</v>
      </c>
      <c r="H15" s="180"/>
      <c r="I15" s="185">
        <f>K15-G15</f>
        <v>5234.1669733332819</v>
      </c>
      <c r="J15" s="180"/>
      <c r="K15" s="187">
        <f>Wheatland!BT176/1000</f>
        <v>159154.06081362849</v>
      </c>
      <c r="M15" s="185">
        <f>+E15-K15</f>
        <v>-702.81271362848929</v>
      </c>
      <c r="O15" s="188">
        <f>+G15/K15</f>
        <v>0.96711257666580963</v>
      </c>
      <c r="AC15" t="s">
        <v>154</v>
      </c>
    </row>
    <row r="16" spans="1:74" ht="8.25" customHeight="1">
      <c r="A16" s="189"/>
      <c r="B16" s="180"/>
      <c r="C16" s="258"/>
      <c r="D16" s="180"/>
      <c r="E16" s="194"/>
      <c r="F16" s="180"/>
      <c r="G16" s="195"/>
      <c r="H16" s="180"/>
      <c r="I16" s="194"/>
      <c r="J16" s="180"/>
      <c r="K16" s="196"/>
      <c r="L16" s="180"/>
      <c r="M16" s="194"/>
      <c r="N16" s="180"/>
      <c r="O16" s="189"/>
    </row>
    <row r="17" spans="1:29">
      <c r="A17" s="197" t="s">
        <v>265</v>
      </c>
      <c r="B17" s="198"/>
      <c r="C17" s="259">
        <f>SUM(C11:C15)</f>
        <v>1587</v>
      </c>
      <c r="D17" s="180"/>
      <c r="E17" s="199">
        <f>SUM(E11:E15)</f>
        <v>568701.72585000005</v>
      </c>
      <c r="F17" s="200"/>
      <c r="G17" s="201">
        <f>SUM(G11:G15)</f>
        <v>592300.32922265469</v>
      </c>
      <c r="H17" s="200"/>
      <c r="I17" s="199">
        <f>SUM(I11:I15)</f>
        <v>15053.559759511903</v>
      </c>
      <c r="J17" s="180"/>
      <c r="K17" s="202">
        <f>SUM(K11:K15)</f>
        <v>607353.88898216665</v>
      </c>
      <c r="L17" s="180"/>
      <c r="M17" s="199">
        <f>SUM(M10:M15)</f>
        <v>-38652.163132166606</v>
      </c>
      <c r="N17" s="180"/>
      <c r="O17" s="203">
        <f>+G17/K17</f>
        <v>0.97521451655683078</v>
      </c>
    </row>
    <row r="18" spans="1:29" ht="13.5" thickBot="1">
      <c r="A18" s="204" t="s">
        <v>50</v>
      </c>
      <c r="B18" s="198"/>
      <c r="C18" s="204"/>
      <c r="D18" s="180"/>
      <c r="E18" s="205">
        <f>E17/C17</f>
        <v>358.35017381852555</v>
      </c>
      <c r="F18" s="200"/>
      <c r="G18" s="206"/>
      <c r="H18" s="207"/>
      <c r="I18" s="208"/>
      <c r="J18" s="209"/>
      <c r="K18" s="210">
        <f>+K17/C17</f>
        <v>382.70566413495061</v>
      </c>
      <c r="L18" s="180"/>
      <c r="M18" s="205"/>
      <c r="N18" s="180"/>
      <c r="O18" s="211"/>
    </row>
    <row r="19" spans="1:29" s="33" customFormat="1">
      <c r="A19" s="212"/>
      <c r="B19" s="212"/>
      <c r="C19" s="212"/>
      <c r="D19" s="213"/>
      <c r="E19" s="200"/>
      <c r="F19" s="200"/>
      <c r="G19" s="200"/>
      <c r="H19" s="200"/>
      <c r="I19" s="200"/>
      <c r="J19" s="213"/>
      <c r="K19" s="200"/>
      <c r="L19" s="213"/>
      <c r="M19" s="200"/>
      <c r="N19" s="213"/>
      <c r="O19" s="214"/>
    </row>
    <row r="20" spans="1:29" ht="16.5" hidden="1" thickBot="1">
      <c r="A20" s="172"/>
      <c r="C20"/>
      <c r="G20" s="163" t="s">
        <v>122</v>
      </c>
      <c r="H20" s="164"/>
      <c r="I20" s="164"/>
      <c r="J20" s="164"/>
      <c r="K20" s="165"/>
      <c r="L20" s="172"/>
      <c r="M20" s="172"/>
      <c r="O20"/>
    </row>
    <row r="21" spans="1:29" hidden="1">
      <c r="A21" s="222" t="s">
        <v>267</v>
      </c>
      <c r="C21"/>
      <c r="E21" s="27" t="s">
        <v>43</v>
      </c>
      <c r="G21" s="86" t="s">
        <v>44</v>
      </c>
      <c r="H21" s="179"/>
      <c r="I21" s="87" t="s">
        <v>51</v>
      </c>
      <c r="J21" s="179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9" t="str">
        <f>E9</f>
        <v>as of 7/22/99</v>
      </c>
      <c r="G22" s="89" t="str">
        <f>G9</f>
        <v xml:space="preserve"> As of 10/09/00</v>
      </c>
      <c r="H22" s="180"/>
      <c r="I22" s="53" t="str">
        <f>I9</f>
        <v xml:space="preserve"> As of 10/09/00</v>
      </c>
      <c r="J22" s="180"/>
      <c r="K22" s="90" t="str">
        <f>K9</f>
        <v xml:space="preserve"> As of 10/09/00</v>
      </c>
      <c r="M22" s="28" t="s">
        <v>143</v>
      </c>
      <c r="O22"/>
    </row>
    <row r="23" spans="1:29" hidden="1">
      <c r="A23" s="178"/>
      <c r="C23"/>
      <c r="E23" s="178"/>
      <c r="G23" s="181"/>
      <c r="H23" s="180"/>
      <c r="I23" s="178"/>
      <c r="J23" s="180"/>
      <c r="K23" s="182"/>
      <c r="M23" s="178"/>
      <c r="O23"/>
    </row>
    <row r="24" spans="1:29" hidden="1">
      <c r="A24" s="183" t="s">
        <v>254</v>
      </c>
      <c r="C24"/>
      <c r="E24" s="185">
        <v>1500</v>
      </c>
      <c r="F24" s="184"/>
      <c r="G24" s="186">
        <v>0</v>
      </c>
      <c r="H24" s="180"/>
      <c r="I24" s="185">
        <f>K24-G24</f>
        <v>1500</v>
      </c>
      <c r="J24" s="180"/>
      <c r="K24" s="187">
        <v>1500</v>
      </c>
      <c r="M24" s="185">
        <f>+E24-K24</f>
        <v>0</v>
      </c>
      <c r="O24"/>
    </row>
    <row r="25" spans="1:29" hidden="1">
      <c r="A25" s="189"/>
      <c r="C25"/>
      <c r="E25" s="190"/>
      <c r="F25" s="184"/>
      <c r="G25" s="191"/>
      <c r="H25" s="180"/>
      <c r="I25" s="190"/>
      <c r="J25" s="180"/>
      <c r="K25" s="192"/>
      <c r="M25" s="190"/>
      <c r="O25"/>
    </row>
    <row r="26" spans="1:29" hidden="1">
      <c r="A26" s="183" t="str">
        <f>+'Calvert City'!$A$3</f>
        <v>Calvert City, KY</v>
      </c>
      <c r="C26"/>
      <c r="E26" s="185">
        <v>1500</v>
      </c>
      <c r="F26" s="184"/>
      <c r="G26" s="186">
        <v>0</v>
      </c>
      <c r="H26" s="180"/>
      <c r="I26" s="185">
        <f>K26-G26</f>
        <v>1500</v>
      </c>
      <c r="J26" s="180"/>
      <c r="K26" s="187">
        <v>1500</v>
      </c>
      <c r="M26" s="185">
        <f>+E26-K26</f>
        <v>0</v>
      </c>
      <c r="O26"/>
    </row>
    <row r="27" spans="1:29" hidden="1">
      <c r="A27" s="189"/>
      <c r="C27"/>
      <c r="E27" s="190"/>
      <c r="F27" s="184"/>
      <c r="G27" s="191"/>
      <c r="H27" s="180"/>
      <c r="I27" s="190"/>
      <c r="J27" s="180"/>
      <c r="K27" s="192"/>
      <c r="M27" s="190"/>
      <c r="O27"/>
    </row>
    <row r="28" spans="1:29" hidden="1">
      <c r="A28" s="183" t="s">
        <v>194</v>
      </c>
      <c r="C28"/>
      <c r="E28" s="185">
        <v>1500</v>
      </c>
      <c r="F28" s="184"/>
      <c r="G28" s="186">
        <v>0</v>
      </c>
      <c r="H28" s="180"/>
      <c r="I28" s="185">
        <f>K28-G28</f>
        <v>1500</v>
      </c>
      <c r="J28" s="180"/>
      <c r="K28" s="187">
        <v>1500</v>
      </c>
      <c r="M28" s="185">
        <f>+E28-K28</f>
        <v>0</v>
      </c>
      <c r="O28"/>
      <c r="AC28" t="s">
        <v>154</v>
      </c>
    </row>
    <row r="29" spans="1:29" ht="8.25" hidden="1" customHeight="1">
      <c r="A29" s="189"/>
      <c r="B29" s="180"/>
      <c r="C29"/>
      <c r="D29" s="180"/>
      <c r="E29" s="194"/>
      <c r="F29" s="180"/>
      <c r="G29" s="195"/>
      <c r="H29" s="180"/>
      <c r="I29" s="194"/>
      <c r="J29" s="180"/>
      <c r="K29" s="196"/>
      <c r="L29" s="180"/>
      <c r="M29" s="194"/>
      <c r="N29" s="180"/>
      <c r="O29"/>
    </row>
    <row r="30" spans="1:29" hidden="1">
      <c r="A30" s="221" t="s">
        <v>265</v>
      </c>
      <c r="B30" s="198"/>
      <c r="C30"/>
      <c r="D30" s="180"/>
      <c r="E30" s="218">
        <f>SUM(E24:E28)</f>
        <v>4500</v>
      </c>
      <c r="F30" s="200"/>
      <c r="G30" s="220">
        <f>SUM(G24:G28)</f>
        <v>0</v>
      </c>
      <c r="H30" s="200"/>
      <c r="I30" s="218">
        <f>SUM(I24:I28)</f>
        <v>4500</v>
      </c>
      <c r="J30" s="180"/>
      <c r="K30" s="219">
        <f>SUM(K24:K28)</f>
        <v>4500</v>
      </c>
      <c r="L30" s="180"/>
      <c r="M30" s="218">
        <f>SUM(M23:M28)</f>
        <v>0</v>
      </c>
      <c r="N30" s="180"/>
      <c r="O30"/>
    </row>
    <row r="31" spans="1:29" s="33" customFormat="1" hidden="1">
      <c r="A31" s="212"/>
      <c r="B31" s="212"/>
      <c r="C31"/>
      <c r="D31" s="213"/>
      <c r="E31" s="200"/>
      <c r="F31" s="200"/>
      <c r="G31" s="200"/>
      <c r="H31" s="200"/>
      <c r="I31" s="200"/>
      <c r="J31" s="213"/>
      <c r="K31" s="200"/>
      <c r="L31" s="213"/>
      <c r="M31" s="200"/>
      <c r="N31" s="213"/>
      <c r="O31"/>
    </row>
    <row r="32" spans="1:29" s="33" customFormat="1" ht="13.5" thickBot="1">
      <c r="A32" s="212"/>
      <c r="B32" s="212"/>
      <c r="C32" s="212"/>
      <c r="D32" s="213"/>
      <c r="E32" s="200"/>
      <c r="F32" s="200"/>
      <c r="G32" s="200"/>
      <c r="H32" s="200"/>
      <c r="I32" s="200"/>
      <c r="J32" s="213"/>
      <c r="K32" s="200"/>
      <c r="L32" s="213"/>
      <c r="M32" s="200"/>
      <c r="N32" s="213"/>
      <c r="O32" s="214"/>
    </row>
    <row r="33" spans="1:29" ht="16.5" thickBot="1">
      <c r="A33" s="133" t="s">
        <v>200</v>
      </c>
      <c r="G33" s="163" t="s">
        <v>122</v>
      </c>
      <c r="H33" s="164"/>
      <c r="I33" s="164"/>
      <c r="J33" s="164"/>
      <c r="K33" s="165"/>
      <c r="L33" s="172"/>
      <c r="M33" s="172"/>
    </row>
    <row r="34" spans="1:29">
      <c r="A34" s="189"/>
      <c r="E34" s="27" t="s">
        <v>43</v>
      </c>
      <c r="G34" s="86" t="s">
        <v>44</v>
      </c>
      <c r="H34" s="179"/>
      <c r="I34" s="87" t="s">
        <v>51</v>
      </c>
      <c r="J34" s="179"/>
      <c r="K34" s="88" t="s">
        <v>128</v>
      </c>
    </row>
    <row r="35" spans="1:29">
      <c r="A35" s="29" t="s">
        <v>48</v>
      </c>
      <c r="E35" s="149">
        <v>36433</v>
      </c>
      <c r="G35" s="89" t="str">
        <f>O4</f>
        <v xml:space="preserve"> As of 10/09/00</v>
      </c>
      <c r="H35" s="180"/>
      <c r="I35" s="53" t="str">
        <f>O4</f>
        <v xml:space="preserve"> As of 10/09/00</v>
      </c>
      <c r="J35" s="180"/>
      <c r="K35" s="90" t="str">
        <f>O4</f>
        <v xml:space="preserve"> As of 10/09/00</v>
      </c>
    </row>
    <row r="36" spans="1:29">
      <c r="A36" s="178"/>
      <c r="E36" s="178"/>
      <c r="G36" s="181"/>
      <c r="H36" s="180"/>
      <c r="I36" s="178"/>
      <c r="J36" s="180"/>
      <c r="K36" s="182"/>
    </row>
    <row r="37" spans="1:29">
      <c r="A37" s="183" t="s">
        <v>196</v>
      </c>
      <c r="E37" s="185"/>
      <c r="F37" s="184"/>
      <c r="G37" s="186">
        <f>Wilton!BN256/1000</f>
        <v>314.52427</v>
      </c>
      <c r="H37" s="180"/>
      <c r="I37" s="185"/>
      <c r="J37" s="180"/>
      <c r="K37" s="187">
        <f>+I37+G37</f>
        <v>314.52427</v>
      </c>
    </row>
    <row r="38" spans="1:29">
      <c r="A38" s="189"/>
      <c r="E38" s="190"/>
      <c r="F38" s="184"/>
      <c r="G38" s="191"/>
      <c r="H38" s="180"/>
      <c r="I38" s="190"/>
      <c r="J38" s="180"/>
      <c r="K38" s="192"/>
    </row>
    <row r="39" spans="1:29">
      <c r="A39" s="183" t="s">
        <v>289</v>
      </c>
      <c r="E39" s="185">
        <v>1513</v>
      </c>
      <c r="F39" s="184"/>
      <c r="G39" s="186">
        <f>'Calvert City'!BN205/1000</f>
        <v>1407.0854433333327</v>
      </c>
      <c r="H39" s="180"/>
      <c r="I39" s="185">
        <f>E39-G39</f>
        <v>105.91455666666729</v>
      </c>
      <c r="J39" s="180"/>
      <c r="K39" s="187">
        <f>+I39+G39</f>
        <v>1513</v>
      </c>
    </row>
    <row r="40" spans="1:29">
      <c r="A40" s="189"/>
      <c r="E40" s="190"/>
      <c r="F40" s="184"/>
      <c r="G40" s="191"/>
      <c r="H40" s="180"/>
      <c r="I40" s="190"/>
      <c r="J40" s="180"/>
      <c r="K40" s="192"/>
    </row>
    <row r="41" spans="1:29">
      <c r="A41" s="183" t="s">
        <v>199</v>
      </c>
      <c r="E41" s="185"/>
      <c r="F41" s="184"/>
      <c r="G41" s="186">
        <v>15</v>
      </c>
      <c r="H41" s="180"/>
      <c r="I41" s="185"/>
      <c r="J41" s="180"/>
      <c r="K41" s="187">
        <f>+I41+G41</f>
        <v>15</v>
      </c>
      <c r="AC41" t="s">
        <v>154</v>
      </c>
    </row>
    <row r="42" spans="1:29" ht="8.25" customHeight="1">
      <c r="A42" s="189"/>
      <c r="B42" s="180"/>
      <c r="D42" s="180"/>
      <c r="E42" s="194"/>
      <c r="F42" s="180"/>
      <c r="G42" s="195"/>
      <c r="H42" s="180"/>
      <c r="I42" s="194"/>
      <c r="J42" s="180"/>
      <c r="K42" s="196"/>
      <c r="L42" s="180"/>
    </row>
    <row r="43" spans="1:29" ht="13.5" thickBot="1">
      <c r="A43" s="204" t="s">
        <v>49</v>
      </c>
      <c r="B43" s="198"/>
      <c r="D43" s="180"/>
      <c r="E43" s="205">
        <f>SUM(E37:E41)</f>
        <v>1513</v>
      </c>
      <c r="F43" s="200"/>
      <c r="G43" s="206">
        <f>SUM(G37:G41)</f>
        <v>1736.6097133333328</v>
      </c>
      <c r="H43" s="207"/>
      <c r="I43" s="208">
        <f>SUM(I37:I41)</f>
        <v>105.91455666666729</v>
      </c>
      <c r="J43" s="209"/>
      <c r="K43" s="210">
        <f>SUM(K37:K41)</f>
        <v>1842.5242699999999</v>
      </c>
      <c r="L43" s="180"/>
    </row>
    <row r="44" spans="1:29" ht="13.5" thickBot="1"/>
    <row r="45" spans="1:29" ht="13.5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7"/>
      <c r="M45" s="217"/>
      <c r="N45" s="217"/>
      <c r="O45" s="217"/>
      <c r="P45" s="161"/>
      <c r="Q45" s="162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0" t="s">
        <v>204</v>
      </c>
      <c r="B47"/>
      <c r="C47" s="152" t="s">
        <v>206</v>
      </c>
      <c r="D47" s="33"/>
      <c r="E47" s="151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0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9" customFormat="1" hidden="1">
      <c r="O51" s="228"/>
    </row>
    <row r="52" spans="1:15" hidden="1"/>
    <row r="53" spans="1:15" ht="13.5" hidden="1" thickBot="1"/>
    <row r="54" spans="1:15" ht="13.5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61"/>
      <c r="M54" s="161"/>
      <c r="N54" s="161"/>
      <c r="O54" s="162"/>
    </row>
    <row r="56" spans="1:15">
      <c r="J56" s="215"/>
    </row>
    <row r="57" spans="1:15">
      <c r="A57" s="223" t="s">
        <v>254</v>
      </c>
      <c r="C57" s="224">
        <f>Wilton!BV162/1000</f>
        <v>-207.05902000000003</v>
      </c>
      <c r="E57" s="215" t="s">
        <v>275</v>
      </c>
      <c r="F57" s="215"/>
      <c r="G57" s="215"/>
      <c r="H57" s="215"/>
      <c r="I57" s="215"/>
      <c r="J57" s="215"/>
    </row>
    <row r="58" spans="1:15">
      <c r="A58" s="180"/>
      <c r="C58" s="224">
        <f>Wilton!BV89/1000</f>
        <v>-24287.358</v>
      </c>
      <c r="E58" s="173" t="s">
        <v>326</v>
      </c>
    </row>
    <row r="59" spans="1:15">
      <c r="A59" s="180"/>
      <c r="C59" s="224">
        <f>Wilton!BV12/1000</f>
        <v>-1832.0004399999975</v>
      </c>
      <c r="E59" s="173" t="s">
        <v>318</v>
      </c>
    </row>
    <row r="60" spans="1:15">
      <c r="A60" s="180"/>
      <c r="C60" s="224">
        <f>Wilton!BV15/1000</f>
        <v>-464.69799999999998</v>
      </c>
      <c r="E60" s="173" t="s">
        <v>321</v>
      </c>
    </row>
    <row r="61" spans="1:15">
      <c r="A61" s="180"/>
      <c r="C61" s="224">
        <f>Wilton!BV144/1000</f>
        <v>-7400</v>
      </c>
      <c r="E61" s="173" t="s">
        <v>319</v>
      </c>
    </row>
    <row r="62" spans="1:15">
      <c r="A62" s="180"/>
      <c r="C62" s="224">
        <f>(Wilton!BV132+Wilton!BV99+Wilton!BV108)/1000</f>
        <v>-206.83461333333341</v>
      </c>
      <c r="E62" s="173" t="s">
        <v>335</v>
      </c>
    </row>
    <row r="63" spans="1:15">
      <c r="A63" s="180"/>
      <c r="C63" s="224">
        <f>Wilton!BV142/1000</f>
        <v>-200</v>
      </c>
      <c r="E63" s="173" t="s">
        <v>375</v>
      </c>
    </row>
    <row r="64" spans="1:15">
      <c r="A64" s="180"/>
      <c r="C64" s="224">
        <f>Wilton!BV172/1000</f>
        <v>1785.2035684626587</v>
      </c>
      <c r="E64" s="173" t="s">
        <v>374</v>
      </c>
    </row>
    <row r="65" spans="1:12">
      <c r="A65" s="180"/>
      <c r="C65" s="224">
        <f>Wilton!BV154/1000</f>
        <v>90.305000000000007</v>
      </c>
      <c r="E65" s="173" t="s">
        <v>419</v>
      </c>
    </row>
    <row r="66" spans="1:12">
      <c r="A66" s="180"/>
      <c r="C66" s="224">
        <f>(Wilton!BV157+Wilton!BV158+Wilton!BV159+Wilton!BV160)/1000</f>
        <v>-826.77199999999993</v>
      </c>
      <c r="E66" s="173" t="s">
        <v>376</v>
      </c>
    </row>
    <row r="67" spans="1:12">
      <c r="A67" s="180"/>
      <c r="C67" s="224">
        <f>-Wilton!BT161/1000</f>
        <v>-191.01289000000003</v>
      </c>
      <c r="E67" s="173" t="s">
        <v>332</v>
      </c>
    </row>
    <row r="68" spans="1:12">
      <c r="A68" s="180"/>
      <c r="C68" s="224">
        <f>Wilton!BV140/1000</f>
        <v>-517.16789000000006</v>
      </c>
      <c r="E68" s="173" t="s">
        <v>435</v>
      </c>
    </row>
    <row r="69" spans="1:12">
      <c r="A69" s="180"/>
      <c r="C69" s="224">
        <f>Wilton!BV148/1000</f>
        <v>-353.46850000000001</v>
      </c>
      <c r="E69" s="173" t="s">
        <v>410</v>
      </c>
    </row>
    <row r="70" spans="1:12">
      <c r="A70" s="180"/>
      <c r="C70" s="224">
        <f>Wilton!BV170/1000</f>
        <v>-368.28674000000001</v>
      </c>
      <c r="E70" s="173" t="s">
        <v>340</v>
      </c>
    </row>
    <row r="71" spans="1:12">
      <c r="A71" s="180"/>
      <c r="C71" s="247">
        <v>4408.0720000000001</v>
      </c>
      <c r="E71" s="180" t="s">
        <v>320</v>
      </c>
      <c r="F71" s="180"/>
      <c r="G71" s="180"/>
      <c r="H71" s="180"/>
      <c r="I71" s="180"/>
    </row>
    <row r="72" spans="1:12">
      <c r="A72" s="180"/>
      <c r="C72" s="247">
        <f>Wilton!BV152/1000</f>
        <v>-121.30825</v>
      </c>
      <c r="E72" s="180" t="s">
        <v>329</v>
      </c>
      <c r="F72" s="180"/>
      <c r="G72" s="180"/>
      <c r="H72" s="180"/>
      <c r="I72" s="180"/>
    </row>
    <row r="73" spans="1:12">
      <c r="A73" s="180"/>
      <c r="C73" s="243">
        <f>Wilton!BV121/1000</f>
        <v>-396.66321000000005</v>
      </c>
      <c r="D73" s="244"/>
      <c r="E73" s="244" t="s">
        <v>334</v>
      </c>
      <c r="F73" s="244"/>
      <c r="G73" s="244"/>
      <c r="H73" s="244"/>
      <c r="I73" s="244"/>
      <c r="J73" s="244"/>
      <c r="K73" s="244"/>
    </row>
    <row r="74" spans="1:12">
      <c r="A74" s="180"/>
      <c r="C74" s="272">
        <f>SUM(C57:C73)</f>
        <v>-31089.048984870667</v>
      </c>
      <c r="D74" s="273"/>
      <c r="E74" s="274" t="s">
        <v>328</v>
      </c>
      <c r="F74" s="273"/>
      <c r="G74" s="273"/>
      <c r="H74" s="273"/>
      <c r="I74" s="273"/>
      <c r="J74" s="273"/>
      <c r="K74" s="273"/>
      <c r="L74" s="180"/>
    </row>
    <row r="75" spans="1:12">
      <c r="A75" s="180"/>
      <c r="C75" s="255"/>
      <c r="D75" s="180"/>
      <c r="E75" s="254"/>
      <c r="F75" s="180"/>
      <c r="G75" s="180"/>
      <c r="H75" s="180"/>
      <c r="I75" s="180"/>
      <c r="J75" s="180"/>
      <c r="K75" s="180"/>
      <c r="L75" s="180"/>
    </row>
    <row r="76" spans="1:12">
      <c r="A76" s="180"/>
      <c r="C76" s="256"/>
    </row>
    <row r="77" spans="1:12">
      <c r="A77" s="180"/>
      <c r="C77" s="224"/>
    </row>
    <row r="78" spans="1:12">
      <c r="A78" s="223" t="s">
        <v>290</v>
      </c>
      <c r="C78" s="224">
        <f>Gleason!BX202/1000</f>
        <v>-32.203279999999999</v>
      </c>
      <c r="E78" s="215" t="s">
        <v>275</v>
      </c>
      <c r="F78" s="215"/>
      <c r="G78" s="215"/>
      <c r="H78" s="215"/>
      <c r="I78" s="215"/>
    </row>
    <row r="79" spans="1:12">
      <c r="A79" s="223"/>
      <c r="C79" s="247">
        <f>Gleason!BX97/1000</f>
        <v>-5243.6</v>
      </c>
      <c r="D79" s="180"/>
      <c r="E79" s="173" t="s">
        <v>326</v>
      </c>
      <c r="F79" s="213"/>
      <c r="G79" s="213"/>
      <c r="H79" s="213"/>
      <c r="I79" s="213"/>
      <c r="J79" s="180"/>
      <c r="K79" s="180"/>
    </row>
    <row r="80" spans="1:12">
      <c r="A80" s="223"/>
      <c r="C80" s="247">
        <f>Gleason!BX16/1000</f>
        <v>-3392.7400499999972</v>
      </c>
      <c r="E80" s="173" t="s">
        <v>318</v>
      </c>
      <c r="F80" s="213"/>
      <c r="G80" s="213"/>
      <c r="H80" s="213"/>
      <c r="I80" s="213"/>
      <c r="J80" s="180"/>
      <c r="K80" s="180"/>
    </row>
    <row r="81" spans="1:15">
      <c r="A81" s="223"/>
      <c r="C81" s="247">
        <f>Gleason!BX35/1000</f>
        <v>-579.65</v>
      </c>
      <c r="E81" s="173" t="s">
        <v>361</v>
      </c>
      <c r="F81" s="213"/>
      <c r="G81" s="213"/>
      <c r="H81" s="213"/>
      <c r="I81" s="213"/>
      <c r="J81" s="180"/>
      <c r="K81" s="180"/>
    </row>
    <row r="82" spans="1:15">
      <c r="A82" s="223"/>
      <c r="C82" s="247">
        <f>Gleason!BX182/1000</f>
        <v>-965.97982999999999</v>
      </c>
      <c r="E82" s="173" t="s">
        <v>336</v>
      </c>
      <c r="F82" s="213"/>
      <c r="G82" s="213"/>
      <c r="H82" s="213"/>
      <c r="I82" s="213"/>
      <c r="J82" s="180"/>
      <c r="K82" s="180"/>
    </row>
    <row r="83" spans="1:15">
      <c r="A83" s="223"/>
      <c r="C83" s="247">
        <f>Gleason!BX201/1000</f>
        <v>-191.01290000000003</v>
      </c>
      <c r="E83" s="173" t="s">
        <v>332</v>
      </c>
      <c r="F83" s="213"/>
      <c r="G83" s="213"/>
      <c r="H83" s="213"/>
      <c r="I83" s="213"/>
      <c r="J83" s="180"/>
      <c r="K83" s="180"/>
    </row>
    <row r="84" spans="1:15">
      <c r="A84" s="223"/>
      <c r="C84" s="247">
        <f>Gleason!BX211/1000</f>
        <v>681.58784633251469</v>
      </c>
      <c r="E84" s="173" t="s">
        <v>374</v>
      </c>
      <c r="F84" s="213"/>
      <c r="G84" s="213"/>
      <c r="H84" s="213"/>
      <c r="I84" s="213"/>
      <c r="J84" s="180"/>
      <c r="K84" s="180"/>
    </row>
    <row r="85" spans="1:15">
      <c r="A85" s="223"/>
      <c r="C85" s="247">
        <f>Gleason!BX209/1000</f>
        <v>-252.20846000000003</v>
      </c>
      <c r="E85" s="173" t="s">
        <v>341</v>
      </c>
      <c r="F85" s="213"/>
      <c r="G85" s="213"/>
      <c r="H85" s="213"/>
      <c r="I85" s="213"/>
      <c r="J85" s="180"/>
      <c r="K85" s="180"/>
    </row>
    <row r="86" spans="1:15">
      <c r="A86" s="223"/>
      <c r="C86" s="247">
        <f>Gleason!BX149/1000</f>
        <v>-168.14</v>
      </c>
      <c r="E86" s="173" t="s">
        <v>362</v>
      </c>
      <c r="F86" s="213"/>
      <c r="G86" s="213"/>
      <c r="H86" s="213"/>
      <c r="I86" s="213"/>
      <c r="J86" s="180"/>
      <c r="K86" s="180"/>
    </row>
    <row r="87" spans="1:15">
      <c r="A87" s="223"/>
      <c r="C87" s="247">
        <f>Gleason!BX159/1000</f>
        <v>-705.48347000000001</v>
      </c>
      <c r="E87" s="173" t="s">
        <v>363</v>
      </c>
      <c r="F87" s="213"/>
      <c r="G87" s="213"/>
      <c r="H87" s="213"/>
      <c r="I87" s="213"/>
      <c r="J87" s="180"/>
      <c r="K87" s="180"/>
    </row>
    <row r="88" spans="1:15">
      <c r="A88" s="223"/>
      <c r="C88" s="247">
        <f>Gleason!BX190/1000</f>
        <v>-597.87991999999997</v>
      </c>
      <c r="E88" s="173" t="s">
        <v>412</v>
      </c>
      <c r="F88" s="213"/>
      <c r="G88" s="213"/>
      <c r="H88" s="213"/>
      <c r="I88" s="213"/>
      <c r="J88" s="180"/>
      <c r="K88" s="180"/>
    </row>
    <row r="89" spans="1:15">
      <c r="A89" s="223"/>
      <c r="C89" s="247">
        <f>Gleason!BX136/1000</f>
        <v>-112.3207</v>
      </c>
      <c r="E89" s="173" t="s">
        <v>411</v>
      </c>
      <c r="F89" s="213"/>
      <c r="G89" s="213"/>
      <c r="H89" s="213"/>
      <c r="I89" s="213"/>
      <c r="J89" s="180"/>
      <c r="K89" s="180"/>
    </row>
    <row r="90" spans="1:15">
      <c r="A90" s="223"/>
      <c r="C90" s="247">
        <f>Gleason!BX194/1000</f>
        <v>87.884649999999993</v>
      </c>
      <c r="E90" s="173" t="s">
        <v>419</v>
      </c>
      <c r="F90" s="213"/>
      <c r="G90" s="213"/>
      <c r="H90" s="213"/>
      <c r="I90" s="213"/>
      <c r="J90" s="180"/>
      <c r="K90" s="180"/>
    </row>
    <row r="91" spans="1:15">
      <c r="A91" s="223"/>
      <c r="C91" s="247">
        <f>Gleason!BX200/1000</f>
        <v>-616.63298999999995</v>
      </c>
      <c r="E91" s="173" t="s">
        <v>376</v>
      </c>
      <c r="F91" s="213"/>
      <c r="G91" s="213"/>
      <c r="H91" s="213"/>
      <c r="I91" s="213"/>
      <c r="J91" s="180"/>
      <c r="K91" s="180"/>
    </row>
    <row r="92" spans="1:15">
      <c r="A92" s="223"/>
      <c r="C92" s="247">
        <f>Gleason!BX215/1000</f>
        <v>5423.4979999999996</v>
      </c>
      <c r="D92" s="180"/>
      <c r="E92" s="180" t="s">
        <v>320</v>
      </c>
      <c r="F92" s="213"/>
      <c r="G92" s="213"/>
      <c r="H92" s="213"/>
      <c r="I92" s="213"/>
      <c r="J92" s="180"/>
      <c r="K92" s="180"/>
    </row>
    <row r="93" spans="1:15">
      <c r="A93" s="223"/>
      <c r="C93" s="247">
        <f>Gleason!BX134/1000</f>
        <v>-174.60016000000005</v>
      </c>
      <c r="D93" s="180"/>
      <c r="E93" s="173" t="s">
        <v>445</v>
      </c>
      <c r="F93" s="213"/>
      <c r="G93" s="213"/>
      <c r="H93" s="213"/>
      <c r="I93" s="213"/>
      <c r="J93" s="180"/>
      <c r="K93" s="180"/>
    </row>
    <row r="94" spans="1:15" s="30" customFormat="1" ht="12" customHeight="1">
      <c r="A94" s="223"/>
      <c r="B94" s="180"/>
      <c r="C94" s="243">
        <v>-21</v>
      </c>
      <c r="D94" s="244"/>
      <c r="E94" s="249" t="s">
        <v>121</v>
      </c>
      <c r="F94" s="246"/>
      <c r="G94" s="246"/>
      <c r="H94" s="246"/>
      <c r="I94" s="246"/>
      <c r="J94" s="244"/>
      <c r="K94" s="244"/>
      <c r="L94" s="180"/>
      <c r="M94" s="180"/>
      <c r="N94" s="180"/>
      <c r="O94" s="180"/>
    </row>
    <row r="95" spans="1:15">
      <c r="A95" s="223"/>
      <c r="C95" s="272">
        <f>SUM(C78:C94)</f>
        <v>-6860.4812636674797</v>
      </c>
      <c r="D95" s="273"/>
      <c r="E95" s="278" t="s">
        <v>325</v>
      </c>
      <c r="F95" s="279"/>
      <c r="G95" s="279"/>
      <c r="H95" s="279"/>
      <c r="I95" s="279"/>
      <c r="J95" s="273"/>
      <c r="K95" s="273"/>
    </row>
    <row r="96" spans="1:15">
      <c r="A96" s="180"/>
      <c r="C96" s="224"/>
      <c r="E96" s="215"/>
      <c r="F96" s="215"/>
      <c r="G96" s="215"/>
      <c r="H96" s="215"/>
      <c r="I96" s="215"/>
    </row>
    <row r="97" spans="1:14">
      <c r="A97" s="180"/>
      <c r="C97" s="224"/>
      <c r="E97" s="215"/>
      <c r="F97" s="215"/>
      <c r="G97" s="215"/>
      <c r="H97" s="215"/>
      <c r="I97" s="215"/>
    </row>
    <row r="98" spans="1:14">
      <c r="A98" s="223" t="s">
        <v>194</v>
      </c>
      <c r="C98" s="224">
        <f>Wheatland!BV159/1000</f>
        <v>-168.35607999999999</v>
      </c>
      <c r="E98" s="215" t="s">
        <v>275</v>
      </c>
    </row>
    <row r="99" spans="1:14">
      <c r="C99" s="224">
        <f>Wheatland!BV91/1000</f>
        <v>-5550.8</v>
      </c>
      <c r="E99" s="173" t="s">
        <v>327</v>
      </c>
    </row>
    <row r="100" spans="1:14">
      <c r="A100" s="227"/>
      <c r="B100" s="228"/>
      <c r="C100" s="224">
        <f>Wheatland!BV12/1000</f>
        <v>-966.48900000000003</v>
      </c>
      <c r="D100" s="228"/>
      <c r="E100" s="173" t="s">
        <v>318</v>
      </c>
      <c r="F100" s="228"/>
      <c r="G100" s="228"/>
      <c r="H100" s="228"/>
      <c r="I100" s="228"/>
      <c r="J100" s="228"/>
      <c r="K100" s="228"/>
      <c r="L100" s="228"/>
      <c r="M100" s="228"/>
      <c r="N100" s="228"/>
    </row>
    <row r="101" spans="1:14">
      <c r="C101" s="224">
        <f>Wheatland!BV32/1000</f>
        <v>-428.48060000000055</v>
      </c>
      <c r="E101" s="173" t="s">
        <v>321</v>
      </c>
    </row>
    <row r="102" spans="1:14">
      <c r="C102" s="224">
        <f>Wheatland!BV130/1000</f>
        <v>-1166.01557</v>
      </c>
      <c r="E102" s="173" t="s">
        <v>324</v>
      </c>
    </row>
    <row r="103" spans="1:14">
      <c r="C103" s="224">
        <f>Wheatland!BV135/1000</f>
        <v>-22.616279999999911</v>
      </c>
      <c r="E103" s="173" t="s">
        <v>434</v>
      </c>
    </row>
    <row r="104" spans="1:14">
      <c r="C104" s="224">
        <f>Wheatland!BV157/1000</f>
        <v>-334.15917999999994</v>
      </c>
      <c r="E104" s="173" t="s">
        <v>376</v>
      </c>
    </row>
    <row r="105" spans="1:14">
      <c r="C105" s="224">
        <f>Wheatland!BV158/1000</f>
        <v>-195.04080999999999</v>
      </c>
      <c r="E105" s="173" t="s">
        <v>342</v>
      </c>
    </row>
    <row r="106" spans="1:14">
      <c r="C106" s="224">
        <f>Wheatland!BV151/1000</f>
        <v>84.56859</v>
      </c>
      <c r="E106" s="173" t="s">
        <v>419</v>
      </c>
    </row>
    <row r="107" spans="1:14">
      <c r="C107" s="224">
        <f>Wheatland!BV167/1000</f>
        <v>-301.67212999999998</v>
      </c>
      <c r="E107" s="173" t="s">
        <v>341</v>
      </c>
    </row>
    <row r="108" spans="1:14">
      <c r="C108" s="224">
        <f>Wheatland!BV139/1000</f>
        <v>4175.4002099999998</v>
      </c>
      <c r="E108" s="173" t="s">
        <v>447</v>
      </c>
    </row>
    <row r="109" spans="1:14">
      <c r="C109" s="224">
        <f>Wheatland!BV169/1000</f>
        <v>1031.760929704817</v>
      </c>
      <c r="E109" s="173" t="s">
        <v>367</v>
      </c>
    </row>
    <row r="110" spans="1:14">
      <c r="C110" s="224">
        <f>Wheatland!BV115/1000</f>
        <v>-178.32413</v>
      </c>
      <c r="E110" s="180" t="s">
        <v>437</v>
      </c>
    </row>
    <row r="111" spans="1:14">
      <c r="A111" s="227"/>
      <c r="B111" s="228"/>
      <c r="C111" s="247">
        <v>3317</v>
      </c>
      <c r="D111" s="254"/>
      <c r="E111" s="180" t="s">
        <v>320</v>
      </c>
      <c r="F111" s="254"/>
      <c r="G111" s="254"/>
      <c r="H111" s="254"/>
      <c r="I111" s="254"/>
      <c r="J111" s="254"/>
      <c r="K111" s="254"/>
      <c r="L111" s="228"/>
      <c r="M111" s="228"/>
    </row>
    <row r="112" spans="1:14" ht="14.25" customHeight="1">
      <c r="C112" s="280">
        <f>SUM(C98:C111)</f>
        <v>-703.22405029518495</v>
      </c>
      <c r="D112" s="273"/>
      <c r="E112" s="274" t="s">
        <v>328</v>
      </c>
      <c r="F112" s="273"/>
      <c r="G112" s="273"/>
      <c r="H112" s="273"/>
      <c r="I112" s="273"/>
      <c r="J112" s="273"/>
      <c r="K112" s="273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5"/>
    </row>
    <row r="118" spans="1:15">
      <c r="A118" s="216" t="str">
        <f ca="1">CELL("FILENAME")</f>
        <v>O:\Fin_Ops\Engysvc\PowerPlants\2000 Plants\Weekly Report\[2000 Weekly Report - 101000.xls]Summary</v>
      </c>
      <c r="B118" s="175"/>
      <c r="C118" s="175"/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316"/>
  <sheetViews>
    <sheetView zoomScale="80" zoomScaleNormal="66" workbookViewId="0">
      <pane xSplit="19" ySplit="8" topLeftCell="T175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308" sqref="B308"/>
    </sheetView>
  </sheetViews>
  <sheetFormatPr defaultRowHeight="12.75"/>
  <cols>
    <col min="1" max="1" width="4.7109375" style="11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8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hidden="1" customWidth="1"/>
    <col min="38" max="38" width="19.42578125" style="6" hidden="1" customWidth="1"/>
    <col min="39" max="39" width="0.85546875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hidden="1" customWidth="1"/>
    <col min="58" max="58" width="17.85546875" style="6" hidden="1" customWidth="1"/>
    <col min="59" max="59" width="0.85546875" hidden="1" customWidth="1"/>
    <col min="60" max="60" width="17.85546875" style="6" hidden="1" customWidth="1"/>
    <col min="61" max="61" width="0.85546875" customWidth="1"/>
    <col min="62" max="62" width="17.28515625" style="65" hidden="1" customWidth="1"/>
    <col min="63" max="63" width="0.85546875" hidden="1" customWidth="1"/>
    <col min="64" max="64" width="17.28515625" style="65" hidden="1" customWidth="1"/>
    <col min="65" max="65" width="0.85546875" customWidth="1"/>
    <col min="66" max="66" width="20.85546875" style="6" customWidth="1"/>
    <col min="67" max="67" width="1.5703125" customWidth="1"/>
    <col min="68" max="68" width="19.140625" style="65" customWidth="1"/>
    <col min="69" max="69" width="0.85546875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22.2851562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281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81"/>
      <c r="BM1"/>
      <c r="BN1" s="78"/>
      <c r="BO1"/>
      <c r="BP1" s="81"/>
      <c r="BQ1"/>
      <c r="BR1" s="78"/>
      <c r="BS1" s="78"/>
      <c r="BT1" s="78"/>
      <c r="BU1" s="78"/>
      <c r="BV1" s="68"/>
    </row>
    <row r="2" spans="1:76" s="18" customFormat="1" ht="15.75">
      <c r="A2" s="281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81"/>
      <c r="BM2"/>
      <c r="BN2" s="68"/>
      <c r="BO2"/>
      <c r="BP2" s="81"/>
      <c r="BQ2"/>
      <c r="BR2" s="68"/>
      <c r="BS2" s="68"/>
      <c r="BT2" s="68"/>
      <c r="BU2" s="68"/>
      <c r="BV2" s="106" t="str">
        <f ca="1">CELL("filename")</f>
        <v>O:\Fin_Ops\Engysvc\PowerPlants\2000 Plants\Weekly Report\[2000 Weekly Report - 101000.xls]Summary</v>
      </c>
    </row>
    <row r="3" spans="1:76" s="18" customFormat="1" ht="15.75">
      <c r="A3" s="282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81"/>
      <c r="BM3"/>
      <c r="BN3" s="23"/>
      <c r="BO3"/>
      <c r="BP3" s="81"/>
      <c r="BQ3"/>
      <c r="BR3" s="23">
        <f ca="1">NOW()</f>
        <v>36808.563191203706</v>
      </c>
      <c r="BT3" s="23"/>
      <c r="BV3" s="78" t="str">
        <f>Summary!A5</f>
        <v>Revision # 65</v>
      </c>
      <c r="BX3" s="18" t="str">
        <f>Summary!A5</f>
        <v>Revision # 65</v>
      </c>
    </row>
    <row r="4" spans="1:76" s="18" customFormat="1" ht="15.75">
      <c r="A4" s="283"/>
      <c r="B4" s="19">
        <f>Summary!C11</f>
        <v>608</v>
      </c>
      <c r="C4"/>
      <c r="G4" s="67"/>
      <c r="J4" s="67"/>
      <c r="L4" s="74"/>
      <c r="N4" s="69"/>
      <c r="O4" s="128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82" t="s">
        <v>122</v>
      </c>
      <c r="BM4"/>
      <c r="BN4" s="71"/>
      <c r="BO4"/>
      <c r="BP4" s="70" t="s">
        <v>129</v>
      </c>
      <c r="BQ4"/>
      <c r="BR4" s="71"/>
      <c r="BT4" s="71"/>
      <c r="BV4" s="71"/>
    </row>
    <row r="5" spans="1:76" s="18" customFormat="1" ht="15.75">
      <c r="A5" s="284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82" t="s">
        <v>123</v>
      </c>
      <c r="BM5"/>
      <c r="BN5" s="71" t="s">
        <v>44</v>
      </c>
      <c r="BO5"/>
      <c r="BP5" s="70" t="s">
        <v>130</v>
      </c>
      <c r="BQ5"/>
      <c r="BR5" s="71" t="s">
        <v>42</v>
      </c>
      <c r="BT5" s="71" t="s">
        <v>144</v>
      </c>
      <c r="BV5" s="71" t="s">
        <v>316</v>
      </c>
    </row>
    <row r="6" spans="1:76" s="18" customFormat="1" ht="15.75">
      <c r="A6" s="284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83">
        <v>36830</v>
      </c>
      <c r="BM6"/>
      <c r="BN6" s="75" t="s">
        <v>126</v>
      </c>
      <c r="BO6"/>
      <c r="BP6" s="73" t="s">
        <v>131</v>
      </c>
      <c r="BQ6"/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284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/>
      <c r="AJ7" s="82" t="str">
        <f>+Summary!$O$4</f>
        <v xml:space="preserve"> As of 10/09/00</v>
      </c>
      <c r="AK7"/>
      <c r="AL7" s="82" t="str">
        <f>+Summary!$O$4</f>
        <v xml:space="preserve"> As of 10/09/00</v>
      </c>
      <c r="AM7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82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/>
      <c r="BA7" s="82"/>
      <c r="BB7" s="82"/>
      <c r="BC7" s="82"/>
      <c r="BD7" s="82" t="str">
        <f>+Summary!$O$4</f>
        <v xml:space="preserve"> As of 10/09/00</v>
      </c>
      <c r="BE7"/>
      <c r="BF7" s="82" t="str">
        <f>+Summary!$O$4</f>
        <v xml:space="preserve"> As of 10/09/00</v>
      </c>
      <c r="BG7"/>
      <c r="BH7" s="82" t="str">
        <f>+Summary!$O$4</f>
        <v xml:space="preserve"> As of 10/09/00</v>
      </c>
      <c r="BI7"/>
      <c r="BJ7" s="82" t="str">
        <f>+Summary!$O$4</f>
        <v xml:space="preserve"> As of 10/09/00</v>
      </c>
      <c r="BK7"/>
      <c r="BL7" s="82" t="str">
        <f>+Summary!$O$4</f>
        <v xml:space="preserve"> As of 10/09/00</v>
      </c>
      <c r="BM7"/>
      <c r="BN7" s="71" t="str">
        <f>Summary!O4</f>
        <v xml:space="preserve"> As of 10/09/00</v>
      </c>
      <c r="BO7"/>
      <c r="BP7" s="64" t="str">
        <f>+Summary!$O$4</f>
        <v xml:space="preserve"> As of 10/09/00</v>
      </c>
      <c r="BQ7"/>
      <c r="BR7" s="71"/>
      <c r="BT7" s="71"/>
      <c r="BV7" s="71"/>
    </row>
    <row r="8" spans="1:76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L8" s="22"/>
      <c r="BP8" s="22"/>
      <c r="BW8" s="6"/>
    </row>
    <row r="9" spans="1:76">
      <c r="A9" s="100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v>0</v>
      </c>
      <c r="BN9" s="6">
        <f>SUM(T9:BM9)</f>
        <v>142064940.44</v>
      </c>
      <c r="BP9" s="6">
        <f>142064940-R9-192000</f>
        <v>1832000</v>
      </c>
      <c r="BR9" s="6">
        <f>IF(+R9-BN9+BP9&gt;0,R9-BN9+BP9,0)</f>
        <v>0</v>
      </c>
      <c r="BT9" s="6">
        <f>+BN9+BR9</f>
        <v>142064940.44</v>
      </c>
      <c r="BV9" s="6">
        <f>+R9-BT9</f>
        <v>-2024000.4399999976</v>
      </c>
      <c r="BW9" s="6"/>
    </row>
    <row r="10" spans="1:76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N10" s="6">
        <f>SUM(T10:BM10)</f>
        <v>0</v>
      </c>
      <c r="BP10" s="6">
        <v>-192000</v>
      </c>
      <c r="BR10" s="6">
        <f>IF(+R10-BN10+BP10&gt;0,R10-BN10+BP10,0)</f>
        <v>0</v>
      </c>
      <c r="BT10" s="6">
        <f>+BN10+BR10</f>
        <v>0</v>
      </c>
      <c r="BV10" s="6">
        <f>+R10-BT10</f>
        <v>192000</v>
      </c>
      <c r="BW10" s="6"/>
    </row>
    <row r="11" spans="1:76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12"/>
      <c r="BR11" s="6">
        <f>IF(+R11-BN11+BP11&gt;0,R11-BN11+BP11,0)</f>
        <v>0</v>
      </c>
      <c r="BT11" s="12"/>
      <c r="BW11" s="6"/>
    </row>
    <row r="12" spans="1:76">
      <c r="A12" s="100"/>
      <c r="B12" s="17" t="s">
        <v>169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0</v>
      </c>
      <c r="BN12" s="101">
        <f>SUM(BN9:BN11)</f>
        <v>142064940.44</v>
      </c>
      <c r="BP12" s="101">
        <f>SUM(BP9:BP11)</f>
        <v>1640000</v>
      </c>
      <c r="BR12" s="101">
        <f>SUM(BR9:BR11)</f>
        <v>0</v>
      </c>
      <c r="BT12" s="101">
        <f>SUM(BT9:BT11)</f>
        <v>142064940.44</v>
      </c>
      <c r="BV12" s="101">
        <f>SUM(BV9:BV11)</f>
        <v>-1832000.4399999976</v>
      </c>
      <c r="BW12" s="6"/>
    </row>
    <row r="13" spans="1:76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L13" s="6"/>
      <c r="BP13" s="6"/>
      <c r="BW13" s="6"/>
    </row>
    <row r="14" spans="1:76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N14" s="6">
        <f>SUM(T14:BM14)</f>
        <v>0</v>
      </c>
      <c r="BP14" s="6">
        <v>0</v>
      </c>
      <c r="BR14" s="6">
        <f>+R14-BN14+BP14</f>
        <v>0</v>
      </c>
      <c r="BT14" s="6">
        <f t="shared" ref="BT14:BT30" si="0">+BN14+BR14</f>
        <v>0</v>
      </c>
      <c r="BV14" s="6">
        <f>+R14-BT14</f>
        <v>0</v>
      </c>
      <c r="BW14" s="6"/>
    </row>
    <row r="15" spans="1:76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N15" s="6">
        <f>SUM(T15:BM15)</f>
        <v>6342648</v>
      </c>
      <c r="BP15" s="6">
        <f>5916048-5878600+220650+206600</f>
        <v>464698</v>
      </c>
      <c r="BR15" s="6">
        <f t="shared" ref="BR15:BR30" si="1">IF(+R15-BN15+BP15&gt;0,R15-BN15+BP15,0)</f>
        <v>650</v>
      </c>
      <c r="BT15" s="6">
        <f t="shared" si="0"/>
        <v>6343298</v>
      </c>
      <c r="BV15" s="6">
        <f>+R15-BT15</f>
        <v>-464698</v>
      </c>
      <c r="BW15" s="6"/>
    </row>
    <row r="16" spans="1:76">
      <c r="A16" s="100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2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L16" s="6"/>
      <c r="BP16" s="6"/>
      <c r="BR16" s="6">
        <f t="shared" si="1"/>
        <v>0</v>
      </c>
      <c r="BT16" s="6">
        <f t="shared" si="0"/>
        <v>0</v>
      </c>
      <c r="BV16" s="6">
        <f t="shared" ref="BV16:BV29" si="2">+R16-BT16</f>
        <v>0</v>
      </c>
      <c r="BW16" s="6"/>
    </row>
    <row r="17" spans="1:75">
      <c r="A17" s="100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L17" s="6"/>
      <c r="BP17" s="6"/>
      <c r="BR17" s="6">
        <f t="shared" si="1"/>
        <v>0</v>
      </c>
      <c r="BT17" s="6">
        <f t="shared" si="0"/>
        <v>0</v>
      </c>
      <c r="BV17" s="6">
        <f t="shared" si="2"/>
        <v>0</v>
      </c>
      <c r="BW17" s="6"/>
    </row>
    <row r="18" spans="1:75">
      <c r="A18" s="100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L18" s="6"/>
      <c r="BP18" s="6"/>
      <c r="BR18" s="6">
        <f t="shared" si="1"/>
        <v>0</v>
      </c>
      <c r="BT18" s="6">
        <f t="shared" si="0"/>
        <v>0</v>
      </c>
      <c r="BV18" s="6">
        <f t="shared" si="2"/>
        <v>0</v>
      </c>
      <c r="BW18" s="6"/>
    </row>
    <row r="19" spans="1:75">
      <c r="A19" s="100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L19" s="6"/>
      <c r="BP19" s="6"/>
      <c r="BR19" s="6">
        <f t="shared" si="1"/>
        <v>0</v>
      </c>
      <c r="BT19" s="6">
        <f t="shared" si="0"/>
        <v>0</v>
      </c>
      <c r="BV19" s="6">
        <f t="shared" si="2"/>
        <v>0</v>
      </c>
      <c r="BW19" s="6"/>
    </row>
    <row r="20" spans="1:75" hidden="1">
      <c r="A20" s="100"/>
      <c r="B20" s="17"/>
      <c r="C20"/>
      <c r="D20"/>
      <c r="E20"/>
      <c r="F20"/>
      <c r="G20"/>
      <c r="H20"/>
      <c r="I20"/>
      <c r="J20" s="49" t="s">
        <v>0</v>
      </c>
      <c r="K20"/>
      <c r="L20" s="132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L20" s="6"/>
      <c r="BP20" s="6"/>
      <c r="BR20" s="6">
        <f t="shared" si="1"/>
        <v>0</v>
      </c>
      <c r="BT20" s="6">
        <f t="shared" si="0"/>
        <v>0</v>
      </c>
      <c r="BV20" s="6">
        <f t="shared" si="2"/>
        <v>0</v>
      </c>
      <c r="BW20" s="6"/>
    </row>
    <row r="21" spans="1:75" hidden="1">
      <c r="A21" s="100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v>0</v>
      </c>
      <c r="BN21" s="6">
        <f t="shared" ref="BN21:BN29" si="4">SUM(T21:BM21)</f>
        <v>0</v>
      </c>
      <c r="BP21" s="6">
        <v>0</v>
      </c>
      <c r="BR21" s="6">
        <f t="shared" si="1"/>
        <v>0</v>
      </c>
      <c r="BT21" s="6">
        <f t="shared" si="0"/>
        <v>0</v>
      </c>
      <c r="BV21" s="6">
        <f t="shared" si="2"/>
        <v>0</v>
      </c>
      <c r="BW21" s="6"/>
    </row>
    <row r="22" spans="1:75" hidden="1">
      <c r="A22" s="100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N22" s="6">
        <f t="shared" si="4"/>
        <v>0</v>
      </c>
      <c r="BP22" s="6">
        <v>0</v>
      </c>
      <c r="BR22" s="6">
        <f t="shared" si="1"/>
        <v>0</v>
      </c>
      <c r="BT22" s="6">
        <f t="shared" si="0"/>
        <v>0</v>
      </c>
      <c r="BV22" s="6">
        <f t="shared" si="2"/>
        <v>0</v>
      </c>
      <c r="BW22" s="6"/>
    </row>
    <row r="23" spans="1:75" hidden="1">
      <c r="A23" s="100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N23" s="6">
        <f t="shared" si="4"/>
        <v>0</v>
      </c>
      <c r="BP23" s="6">
        <v>0</v>
      </c>
      <c r="BR23" s="6">
        <f t="shared" si="1"/>
        <v>0</v>
      </c>
      <c r="BT23" s="6">
        <f t="shared" si="0"/>
        <v>0</v>
      </c>
      <c r="BV23" s="6">
        <f t="shared" si="2"/>
        <v>0</v>
      </c>
      <c r="BW23" s="6"/>
    </row>
    <row r="24" spans="1:75" hidden="1">
      <c r="A24" s="100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N24" s="6">
        <f t="shared" si="4"/>
        <v>0</v>
      </c>
      <c r="BP24" s="6">
        <v>0</v>
      </c>
      <c r="BR24" s="6">
        <f t="shared" si="1"/>
        <v>0</v>
      </c>
      <c r="BT24" s="6">
        <f t="shared" si="0"/>
        <v>0</v>
      </c>
      <c r="BV24" s="6">
        <f t="shared" si="2"/>
        <v>0</v>
      </c>
      <c r="BW24" s="6"/>
    </row>
    <row r="25" spans="1:75" hidden="1">
      <c r="A25" s="100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N25" s="6">
        <f t="shared" si="4"/>
        <v>0</v>
      </c>
      <c r="BP25" s="6">
        <v>0</v>
      </c>
      <c r="BR25" s="6">
        <f t="shared" si="1"/>
        <v>0</v>
      </c>
      <c r="BT25" s="6">
        <f t="shared" si="0"/>
        <v>0</v>
      </c>
      <c r="BV25" s="6">
        <f t="shared" si="2"/>
        <v>0</v>
      </c>
      <c r="BW25" s="6"/>
    </row>
    <row r="26" spans="1:75" hidden="1">
      <c r="A26" s="285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N26" s="6">
        <f t="shared" si="4"/>
        <v>0</v>
      </c>
      <c r="BP26" s="6">
        <v>0</v>
      </c>
      <c r="BR26" s="6">
        <f t="shared" si="1"/>
        <v>0</v>
      </c>
      <c r="BT26" s="6">
        <f t="shared" si="0"/>
        <v>0</v>
      </c>
      <c r="BV26" s="6">
        <f t="shared" si="2"/>
        <v>0</v>
      </c>
      <c r="BW26" s="6"/>
    </row>
    <row r="27" spans="1:75" hidden="1">
      <c r="A27" s="285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N27" s="6">
        <f t="shared" si="4"/>
        <v>0</v>
      </c>
      <c r="BP27" s="6">
        <v>0</v>
      </c>
      <c r="BR27" s="6">
        <f t="shared" si="1"/>
        <v>0</v>
      </c>
      <c r="BT27" s="6">
        <f t="shared" si="0"/>
        <v>0</v>
      </c>
      <c r="BV27" s="6">
        <f t="shared" si="2"/>
        <v>0</v>
      </c>
      <c r="BW27" s="6"/>
    </row>
    <row r="28" spans="1:75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2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v>0</v>
      </c>
      <c r="BM28"/>
      <c r="BN28" s="12">
        <f t="shared" si="4"/>
        <v>0</v>
      </c>
      <c r="BO28"/>
      <c r="BP28" s="12">
        <v>0</v>
      </c>
      <c r="BQ28"/>
      <c r="BR28" s="6">
        <f t="shared" si="1"/>
        <v>0</v>
      </c>
      <c r="BS28" s="12"/>
      <c r="BT28" s="6">
        <f t="shared" si="0"/>
        <v>0</v>
      </c>
      <c r="BU28" s="12"/>
      <c r="BV28" s="6">
        <f t="shared" si="2"/>
        <v>0</v>
      </c>
      <c r="BW28" s="12"/>
    </row>
    <row r="29" spans="1:75">
      <c r="A29" s="100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v>0</v>
      </c>
      <c r="BN29" s="12">
        <f t="shared" si="4"/>
        <v>0</v>
      </c>
      <c r="BP29" s="12">
        <v>0</v>
      </c>
      <c r="BR29" s="6">
        <f t="shared" si="1"/>
        <v>0</v>
      </c>
      <c r="BT29" s="6">
        <f t="shared" si="0"/>
        <v>0</v>
      </c>
      <c r="BV29" s="6">
        <f t="shared" si="2"/>
        <v>0</v>
      </c>
      <c r="BW29" s="12"/>
    </row>
    <row r="30" spans="1:75">
      <c r="A30" s="100"/>
      <c r="B30" s="17"/>
      <c r="C30"/>
      <c r="D30"/>
      <c r="E30"/>
      <c r="F30"/>
      <c r="G30"/>
      <c r="H30"/>
      <c r="I30"/>
      <c r="J30" s="49"/>
      <c r="K30"/>
      <c r="L30" s="132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12"/>
      <c r="BR30" s="6">
        <f t="shared" si="1"/>
        <v>0</v>
      </c>
      <c r="BT30" s="6">
        <f t="shared" si="0"/>
        <v>0</v>
      </c>
      <c r="BV30" s="6">
        <f>+R30-BT30</f>
        <v>0</v>
      </c>
      <c r="BW30" s="12"/>
    </row>
    <row r="31" spans="1:75">
      <c r="A31" s="100"/>
      <c r="B31" s="17" t="s">
        <v>226</v>
      </c>
      <c r="C31"/>
      <c r="D31"/>
      <c r="E31"/>
      <c r="F31"/>
      <c r="G31"/>
      <c r="H31"/>
      <c r="I31"/>
      <c r="J31" s="49"/>
      <c r="K31"/>
      <c r="L31" s="132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0</v>
      </c>
      <c r="BN31" s="101">
        <f>SUM(BN14:BN30)</f>
        <v>6342648</v>
      </c>
      <c r="BP31" s="101">
        <f>SUM(BP14:BP30)</f>
        <v>464698</v>
      </c>
      <c r="BR31" s="101">
        <f>SUM(BR14:BR30)</f>
        <v>650</v>
      </c>
      <c r="BT31" s="101">
        <f>SUM(BT14:BT30)</f>
        <v>6343298</v>
      </c>
      <c r="BV31" s="101">
        <f>SUM(BV14:BV30)</f>
        <v>-464698</v>
      </c>
      <c r="BW31" s="12"/>
    </row>
    <row r="32" spans="1:75">
      <c r="A32" s="100"/>
      <c r="B32" s="17"/>
      <c r="C32"/>
      <c r="D32"/>
      <c r="E32"/>
      <c r="F32"/>
      <c r="G32"/>
      <c r="H32"/>
      <c r="I32"/>
      <c r="J32" s="49"/>
      <c r="K32"/>
      <c r="L32" s="132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V32" s="12"/>
      <c r="BW32" s="12"/>
    </row>
    <row r="33" spans="1:75" s="114" customFormat="1">
      <c r="A33" s="286"/>
      <c r="B33" s="113" t="s">
        <v>15</v>
      </c>
      <c r="J33" s="155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0</v>
      </c>
      <c r="BM33"/>
      <c r="BN33" s="115">
        <f>+BN31+BN12</f>
        <v>148407588.44</v>
      </c>
      <c r="BO33"/>
      <c r="BP33" s="115">
        <f>+BP31+BP12</f>
        <v>2104698</v>
      </c>
      <c r="BQ33"/>
      <c r="BR33" s="115">
        <f>+BR31+BR12</f>
        <v>650</v>
      </c>
      <c r="BS33" s="115"/>
      <c r="BT33" s="115">
        <f>+BT31+BT12</f>
        <v>148408238.44</v>
      </c>
      <c r="BU33" s="115"/>
      <c r="BV33" s="115">
        <f>+BV31+BV12</f>
        <v>-2296698.4399999976</v>
      </c>
      <c r="BW33" s="115"/>
    </row>
    <row r="34" spans="1:75">
      <c r="A34" s="100"/>
      <c r="B34" s="79"/>
      <c r="C34"/>
      <c r="D34"/>
      <c r="E34"/>
      <c r="F34"/>
      <c r="G34"/>
      <c r="H34"/>
      <c r="I34"/>
      <c r="J34" s="49"/>
      <c r="K34"/>
      <c r="L34" s="132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L34" s="6"/>
      <c r="BP34" s="6"/>
      <c r="BW34" s="6"/>
    </row>
    <row r="35" spans="1:75">
      <c r="A35" s="100"/>
      <c r="B35" s="17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L35" s="6"/>
      <c r="BP35" s="6"/>
      <c r="BW35" s="6"/>
    </row>
    <row r="36" spans="1:75">
      <c r="A36" s="58" t="s">
        <v>234</v>
      </c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L36" s="6"/>
      <c r="BP36" s="6"/>
      <c r="BW36" s="6"/>
    </row>
    <row r="37" spans="1:75">
      <c r="A37" s="100"/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L37" s="6">
        <v>0</v>
      </c>
      <c r="BP37" s="6"/>
      <c r="BW37" s="6"/>
    </row>
    <row r="38" spans="1:75">
      <c r="A38" s="100"/>
      <c r="B38" s="230" t="s">
        <v>295</v>
      </c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L38" s="6"/>
      <c r="BP38" s="6"/>
      <c r="BW38" s="6"/>
    </row>
    <row r="39" spans="1:75">
      <c r="A39" s="100"/>
      <c r="B39" s="231" t="s">
        <v>293</v>
      </c>
      <c r="C39"/>
      <c r="D39"/>
      <c r="E39"/>
      <c r="F39"/>
      <c r="G39"/>
      <c r="H39"/>
      <c r="I39"/>
      <c r="J39" s="49" t="s">
        <v>229</v>
      </c>
      <c r="K39"/>
      <c r="L39" s="132" t="s">
        <v>202</v>
      </c>
      <c r="M39" s="6"/>
      <c r="O39" s="6"/>
      <c r="Q39" s="6"/>
      <c r="R39" s="233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/>
      <c r="BN39" s="6">
        <f t="shared" ref="BN39:BN45" si="5">SUM(T39:BM39)</f>
        <v>5107000</v>
      </c>
      <c r="BP39" s="6">
        <f>5112000-R39</f>
        <v>3573035</v>
      </c>
      <c r="BR39" s="6">
        <f t="shared" ref="BR39:BR45" si="6">IF(+R39-BN39+BP39&gt;0,R39-BN39+BP39,0)</f>
        <v>5000</v>
      </c>
      <c r="BT39" s="6">
        <f t="shared" ref="BT39:BT45" si="7">+BN39+BR39</f>
        <v>5112000</v>
      </c>
      <c r="BV39" s="6">
        <f>+R39-BT39</f>
        <v>-3573035</v>
      </c>
      <c r="BW39" s="6"/>
    </row>
    <row r="40" spans="1:75">
      <c r="A40" s="100"/>
      <c r="B40" s="231" t="s">
        <v>382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3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/>
      <c r="BN40" s="6">
        <f t="shared" si="5"/>
        <v>4266000</v>
      </c>
      <c r="BP40" s="6">
        <f>4269000-R40</f>
        <v>2551618</v>
      </c>
      <c r="BR40" s="6">
        <f t="shared" si="6"/>
        <v>3000</v>
      </c>
      <c r="BT40" s="6">
        <f t="shared" si="7"/>
        <v>4269000</v>
      </c>
      <c r="BV40" s="6">
        <f t="shared" ref="BV40:BV45" si="8">+R40-BT40</f>
        <v>-2551618</v>
      </c>
      <c r="BW40" s="6"/>
    </row>
    <row r="41" spans="1:75">
      <c r="A41" s="100"/>
      <c r="B41" s="231" t="s">
        <v>383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3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/>
      <c r="BN41" s="6">
        <f t="shared" si="5"/>
        <v>4654000</v>
      </c>
      <c r="BP41" s="6">
        <f>4707000-R41</f>
        <v>-9855379</v>
      </c>
      <c r="BR41" s="6">
        <f t="shared" si="6"/>
        <v>53000</v>
      </c>
      <c r="BT41" s="6">
        <f t="shared" si="7"/>
        <v>4707000</v>
      </c>
      <c r="BV41" s="6">
        <f t="shared" si="8"/>
        <v>9855379</v>
      </c>
      <c r="BW41" s="6"/>
    </row>
    <row r="42" spans="1:75">
      <c r="A42" s="100"/>
      <c r="B42" s="231" t="s">
        <v>22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N42" s="6">
        <v>0</v>
      </c>
      <c r="O42" s="6"/>
      <c r="P42" s="6">
        <v>0</v>
      </c>
      <c r="Q42" s="6"/>
      <c r="R42" s="233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/>
      <c r="BN42" s="6">
        <f t="shared" si="5"/>
        <v>1192000</v>
      </c>
      <c r="BP42" s="6">
        <f>1194000-R42</f>
        <v>815312</v>
      </c>
      <c r="BR42" s="6">
        <f t="shared" si="6"/>
        <v>2000</v>
      </c>
      <c r="BT42" s="6">
        <f t="shared" si="7"/>
        <v>1194000</v>
      </c>
      <c r="BV42" s="6">
        <f t="shared" si="8"/>
        <v>-815312</v>
      </c>
      <c r="BW42" s="6"/>
    </row>
    <row r="43" spans="1:75">
      <c r="A43" s="100"/>
      <c r="B43" s="231" t="s">
        <v>364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3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/>
      <c r="BN43" s="6">
        <f t="shared" si="5"/>
        <v>69000</v>
      </c>
      <c r="BP43" s="6">
        <f>70000-R43</f>
        <v>-80000</v>
      </c>
      <c r="BR43" s="6">
        <f t="shared" si="6"/>
        <v>1000</v>
      </c>
      <c r="BT43" s="6">
        <f t="shared" si="7"/>
        <v>70000</v>
      </c>
      <c r="BV43" s="6">
        <f t="shared" si="8"/>
        <v>80000</v>
      </c>
      <c r="BW43" s="6"/>
    </row>
    <row r="44" spans="1:75">
      <c r="A44" s="100"/>
      <c r="B44" s="231" t="s">
        <v>190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3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/>
      <c r="BN44" s="6">
        <f t="shared" si="5"/>
        <v>0</v>
      </c>
      <c r="BP44" s="6">
        <f>100000-104121</f>
        <v>-4121</v>
      </c>
      <c r="BR44" s="6">
        <f t="shared" si="6"/>
        <v>100000</v>
      </c>
      <c r="BT44" s="6">
        <f t="shared" si="7"/>
        <v>100000</v>
      </c>
      <c r="BV44" s="6">
        <f t="shared" si="8"/>
        <v>4121</v>
      </c>
      <c r="BW44" s="6"/>
    </row>
    <row r="45" spans="1:75">
      <c r="A45" s="100"/>
      <c r="B45" s="231" t="s">
        <v>294</v>
      </c>
      <c r="C45"/>
      <c r="D45"/>
      <c r="E45"/>
      <c r="F45"/>
      <c r="G45"/>
      <c r="H45"/>
      <c r="I45"/>
      <c r="J45" s="49"/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3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v>0</v>
      </c>
      <c r="BN45" s="6">
        <f t="shared" si="5"/>
        <v>147037</v>
      </c>
      <c r="BP45" s="6">
        <f>623000-R45</f>
        <v>458775</v>
      </c>
      <c r="BR45" s="6">
        <f t="shared" si="6"/>
        <v>475963</v>
      </c>
      <c r="BT45" s="6">
        <f t="shared" si="7"/>
        <v>623000</v>
      </c>
      <c r="BV45" s="6">
        <f t="shared" si="8"/>
        <v>-458775</v>
      </c>
      <c r="BW45" s="6"/>
    </row>
    <row r="46" spans="1:75" s="21" customFormat="1">
      <c r="A46" s="287"/>
      <c r="B46" s="234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V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327796</v>
      </c>
      <c r="BK46"/>
      <c r="BL46" s="9">
        <f t="shared" si="10"/>
        <v>0</v>
      </c>
      <c r="BM46"/>
      <c r="BN46" s="9">
        <f t="shared" si="10"/>
        <v>15435037</v>
      </c>
      <c r="BO46"/>
      <c r="BP46" s="9">
        <f t="shared" si="10"/>
        <v>-2540760</v>
      </c>
      <c r="BQ46"/>
      <c r="BR46" s="9">
        <f t="shared" si="10"/>
        <v>639963</v>
      </c>
      <c r="BS46" s="9">
        <f t="shared" si="10"/>
        <v>0</v>
      </c>
      <c r="BT46" s="9">
        <f t="shared" si="10"/>
        <v>16075000</v>
      </c>
      <c r="BU46" s="9">
        <f t="shared" si="10"/>
        <v>0</v>
      </c>
      <c r="BV46" s="9">
        <f t="shared" si="10"/>
        <v>2540760</v>
      </c>
      <c r="BW46" s="9"/>
    </row>
    <row r="47" spans="1:75">
      <c r="A47" s="100"/>
      <c r="B47" s="232"/>
      <c r="C47"/>
      <c r="D47"/>
      <c r="E47"/>
      <c r="F47"/>
      <c r="G47"/>
      <c r="H47"/>
      <c r="I47"/>
      <c r="J47" s="49"/>
      <c r="K47"/>
      <c r="L47" s="132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L47" s="6"/>
      <c r="BP47" s="6"/>
      <c r="BW47" s="6"/>
    </row>
    <row r="48" spans="1:75">
      <c r="B48" s="21" t="s">
        <v>297</v>
      </c>
      <c r="C48"/>
      <c r="D48"/>
      <c r="E48"/>
      <c r="F48"/>
      <c r="G48"/>
      <c r="H48"/>
      <c r="I48"/>
      <c r="J48" s="49"/>
      <c r="K48"/>
      <c r="L48" s="132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L48" s="6"/>
      <c r="BP48" s="6"/>
      <c r="BW48" s="6"/>
    </row>
    <row r="49" spans="1:75">
      <c r="A49" s="30"/>
      <c r="B49" s="231" t="s">
        <v>384</v>
      </c>
      <c r="C49"/>
      <c r="D49"/>
      <c r="E49"/>
      <c r="F49"/>
      <c r="G49"/>
      <c r="H49"/>
      <c r="I49"/>
      <c r="J49" s="49" t="s">
        <v>229</v>
      </c>
      <c r="K49"/>
      <c r="L49" s="132"/>
      <c r="M49" s="6"/>
      <c r="O49" s="6"/>
      <c r="Q49" s="6"/>
      <c r="R49" s="233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/>
      <c r="BN49" s="6">
        <f>SUM(T49:BM49)</f>
        <v>469000</v>
      </c>
      <c r="BP49" s="6">
        <f>469000-R49</f>
        <v>58696</v>
      </c>
      <c r="BR49" s="6">
        <f>IF(+R49-BN49+BP49&gt;0,R49-BN49+BP49,0)</f>
        <v>0</v>
      </c>
      <c r="BT49" s="6">
        <f>+BN49+BR49</f>
        <v>469000</v>
      </c>
      <c r="BV49" s="6">
        <f>+R49-BT49</f>
        <v>-58696</v>
      </c>
      <c r="BW49" s="6"/>
    </row>
    <row r="50" spans="1:75">
      <c r="A50" s="30"/>
      <c r="B50" s="231" t="s">
        <v>385</v>
      </c>
      <c r="C50"/>
      <c r="D50"/>
      <c r="E50"/>
      <c r="F50"/>
      <c r="G50"/>
      <c r="H50"/>
      <c r="I50"/>
      <c r="J50" s="49" t="s">
        <v>229</v>
      </c>
      <c r="K50"/>
      <c r="L50" s="132"/>
      <c r="M50" s="6"/>
      <c r="O50" s="6"/>
      <c r="Q50" s="6"/>
      <c r="R50" s="233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/>
      <c r="BN50" s="6">
        <f>SUM(T50:BM50)</f>
        <v>4936000</v>
      </c>
      <c r="BP50" s="6">
        <f>5655000-R50</f>
        <v>667890</v>
      </c>
      <c r="BR50" s="6">
        <f>IF(+R50-BN50+BP50&gt;0,R50-BN50+BP50,0)</f>
        <v>719000</v>
      </c>
      <c r="BT50" s="6">
        <f>+BN50+BR50</f>
        <v>5655000</v>
      </c>
      <c r="BV50" s="6">
        <f>+R50-BT50</f>
        <v>-667890</v>
      </c>
      <c r="BW50" s="6"/>
    </row>
    <row r="51" spans="1:75">
      <c r="A51" s="30"/>
      <c r="B51" s="231" t="s">
        <v>19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3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/>
      <c r="BN51" s="6">
        <f>SUM(T51:BM51)</f>
        <v>885000</v>
      </c>
      <c r="BP51" s="6">
        <f>885000-R51</f>
        <v>98337</v>
      </c>
      <c r="BR51" s="6">
        <f>IF(+R51-BN51+BP51&gt;0,R51-BN51+BP51,0)</f>
        <v>0</v>
      </c>
      <c r="BT51" s="6">
        <f>+BN51+BR51</f>
        <v>885000</v>
      </c>
      <c r="BV51" s="6">
        <f>+R51-BT51</f>
        <v>-98337</v>
      </c>
      <c r="BW51" s="6"/>
    </row>
    <row r="52" spans="1:75">
      <c r="A52" s="30"/>
      <c r="B52" s="231" t="s">
        <v>386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3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/>
      <c r="BN52" s="6">
        <f>SUM(T52:BM52)</f>
        <v>831000</v>
      </c>
      <c r="BP52" s="6">
        <f>831000-R52</f>
        <v>176500</v>
      </c>
      <c r="BR52" s="6">
        <f>IF(+R52-BN52+BP52&gt;0,R52-BN52+BP52,0)</f>
        <v>0</v>
      </c>
      <c r="BT52" s="6">
        <f>+BN52+BR52</f>
        <v>831000</v>
      </c>
      <c r="BV52" s="6">
        <f>+R52-BT52</f>
        <v>-176500</v>
      </c>
      <c r="BW52" s="6"/>
    </row>
    <row r="53" spans="1:75" s="21" customFormat="1">
      <c r="A53" s="31"/>
      <c r="B53" s="234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V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45037</v>
      </c>
      <c r="BK53"/>
      <c r="BL53" s="9">
        <f t="shared" si="12"/>
        <v>0</v>
      </c>
      <c r="BM53"/>
      <c r="BN53" s="9">
        <f t="shared" si="12"/>
        <v>7121000</v>
      </c>
      <c r="BO53"/>
      <c r="BP53" s="9">
        <f t="shared" si="12"/>
        <v>1001423</v>
      </c>
      <c r="BQ53"/>
      <c r="BR53" s="9">
        <f t="shared" si="12"/>
        <v>719000</v>
      </c>
      <c r="BS53" s="9">
        <f t="shared" si="12"/>
        <v>0</v>
      </c>
      <c r="BT53" s="9">
        <f t="shared" si="12"/>
        <v>7840000</v>
      </c>
      <c r="BU53" s="9">
        <f t="shared" si="12"/>
        <v>0</v>
      </c>
      <c r="BV53" s="9">
        <f t="shared" si="12"/>
        <v>-1001423</v>
      </c>
      <c r="BW53" s="9"/>
    </row>
    <row r="54" spans="1:75" s="21" customFormat="1">
      <c r="A54" s="31"/>
      <c r="B54" s="234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/>
      <c r="BR54" s="9"/>
      <c r="BS54" s="9"/>
      <c r="BT54" s="9"/>
      <c r="BU54" s="9"/>
      <c r="BV54" s="9"/>
      <c r="BW54" s="9"/>
    </row>
    <row r="55" spans="1:75" s="21" customFormat="1">
      <c r="A55" s="31"/>
      <c r="B55" s="235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/>
      <c r="BR55" s="9"/>
      <c r="BS55" s="9"/>
      <c r="BT55" s="9"/>
      <c r="BU55" s="9"/>
      <c r="BV55" s="9"/>
      <c r="BW55" s="9"/>
    </row>
    <row r="56" spans="1:75" s="21" customFormat="1">
      <c r="A56" s="31"/>
      <c r="B56" s="236" t="s">
        <v>299</v>
      </c>
      <c r="J56" s="8"/>
      <c r="L56" s="141"/>
      <c r="M56" s="9"/>
      <c r="N56" s="9"/>
      <c r="O56" s="9"/>
      <c r="P56" s="9"/>
      <c r="Q56" s="9"/>
      <c r="R56" s="233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6">
        <f>538000+1432000-1520655</f>
        <v>449345</v>
      </c>
      <c r="BK56"/>
      <c r="BL56" s="6"/>
      <c r="BM56"/>
      <c r="BN56" s="6">
        <f t="shared" ref="BN56:BN79" si="13">SUM(T56:BM56)</f>
        <v>1970000</v>
      </c>
      <c r="BO56"/>
      <c r="BP56" s="6">
        <f>1432000+538000-R56</f>
        <v>-362998</v>
      </c>
      <c r="BQ56"/>
      <c r="BR56" s="6">
        <f>IF(+R56-BN56+BP56&gt;0,R56-BN56+BP56,0)</f>
        <v>0</v>
      </c>
      <c r="BS56" s="6"/>
      <c r="BT56" s="6">
        <f>+BN56+BR56</f>
        <v>1970000</v>
      </c>
      <c r="BU56" s="6"/>
      <c r="BV56" s="6">
        <f>+R56-BT56</f>
        <v>362998</v>
      </c>
      <c r="BW56" s="9"/>
    </row>
    <row r="57" spans="1:75" s="21" customFormat="1">
      <c r="A57" s="31"/>
      <c r="B57" s="236" t="s">
        <v>365</v>
      </c>
      <c r="J57" s="8"/>
      <c r="L57" s="141"/>
      <c r="M57" s="9"/>
      <c r="N57" s="9"/>
      <c r="O57" s="9"/>
      <c r="P57" s="9"/>
      <c r="Q57" s="9"/>
      <c r="R57" s="233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6">
        <v>0</v>
      </c>
      <c r="BK57"/>
      <c r="BL57" s="6">
        <v>0</v>
      </c>
      <c r="BM57"/>
      <c r="BN57" s="6">
        <f t="shared" si="13"/>
        <v>84897</v>
      </c>
      <c r="BO57"/>
      <c r="BP57" s="6">
        <v>85000</v>
      </c>
      <c r="BQ57"/>
      <c r="BR57" s="6">
        <f>IF(+R57-BN57+BP57&gt;0,R57-BN57+BP57,0)</f>
        <v>103</v>
      </c>
      <c r="BS57" s="6"/>
      <c r="BT57" s="6">
        <f>+BN57+BR57</f>
        <v>85000</v>
      </c>
      <c r="BU57" s="6"/>
      <c r="BV57" s="6">
        <f>+R57-BT57</f>
        <v>-85000</v>
      </c>
      <c r="BW57" s="9"/>
    </row>
    <row r="58" spans="1:75" s="21" customFormat="1">
      <c r="A58" s="31"/>
      <c r="B58" s="236" t="s">
        <v>300</v>
      </c>
      <c r="J58" s="8"/>
      <c r="L58" s="141"/>
      <c r="M58" s="9"/>
      <c r="N58" s="9"/>
      <c r="O58" s="9"/>
      <c r="P58" s="9"/>
      <c r="Q58" s="9"/>
      <c r="R58" s="233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6">
        <v>0</v>
      </c>
      <c r="BK58"/>
      <c r="BL58" s="6">
        <v>0</v>
      </c>
      <c r="BM58"/>
      <c r="BN58" s="6">
        <f>SUM(T58:BM58)</f>
        <v>446090</v>
      </c>
      <c r="BO58"/>
      <c r="BP58" s="6">
        <f>446000-R58</f>
        <v>-51417</v>
      </c>
      <c r="BQ58"/>
      <c r="BR58" s="6">
        <f>IF(+R58-BN58+BP58&gt;0,R58-BN58+BP58,0)</f>
        <v>0</v>
      </c>
      <c r="BS58" s="6"/>
      <c r="BT58" s="6">
        <f>+BN58+BR58</f>
        <v>446090</v>
      </c>
      <c r="BU58" s="6"/>
      <c r="BV58" s="6">
        <f>+R58-BT58</f>
        <v>51327</v>
      </c>
      <c r="BW58" s="9"/>
    </row>
    <row r="59" spans="1:75" s="21" customFormat="1">
      <c r="A59" s="31"/>
      <c r="B59" s="236" t="s">
        <v>387</v>
      </c>
      <c r="J59" s="8"/>
      <c r="L59" s="141"/>
      <c r="M59" s="9"/>
      <c r="N59" s="9"/>
      <c r="O59" s="9"/>
      <c r="P59" s="9"/>
      <c r="Q59" s="9"/>
      <c r="R59" s="233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6">
        <v>0</v>
      </c>
      <c r="BK59"/>
      <c r="BL59" s="6">
        <v>0</v>
      </c>
      <c r="BM59"/>
      <c r="BN59" s="6">
        <f>SUM(T59:BM59)</f>
        <v>2348535</v>
      </c>
      <c r="BO59"/>
      <c r="BP59" s="6">
        <f>2349000-R59</f>
        <v>1514695</v>
      </c>
      <c r="BQ59"/>
      <c r="BR59" s="6">
        <f>IF(+R59-BN59+BP59&gt;0,R59-BN59+BP59,0)</f>
        <v>465</v>
      </c>
      <c r="BS59" s="6"/>
      <c r="BT59" s="6">
        <f>+BN59+BR59</f>
        <v>2349000</v>
      </c>
      <c r="BU59" s="6"/>
      <c r="BV59" s="6">
        <f>+R59-BT59</f>
        <v>-1514695</v>
      </c>
      <c r="BW59" s="9"/>
    </row>
    <row r="60" spans="1:75" s="21" customFormat="1">
      <c r="A60" s="31"/>
      <c r="B60" s="236" t="s">
        <v>388</v>
      </c>
      <c r="J60" s="8"/>
      <c r="L60" s="141"/>
      <c r="M60" s="9"/>
      <c r="N60" s="9"/>
      <c r="O60" s="9"/>
      <c r="P60" s="9"/>
      <c r="Q60" s="9"/>
      <c r="R60" s="233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6"/>
      <c r="BK60"/>
      <c r="BL60" s="6"/>
      <c r="BM60"/>
      <c r="BN60" s="6">
        <f t="shared" si="13"/>
        <v>1329939</v>
      </c>
      <c r="BO60"/>
      <c r="BP60" s="6">
        <f>1328000-R60</f>
        <v>609461</v>
      </c>
      <c r="BQ60"/>
      <c r="BR60" s="6">
        <f t="shared" ref="BR60:BR79" si="14">IF(+R60-BN60+BP60&gt;0,R60-BN60+BP60,0)</f>
        <v>0</v>
      </c>
      <c r="BS60" s="6"/>
      <c r="BT60" s="6">
        <f t="shared" ref="BT60:BT79" si="15">+BN60+BR60</f>
        <v>1329939</v>
      </c>
      <c r="BU60" s="6"/>
      <c r="BV60" s="6">
        <f t="shared" ref="BV60:BV79" si="16">+R60-BT60</f>
        <v>-611400</v>
      </c>
      <c r="BW60" s="9"/>
    </row>
    <row r="61" spans="1:75" s="21" customFormat="1">
      <c r="A61" s="31"/>
      <c r="B61" s="236" t="s">
        <v>301</v>
      </c>
      <c r="J61" s="8"/>
      <c r="L61" s="141"/>
      <c r="M61" s="9"/>
      <c r="N61" s="9"/>
      <c r="O61" s="9"/>
      <c r="P61" s="9"/>
      <c r="Q61" s="9"/>
      <c r="R61" s="233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6">
        <f>266000-262512</f>
        <v>3488</v>
      </c>
      <c r="BK61"/>
      <c r="BL61" s="6"/>
      <c r="BM61"/>
      <c r="BN61" s="6">
        <f>SUM(T61:BM61)</f>
        <v>266000</v>
      </c>
      <c r="BO61"/>
      <c r="BP61" s="6">
        <f>266000-R61</f>
        <v>-187000</v>
      </c>
      <c r="BQ61"/>
      <c r="BR61" s="6">
        <f>IF(+R61-BN61+BP61&gt;0,R61-BN61+BP61,0)</f>
        <v>0</v>
      </c>
      <c r="BS61" s="6"/>
      <c r="BT61" s="6">
        <f>+BN61+BR61</f>
        <v>266000</v>
      </c>
      <c r="BU61" s="6"/>
      <c r="BV61" s="6">
        <f>+R61-BT61</f>
        <v>187000</v>
      </c>
      <c r="BW61" s="9"/>
    </row>
    <row r="62" spans="1:75" s="21" customFormat="1">
      <c r="A62" s="31"/>
      <c r="B62" s="236" t="s">
        <v>394</v>
      </c>
      <c r="J62" s="8"/>
      <c r="L62" s="141"/>
      <c r="M62" s="9"/>
      <c r="N62" s="9"/>
      <c r="O62" s="9"/>
      <c r="P62" s="9"/>
      <c r="Q62" s="9"/>
      <c r="R62" s="233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6">
        <f>3703000-3538842</f>
        <v>164158</v>
      </c>
      <c r="BK62"/>
      <c r="BL62" s="6"/>
      <c r="BM62"/>
      <c r="BN62" s="6">
        <f t="shared" si="13"/>
        <v>3703000</v>
      </c>
      <c r="BO62"/>
      <c r="BP62" s="6">
        <f>3874000-R62</f>
        <v>1608979</v>
      </c>
      <c r="BQ62"/>
      <c r="BR62" s="6">
        <f t="shared" si="14"/>
        <v>171000</v>
      </c>
      <c r="BS62" s="6"/>
      <c r="BT62" s="6">
        <f t="shared" si="15"/>
        <v>3874000</v>
      </c>
      <c r="BU62" s="6"/>
      <c r="BV62" s="6">
        <f t="shared" si="16"/>
        <v>-1608979</v>
      </c>
      <c r="BW62" s="9"/>
    </row>
    <row r="63" spans="1:75" s="21" customFormat="1">
      <c r="A63" s="31"/>
      <c r="B63" s="236" t="s">
        <v>302</v>
      </c>
      <c r="J63" s="8"/>
      <c r="L63" s="141"/>
      <c r="M63" s="9"/>
      <c r="N63" s="9"/>
      <c r="O63" s="9"/>
      <c r="P63" s="9"/>
      <c r="Q63" s="9"/>
      <c r="R63" s="233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6">
        <f>1444000-1443041</f>
        <v>959</v>
      </c>
      <c r="BK63"/>
      <c r="BL63" s="6"/>
      <c r="BM63"/>
      <c r="BN63" s="6">
        <f>SUM(T63:BM63)</f>
        <v>1444000</v>
      </c>
      <c r="BO63"/>
      <c r="BP63" s="6">
        <f>1446000-R63</f>
        <v>295538</v>
      </c>
      <c r="BQ63"/>
      <c r="BR63" s="6">
        <f>IF(+R63-BN63+BP63&gt;0,R63-BN63+BP63,0)</f>
        <v>2000</v>
      </c>
      <c r="BS63" s="6"/>
      <c r="BT63" s="6">
        <f>+BN63+BR63</f>
        <v>1446000</v>
      </c>
      <c r="BU63" s="6"/>
      <c r="BV63" s="6">
        <f>+R63-BT63</f>
        <v>-295538</v>
      </c>
      <c r="BW63" s="9"/>
    </row>
    <row r="64" spans="1:75" s="21" customFormat="1">
      <c r="A64" s="31"/>
      <c r="B64" s="236" t="s">
        <v>389</v>
      </c>
      <c r="J64" s="8"/>
      <c r="L64" s="141"/>
      <c r="M64" s="9"/>
      <c r="N64" s="9"/>
      <c r="O64" s="9"/>
      <c r="P64" s="9"/>
      <c r="Q64" s="9"/>
      <c r="R64" s="233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6">
        <v>0</v>
      </c>
      <c r="BK64"/>
      <c r="BL64" s="6">
        <v>0</v>
      </c>
      <c r="BM64"/>
      <c r="BN64" s="6">
        <f t="shared" si="13"/>
        <v>1031462</v>
      </c>
      <c r="BO64"/>
      <c r="BP64" s="6">
        <f>1031000-R64</f>
        <v>841051</v>
      </c>
      <c r="BQ64"/>
      <c r="BR64" s="6">
        <f t="shared" si="14"/>
        <v>0</v>
      </c>
      <c r="BS64" s="6"/>
      <c r="BT64" s="6">
        <f t="shared" si="15"/>
        <v>1031462</v>
      </c>
      <c r="BU64" s="6"/>
      <c r="BV64" s="6">
        <f t="shared" si="16"/>
        <v>-841513</v>
      </c>
      <c r="BW64" s="9"/>
    </row>
    <row r="65" spans="1:75" s="21" customFormat="1">
      <c r="A65" s="31"/>
      <c r="B65" s="236" t="s">
        <v>393</v>
      </c>
      <c r="J65" s="8"/>
      <c r="L65" s="141"/>
      <c r="M65" s="9"/>
      <c r="N65" s="9"/>
      <c r="O65" s="9"/>
      <c r="P65" s="9"/>
      <c r="Q65" s="9"/>
      <c r="R65" s="233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6">
        <f>40000-37948</f>
        <v>2052</v>
      </c>
      <c r="BK65"/>
      <c r="BL65" s="6"/>
      <c r="BM65"/>
      <c r="BN65" s="6">
        <f>SUM(T65:BM65)</f>
        <v>40000</v>
      </c>
      <c r="BO65"/>
      <c r="BP65" s="6">
        <f>40000-R65</f>
        <v>-37621</v>
      </c>
      <c r="BQ65"/>
      <c r="BR65" s="6">
        <f>IF(+R65-BN65+BP65&gt;0,R65-BN65+BP65,0)</f>
        <v>0</v>
      </c>
      <c r="BS65" s="6"/>
      <c r="BT65" s="6">
        <f>+BN65+BR65</f>
        <v>40000</v>
      </c>
      <c r="BU65" s="6"/>
      <c r="BV65" s="6">
        <f>+R65-BT65</f>
        <v>37621</v>
      </c>
      <c r="BW65" s="9"/>
    </row>
    <row r="66" spans="1:75" s="21" customFormat="1">
      <c r="A66" s="31"/>
      <c r="B66" s="236" t="s">
        <v>303</v>
      </c>
      <c r="J66" s="8"/>
      <c r="L66" s="141"/>
      <c r="M66" s="9"/>
      <c r="N66" s="9"/>
      <c r="O66" s="9"/>
      <c r="P66" s="9"/>
      <c r="Q66" s="9"/>
      <c r="R66" s="233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6">
        <v>0</v>
      </c>
      <c r="BK66"/>
      <c r="BL66" s="6">
        <v>0</v>
      </c>
      <c r="BM66"/>
      <c r="BN66" s="6">
        <f t="shared" si="13"/>
        <v>548568</v>
      </c>
      <c r="BO66"/>
      <c r="BP66" s="6">
        <f>549000-R66</f>
        <v>404563</v>
      </c>
      <c r="BQ66"/>
      <c r="BR66" s="6">
        <f t="shared" si="14"/>
        <v>432</v>
      </c>
      <c r="BS66" s="6"/>
      <c r="BT66" s="6">
        <f t="shared" si="15"/>
        <v>549000</v>
      </c>
      <c r="BU66" s="6"/>
      <c r="BV66" s="6">
        <f t="shared" si="16"/>
        <v>-404563</v>
      </c>
      <c r="BW66" s="9"/>
    </row>
    <row r="67" spans="1:75" s="21" customFormat="1">
      <c r="A67" s="31"/>
      <c r="B67" s="236" t="s">
        <v>304</v>
      </c>
      <c r="J67" s="8"/>
      <c r="L67" s="141"/>
      <c r="M67" s="9"/>
      <c r="N67" s="9"/>
      <c r="O67" s="9"/>
      <c r="P67" s="9"/>
      <c r="Q67" s="9"/>
      <c r="R67" s="233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6">
        <v>0</v>
      </c>
      <c r="BK67"/>
      <c r="BL67" s="6">
        <v>0</v>
      </c>
      <c r="BM67"/>
      <c r="BN67" s="6">
        <f>SUM(T67:BM67)</f>
        <v>350311</v>
      </c>
      <c r="BO67"/>
      <c r="BP67" s="6">
        <f>350000-R67</f>
        <v>22686</v>
      </c>
      <c r="BQ67"/>
      <c r="BR67" s="6">
        <f>IF(+R67-BN67+BP67&gt;0,R67-BN67+BP67,0)</f>
        <v>0</v>
      </c>
      <c r="BS67" s="6"/>
      <c r="BT67" s="6">
        <f>+BN67+BR67</f>
        <v>350311</v>
      </c>
      <c r="BU67" s="6"/>
      <c r="BV67" s="6">
        <f>+R67-BT67</f>
        <v>-22997</v>
      </c>
      <c r="BW67" s="9"/>
    </row>
    <row r="68" spans="1:75" s="21" customFormat="1">
      <c r="A68" s="31"/>
      <c r="B68" s="236" t="s">
        <v>305</v>
      </c>
      <c r="J68" s="8"/>
      <c r="L68" s="141"/>
      <c r="M68" s="9"/>
      <c r="N68" s="9"/>
      <c r="O68" s="9"/>
      <c r="P68" s="9"/>
      <c r="Q68" s="9"/>
      <c r="R68" s="233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6">
        <v>0</v>
      </c>
      <c r="BK68"/>
      <c r="BL68" s="6">
        <v>0</v>
      </c>
      <c r="BM68"/>
      <c r="BN68" s="6">
        <f t="shared" si="13"/>
        <v>17674</v>
      </c>
      <c r="BO68"/>
      <c r="BP68" s="6">
        <f>18000-R68</f>
        <v>-312460</v>
      </c>
      <c r="BQ68"/>
      <c r="BR68" s="6">
        <f t="shared" si="14"/>
        <v>326</v>
      </c>
      <c r="BS68" s="6"/>
      <c r="BT68" s="6">
        <f t="shared" si="15"/>
        <v>18000</v>
      </c>
      <c r="BU68" s="6"/>
      <c r="BV68" s="6">
        <f t="shared" si="16"/>
        <v>312460</v>
      </c>
      <c r="BW68" s="9"/>
    </row>
    <row r="69" spans="1:75" s="21" customFormat="1">
      <c r="A69" s="31"/>
      <c r="B69" s="236" t="s">
        <v>390</v>
      </c>
      <c r="J69" s="8"/>
      <c r="L69" s="141"/>
      <c r="M69" s="9"/>
      <c r="N69" s="9"/>
      <c r="O69" s="9"/>
      <c r="P69" s="9"/>
      <c r="Q69" s="9"/>
      <c r="R69" s="233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6">
        <f>562000-495063</f>
        <v>66937</v>
      </c>
      <c r="BK69"/>
      <c r="BL69" s="6"/>
      <c r="BM69"/>
      <c r="BN69" s="6">
        <f t="shared" si="13"/>
        <v>562000</v>
      </c>
      <c r="BO69"/>
      <c r="BP69" s="6">
        <f>562000-R69</f>
        <v>-246591</v>
      </c>
      <c r="BQ69"/>
      <c r="BR69" s="6">
        <f t="shared" si="14"/>
        <v>0</v>
      </c>
      <c r="BS69" s="6"/>
      <c r="BT69" s="6">
        <f t="shared" si="15"/>
        <v>562000</v>
      </c>
      <c r="BU69" s="6"/>
      <c r="BV69" s="6">
        <f t="shared" si="16"/>
        <v>246591</v>
      </c>
      <c r="BW69" s="9"/>
    </row>
    <row r="70" spans="1:75" s="21" customFormat="1">
      <c r="A70" s="31"/>
      <c r="B70" s="236" t="s">
        <v>391</v>
      </c>
      <c r="J70" s="8"/>
      <c r="L70" s="141"/>
      <c r="M70" s="9"/>
      <c r="N70" s="9"/>
      <c r="O70" s="9"/>
      <c r="P70" s="9"/>
      <c r="Q70" s="9"/>
      <c r="R70" s="233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6">
        <v>0</v>
      </c>
      <c r="BK70"/>
      <c r="BL70" s="6">
        <v>0</v>
      </c>
      <c r="BM70"/>
      <c r="BN70" s="6">
        <f t="shared" si="13"/>
        <v>1282165</v>
      </c>
      <c r="BO70"/>
      <c r="BP70" s="6">
        <f>1282000-R70</f>
        <v>423657</v>
      </c>
      <c r="BQ70"/>
      <c r="BR70" s="6">
        <f t="shared" si="14"/>
        <v>0</v>
      </c>
      <c r="BS70" s="6"/>
      <c r="BT70" s="6">
        <f t="shared" si="15"/>
        <v>1282165</v>
      </c>
      <c r="BU70" s="6"/>
      <c r="BV70" s="6">
        <f t="shared" si="16"/>
        <v>-423822</v>
      </c>
      <c r="BW70" s="9"/>
    </row>
    <row r="71" spans="1:75" s="21" customFormat="1">
      <c r="A71" s="31"/>
      <c r="B71" s="236" t="s">
        <v>392</v>
      </c>
      <c r="J71" s="8"/>
      <c r="L71" s="141"/>
      <c r="M71" s="9"/>
      <c r="N71" s="9"/>
      <c r="O71" s="9"/>
      <c r="P71" s="9"/>
      <c r="Q71" s="9"/>
      <c r="R71" s="233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6">
        <f>6079000-6038190</f>
        <v>40810</v>
      </c>
      <c r="BK71"/>
      <c r="BL71" s="6"/>
      <c r="BM71"/>
      <c r="BN71" s="6">
        <f t="shared" si="13"/>
        <v>6079000</v>
      </c>
      <c r="BO71"/>
      <c r="BP71" s="6">
        <f>6083000-R71</f>
        <v>4337485</v>
      </c>
      <c r="BQ71"/>
      <c r="BR71" s="6">
        <f t="shared" si="14"/>
        <v>4000</v>
      </c>
      <c r="BS71" s="6"/>
      <c r="BT71" s="6">
        <f t="shared" si="15"/>
        <v>6083000</v>
      </c>
      <c r="BU71" s="6"/>
      <c r="BV71" s="6">
        <f t="shared" si="16"/>
        <v>-4337485</v>
      </c>
      <c r="BW71" s="9"/>
    </row>
    <row r="72" spans="1:75" s="21" customFormat="1">
      <c r="A72" s="31"/>
      <c r="B72" s="236" t="s">
        <v>307</v>
      </c>
      <c r="J72" s="8"/>
      <c r="L72" s="141"/>
      <c r="M72" s="9"/>
      <c r="N72" s="9"/>
      <c r="O72" s="9"/>
      <c r="P72" s="9"/>
      <c r="Q72" s="9"/>
      <c r="R72" s="233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6">
        <f>223000-222321</f>
        <v>679</v>
      </c>
      <c r="BK72"/>
      <c r="BL72" s="6"/>
      <c r="BM72"/>
      <c r="BN72" s="6">
        <f t="shared" si="13"/>
        <v>223000</v>
      </c>
      <c r="BO72"/>
      <c r="BP72" s="6">
        <f>223000-R72</f>
        <v>-348564</v>
      </c>
      <c r="BQ72"/>
      <c r="BR72" s="6">
        <f t="shared" si="14"/>
        <v>0</v>
      </c>
      <c r="BS72" s="6"/>
      <c r="BT72" s="6">
        <f>+BN72+BR72-3</f>
        <v>222997</v>
      </c>
      <c r="BU72" s="6"/>
      <c r="BV72" s="6">
        <f t="shared" si="16"/>
        <v>348567</v>
      </c>
      <c r="BW72" s="9"/>
    </row>
    <row r="73" spans="1:75" s="21" customFormat="1">
      <c r="A73" s="31"/>
      <c r="B73" s="236" t="s">
        <v>308</v>
      </c>
      <c r="J73" s="8"/>
      <c r="L73" s="141"/>
      <c r="M73" s="9"/>
      <c r="N73" s="9"/>
      <c r="O73" s="9"/>
      <c r="P73" s="9"/>
      <c r="Q73" s="9"/>
      <c r="R73" s="233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6">
        <f>951000-679853</f>
        <v>271147</v>
      </c>
      <c r="BK73"/>
      <c r="BL73" s="6"/>
      <c r="BM73"/>
      <c r="BN73" s="6">
        <f t="shared" si="13"/>
        <v>951000</v>
      </c>
      <c r="BO73"/>
      <c r="BP73" s="6">
        <f>351000+600000-R73</f>
        <v>19359</v>
      </c>
      <c r="BQ73"/>
      <c r="BR73" s="6">
        <f t="shared" si="14"/>
        <v>0</v>
      </c>
      <c r="BS73" s="6"/>
      <c r="BT73" s="6">
        <f t="shared" si="15"/>
        <v>951000</v>
      </c>
      <c r="BU73" s="6"/>
      <c r="BV73" s="6">
        <f t="shared" si="16"/>
        <v>-19359</v>
      </c>
      <c r="BW73" s="9"/>
    </row>
    <row r="74" spans="1:75" s="21" customFormat="1">
      <c r="A74" s="31"/>
      <c r="B74" s="236" t="s">
        <v>396</v>
      </c>
      <c r="J74" s="8"/>
      <c r="L74" s="141"/>
      <c r="M74" s="9"/>
      <c r="N74" s="9"/>
      <c r="O74" s="9"/>
      <c r="P74" s="9"/>
      <c r="Q74" s="9"/>
      <c r="R74" s="233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6">
        <f>18854000-18841458</f>
        <v>12542</v>
      </c>
      <c r="BK74"/>
      <c r="BL74" s="6"/>
      <c r="BM74"/>
      <c r="BN74" s="6">
        <f t="shared" si="13"/>
        <v>18854000</v>
      </c>
      <c r="BO74"/>
      <c r="BP74" s="6">
        <f>18854000-R74</f>
        <v>12556135</v>
      </c>
      <c r="BQ74"/>
      <c r="BR74" s="6">
        <f t="shared" si="14"/>
        <v>0</v>
      </c>
      <c r="BS74" s="6"/>
      <c r="BT74" s="6">
        <f t="shared" si="15"/>
        <v>18854000</v>
      </c>
      <c r="BU74" s="6"/>
      <c r="BV74" s="6">
        <f t="shared" si="16"/>
        <v>-12556135</v>
      </c>
      <c r="BW74" s="9"/>
    </row>
    <row r="75" spans="1:75" s="21" customFormat="1">
      <c r="A75" s="31"/>
      <c r="B75" s="236" t="s">
        <v>395</v>
      </c>
      <c r="J75" s="8"/>
      <c r="L75" s="141"/>
      <c r="M75" s="9"/>
      <c r="N75" s="9"/>
      <c r="O75" s="9"/>
      <c r="P75" s="9"/>
      <c r="Q75" s="9"/>
      <c r="R75" s="233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6">
        <f>4455000-4411227</f>
        <v>43773</v>
      </c>
      <c r="BK75"/>
      <c r="BL75" s="6"/>
      <c r="BM75"/>
      <c r="BN75" s="6">
        <f t="shared" si="13"/>
        <v>4455000</v>
      </c>
      <c r="BO75"/>
      <c r="BP75" s="6">
        <f>4457000-R75</f>
        <v>3588660</v>
      </c>
      <c r="BQ75"/>
      <c r="BR75" s="6">
        <f t="shared" si="14"/>
        <v>2000</v>
      </c>
      <c r="BS75" s="6"/>
      <c r="BT75" s="6">
        <f t="shared" si="15"/>
        <v>4457000</v>
      </c>
      <c r="BU75" s="6"/>
      <c r="BV75" s="6">
        <f t="shared" si="16"/>
        <v>-3588660</v>
      </c>
      <c r="BW75" s="9"/>
    </row>
    <row r="76" spans="1:75" s="21" customFormat="1">
      <c r="A76" s="31"/>
      <c r="B76" s="236" t="s">
        <v>309</v>
      </c>
      <c r="J76" s="8"/>
      <c r="L76" s="141"/>
      <c r="M76" s="9"/>
      <c r="N76" s="9"/>
      <c r="O76" s="9"/>
      <c r="P76" s="9"/>
      <c r="Q76" s="9"/>
      <c r="R76" s="233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6">
        <v>0</v>
      </c>
      <c r="BK76"/>
      <c r="BL76" s="6">
        <v>0</v>
      </c>
      <c r="BM76"/>
      <c r="BN76" s="6">
        <f t="shared" si="13"/>
        <v>0</v>
      </c>
      <c r="BO76"/>
      <c r="BP76" s="6">
        <v>1225177</v>
      </c>
      <c r="BQ76"/>
      <c r="BR76" s="6">
        <f t="shared" si="14"/>
        <v>0</v>
      </c>
      <c r="BS76" s="6"/>
      <c r="BT76" s="6">
        <f t="shared" si="15"/>
        <v>0</v>
      </c>
      <c r="BU76" s="6"/>
      <c r="BV76" s="6">
        <f t="shared" si="16"/>
        <v>-1225177</v>
      </c>
      <c r="BW76" s="9"/>
    </row>
    <row r="77" spans="1:75" s="21" customFormat="1">
      <c r="A77" s="31"/>
      <c r="B77" s="236" t="s">
        <v>369</v>
      </c>
      <c r="J77" s="8"/>
      <c r="L77" s="141"/>
      <c r="M77" s="9"/>
      <c r="N77" s="9"/>
      <c r="O77" s="9"/>
      <c r="P77" s="9"/>
      <c r="Q77" s="9"/>
      <c r="R77" s="233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6">
        <f>292000-286812</f>
        <v>5188</v>
      </c>
      <c r="BK77"/>
      <c r="BL77" s="6"/>
      <c r="BM77"/>
      <c r="BN77" s="6">
        <f t="shared" si="13"/>
        <v>292000</v>
      </c>
      <c r="BO77"/>
      <c r="BP77" s="6">
        <f>292000-R77</f>
        <v>292000</v>
      </c>
      <c r="BQ77"/>
      <c r="BR77" s="6">
        <f t="shared" si="14"/>
        <v>0</v>
      </c>
      <c r="BS77" s="6"/>
      <c r="BT77" s="6">
        <f t="shared" si="15"/>
        <v>292000</v>
      </c>
      <c r="BU77" s="6"/>
      <c r="BV77" s="6">
        <f t="shared" si="16"/>
        <v>-292000</v>
      </c>
      <c r="BW77" s="9"/>
    </row>
    <row r="78" spans="1:75" s="21" customFormat="1">
      <c r="A78" s="31"/>
      <c r="B78" s="236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6">
        <f>251000-254882</f>
        <v>-3882</v>
      </c>
      <c r="BK78"/>
      <c r="BL78" s="6"/>
      <c r="BM78"/>
      <c r="BN78" s="6">
        <f t="shared" si="13"/>
        <v>251000</v>
      </c>
      <c r="BO78"/>
      <c r="BP78" s="9">
        <v>251000</v>
      </c>
      <c r="BQ78"/>
      <c r="BR78" s="6">
        <f t="shared" si="14"/>
        <v>0</v>
      </c>
      <c r="BS78" s="6"/>
      <c r="BT78" s="6">
        <f t="shared" si="15"/>
        <v>251000</v>
      </c>
      <c r="BU78" s="6"/>
      <c r="BV78" s="6">
        <f t="shared" si="16"/>
        <v>-251000</v>
      </c>
      <c r="BW78" s="9"/>
    </row>
    <row r="79" spans="1:75" s="21" customFormat="1">
      <c r="A79" s="31"/>
      <c r="B79" s="231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6">
        <f>240000-234280</f>
        <v>5720</v>
      </c>
      <c r="BK79"/>
      <c r="BL79" s="6"/>
      <c r="BM79"/>
      <c r="BN79" s="6">
        <f t="shared" si="13"/>
        <v>240000</v>
      </c>
      <c r="BO79"/>
      <c r="BP79" s="6">
        <v>-51000</v>
      </c>
      <c r="BQ79"/>
      <c r="BR79" s="6">
        <f t="shared" si="14"/>
        <v>0</v>
      </c>
      <c r="BS79" s="9"/>
      <c r="BT79" s="6">
        <f t="shared" si="15"/>
        <v>240000</v>
      </c>
      <c r="BU79" s="9"/>
      <c r="BV79" s="6">
        <f t="shared" si="16"/>
        <v>-240000</v>
      </c>
      <c r="BW79" s="9"/>
    </row>
    <row r="80" spans="1:75" s="21" customFormat="1">
      <c r="A80" s="31"/>
      <c r="B80" s="234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W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1062916</v>
      </c>
      <c r="BK80"/>
      <c r="BL80" s="9">
        <f t="shared" si="17"/>
        <v>0</v>
      </c>
      <c r="BM80"/>
      <c r="BN80" s="9">
        <f t="shared" si="17"/>
        <v>46769641</v>
      </c>
      <c r="BO80"/>
      <c r="BP80" s="9">
        <f t="shared" si="17"/>
        <v>26477795</v>
      </c>
      <c r="BQ80"/>
      <c r="BR80" s="9">
        <f t="shared" si="17"/>
        <v>180326</v>
      </c>
      <c r="BS80" s="9">
        <f t="shared" si="17"/>
        <v>0</v>
      </c>
      <c r="BT80" s="9">
        <f t="shared" si="17"/>
        <v>46949964</v>
      </c>
      <c r="BU80" s="9">
        <f t="shared" si="17"/>
        <v>0</v>
      </c>
      <c r="BV80" s="9">
        <f t="shared" si="17"/>
        <v>-26771759</v>
      </c>
      <c r="BW80" s="9">
        <f t="shared" si="17"/>
        <v>0</v>
      </c>
    </row>
    <row r="81" spans="1:75" s="21" customFormat="1">
      <c r="A81" s="31"/>
      <c r="B81" s="234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/>
      <c r="BR81" s="9"/>
      <c r="BS81" s="9"/>
      <c r="BT81" s="9"/>
      <c r="BU81" s="9"/>
      <c r="BV81" s="9"/>
      <c r="BW81" s="9"/>
    </row>
    <row r="82" spans="1:75" s="21" customFormat="1">
      <c r="A82" s="31"/>
      <c r="B82" s="239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/>
      <c r="BR82" s="9"/>
      <c r="BS82" s="9"/>
      <c r="BT82" s="9"/>
      <c r="BU82" s="9"/>
      <c r="BV82" s="9"/>
      <c r="BW82" s="9"/>
    </row>
    <row r="83" spans="1:75" s="21" customFormat="1">
      <c r="A83" s="31"/>
      <c r="B83" s="238" t="s">
        <v>67</v>
      </c>
      <c r="J83" s="8"/>
      <c r="L83" s="141"/>
      <c r="M83" s="9"/>
      <c r="N83" s="9"/>
      <c r="O83" s="9"/>
      <c r="P83" s="9"/>
      <c r="Q83" s="9"/>
      <c r="R83" s="233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6">
        <f>4563000-4901020</f>
        <v>-338020</v>
      </c>
      <c r="BK83"/>
      <c r="BL83" s="6"/>
      <c r="BM83"/>
      <c r="BN83" s="6">
        <f>SUM(T83:BM83)</f>
        <v>4563000</v>
      </c>
      <c r="BO83"/>
      <c r="BP83" s="6">
        <f>4660000-R83</f>
        <v>-652100</v>
      </c>
      <c r="BQ83"/>
      <c r="BR83" s="6">
        <f>IF(+R83-BN83+BP83&gt;0,R83-BN83+BP83,0)</f>
        <v>97000</v>
      </c>
      <c r="BS83" s="6"/>
      <c r="BT83" s="6">
        <f>+BN83+BR83</f>
        <v>4660000</v>
      </c>
      <c r="BU83" s="6"/>
      <c r="BV83" s="6">
        <f>+R83-BT83</f>
        <v>652100</v>
      </c>
      <c r="BW83" s="9"/>
    </row>
    <row r="84" spans="1:75" s="21" customFormat="1">
      <c r="A84" s="31"/>
      <c r="B84" s="231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/>
      <c r="BR84" s="9"/>
      <c r="BS84" s="9"/>
      <c r="BT84" s="9"/>
      <c r="BU84" s="9"/>
      <c r="BV84" s="9"/>
      <c r="BW84" s="9"/>
    </row>
    <row r="85" spans="1:75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-338020</v>
      </c>
      <c r="BK85"/>
      <c r="BL85" s="9">
        <f>SUM(BL83:BL84)</f>
        <v>0</v>
      </c>
      <c r="BM85"/>
      <c r="BN85" s="9">
        <f>SUM(BN83:BN84)</f>
        <v>4563000</v>
      </c>
      <c r="BO85"/>
      <c r="BP85" s="9">
        <f>SUM(BP83:BP84)</f>
        <v>-652100</v>
      </c>
      <c r="BQ85"/>
      <c r="BR85" s="9">
        <f>SUM(BR83:BR84)</f>
        <v>97000</v>
      </c>
      <c r="BS85" s="9">
        <f>SUM(BS83:BS84)</f>
        <v>0</v>
      </c>
      <c r="BT85" s="9">
        <f>SUM(BT83:BT84)</f>
        <v>4660000</v>
      </c>
      <c r="BU85" s="9">
        <f>SUM(BU83:BU84)</f>
        <v>0</v>
      </c>
      <c r="BV85" s="6">
        <f>+R85-BT85</f>
        <v>652100</v>
      </c>
      <c r="BW85" s="9"/>
    </row>
    <row r="86" spans="1:75" s="21" customFormat="1">
      <c r="A86" s="31"/>
      <c r="B86" s="239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9"/>
      <c r="BM86"/>
      <c r="BN86" s="6">
        <f>SUM(T86:BM86)</f>
        <v>0</v>
      </c>
      <c r="BO86"/>
      <c r="BP86" s="9"/>
      <c r="BQ86"/>
      <c r="BR86" s="6"/>
      <c r="BS86" s="9">
        <f>SUM(BS84:BS85)</f>
        <v>0</v>
      </c>
      <c r="BT86" s="6">
        <v>0</v>
      </c>
      <c r="BU86" s="9">
        <f>SUM(BU84:BU85)</f>
        <v>0</v>
      </c>
      <c r="BV86" s="6">
        <f>+R86-BT86</f>
        <v>0</v>
      </c>
      <c r="BW86" s="9"/>
    </row>
    <row r="87" spans="1:75" s="21" customFormat="1">
      <c r="A87" s="31"/>
      <c r="B87" s="239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>
        <v>-1097729</v>
      </c>
      <c r="BK87"/>
      <c r="BL87" s="9"/>
      <c r="BM87"/>
      <c r="BN87" s="9">
        <f>SUM(T87:BM87)</f>
        <v>2855719</v>
      </c>
      <c r="BO87"/>
      <c r="BP87" s="9">
        <v>0</v>
      </c>
      <c r="BQ87"/>
      <c r="BR87" s="275">
        <f>-2855719-292964</f>
        <v>-3148683</v>
      </c>
      <c r="BS87" s="9">
        <f>SUM(BS85:BS86)</f>
        <v>0</v>
      </c>
      <c r="BT87" s="6">
        <f>+BN87+BR87</f>
        <v>-292964</v>
      </c>
      <c r="BU87" s="9">
        <f>SUM(BU85:BU86)</f>
        <v>0</v>
      </c>
      <c r="BV87" s="6">
        <f>+R87-BT87</f>
        <v>292964</v>
      </c>
      <c r="BW87" s="9"/>
    </row>
    <row r="88" spans="1:75" s="21" customFormat="1">
      <c r="A88" s="31"/>
      <c r="B88" s="245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/>
      <c r="BR88" s="9"/>
      <c r="BS88" s="9"/>
      <c r="BT88" s="6"/>
      <c r="BU88" s="9"/>
      <c r="BV88" s="6">
        <v>0</v>
      </c>
      <c r="BW88" s="9"/>
    </row>
    <row r="89" spans="1:75" s="105" customFormat="1">
      <c r="A89" s="54"/>
      <c r="B89" s="241" t="s">
        <v>243</v>
      </c>
      <c r="J89" s="156"/>
      <c r="L89" s="142"/>
      <c r="M89" s="13"/>
      <c r="N89" s="242">
        <f>SUM(N37:N88)</f>
        <v>0</v>
      </c>
      <c r="O89" s="13"/>
      <c r="P89" s="242">
        <f>SUM(P37:P88)</f>
        <v>0</v>
      </c>
      <c r="Q89" s="13"/>
      <c r="R89" s="242">
        <f t="shared" ref="R89:AD89" si="20">R85+R80+R53+R46+R87</f>
        <v>50944642</v>
      </c>
      <c r="S89" s="242">
        <f t="shared" si="20"/>
        <v>0</v>
      </c>
      <c r="T89" s="242">
        <f t="shared" si="20"/>
        <v>0</v>
      </c>
      <c r="U89" s="242">
        <f t="shared" si="20"/>
        <v>0</v>
      </c>
      <c r="V89" s="242">
        <f t="shared" si="20"/>
        <v>0</v>
      </c>
      <c r="W89" s="242">
        <f t="shared" si="20"/>
        <v>0</v>
      </c>
      <c r="X89" s="242">
        <f t="shared" si="20"/>
        <v>0</v>
      </c>
      <c r="Y89" s="242">
        <f t="shared" si="20"/>
        <v>0</v>
      </c>
      <c r="Z89" s="242">
        <f t="shared" si="20"/>
        <v>0</v>
      </c>
      <c r="AA89" s="242">
        <f t="shared" si="20"/>
        <v>0</v>
      </c>
      <c r="AB89" s="242">
        <f t="shared" si="20"/>
        <v>0</v>
      </c>
      <c r="AC89" s="242">
        <f t="shared" si="20"/>
        <v>0</v>
      </c>
      <c r="AD89" s="242">
        <f t="shared" si="20"/>
        <v>0</v>
      </c>
      <c r="AE89" s="242"/>
      <c r="AF89" s="242">
        <f>AF85+AF80+AF53+AF46+AF87</f>
        <v>0</v>
      </c>
      <c r="AG89" s="242"/>
      <c r="AH89" s="242">
        <f>AH85+AH80+AH53+AH46+AH87</f>
        <v>0</v>
      </c>
      <c r="AI89" s="242"/>
      <c r="AJ89" s="242">
        <f t="shared" ref="AJ89:BW89" si="21">AJ85+AJ80+AJ53+AJ46+AJ87</f>
        <v>0</v>
      </c>
      <c r="AK89" s="242">
        <f t="shared" si="21"/>
        <v>0</v>
      </c>
      <c r="AL89" s="242">
        <f t="shared" si="21"/>
        <v>0</v>
      </c>
      <c r="AM89" s="242">
        <f t="shared" si="21"/>
        <v>0</v>
      </c>
      <c r="AN89" s="242">
        <f t="shared" si="21"/>
        <v>0</v>
      </c>
      <c r="AO89" s="242">
        <f t="shared" si="21"/>
        <v>0</v>
      </c>
      <c r="AP89" s="242">
        <f t="shared" si="21"/>
        <v>9438462</v>
      </c>
      <c r="AQ89" s="242">
        <f t="shared" si="21"/>
        <v>0</v>
      </c>
      <c r="AR89" s="242">
        <f t="shared" si="21"/>
        <v>10717074</v>
      </c>
      <c r="AS89" s="242">
        <f t="shared" si="21"/>
        <v>0</v>
      </c>
      <c r="AT89" s="242">
        <f t="shared" si="21"/>
        <v>744251</v>
      </c>
      <c r="AU89" s="242">
        <f t="shared" si="21"/>
        <v>0</v>
      </c>
      <c r="AV89" s="242">
        <f t="shared" si="21"/>
        <v>12922196</v>
      </c>
      <c r="AW89" s="242">
        <f t="shared" si="21"/>
        <v>0</v>
      </c>
      <c r="AX89" s="242">
        <f t="shared" si="21"/>
        <v>11527832</v>
      </c>
      <c r="AY89" s="242">
        <f t="shared" si="21"/>
        <v>0</v>
      </c>
      <c r="AZ89" s="242">
        <f t="shared" si="21"/>
        <v>19510321</v>
      </c>
      <c r="BA89" s="242">
        <f t="shared" si="21"/>
        <v>0</v>
      </c>
      <c r="BB89" s="242">
        <f t="shared" si="21"/>
        <v>0</v>
      </c>
      <c r="BC89" s="242"/>
      <c r="BD89" s="242">
        <f t="shared" si="21"/>
        <v>10907182</v>
      </c>
      <c r="BE89"/>
      <c r="BF89" s="242">
        <f t="shared" si="21"/>
        <v>977079</v>
      </c>
      <c r="BG89"/>
      <c r="BH89" s="242">
        <f t="shared" si="21"/>
        <v>0</v>
      </c>
      <c r="BI89"/>
      <c r="BJ89" s="242">
        <f t="shared" si="21"/>
        <v>0</v>
      </c>
      <c r="BK89"/>
      <c r="BL89" s="242">
        <f>BL85+BL80+BL53+BL46+BL87</f>
        <v>0</v>
      </c>
      <c r="BM89"/>
      <c r="BN89" s="242">
        <f>BN85+BN80+BN53+BN46+BN87+BN86</f>
        <v>76744397</v>
      </c>
      <c r="BO89"/>
      <c r="BP89" s="242">
        <f t="shared" si="21"/>
        <v>24286358</v>
      </c>
      <c r="BQ89"/>
      <c r="BR89" s="242">
        <f>BR85+BR80+BR53+BR46+BR87+BR86</f>
        <v>-1512394</v>
      </c>
      <c r="BS89" s="242">
        <f t="shared" si="21"/>
        <v>0</v>
      </c>
      <c r="BT89" s="242">
        <f>BT85+BT80+BT53+BT46+BT87+BT86+BT88</f>
        <v>75232000</v>
      </c>
      <c r="BU89" s="242">
        <f t="shared" si="21"/>
        <v>0</v>
      </c>
      <c r="BV89" s="242">
        <f>BV85+BV80+BV53+BV46+BV87+BV86</f>
        <v>-24287358</v>
      </c>
      <c r="BW89" s="242">
        <f t="shared" si="21"/>
        <v>0</v>
      </c>
    </row>
    <row r="90" spans="1:75">
      <c r="A90" s="100"/>
      <c r="B90" s="17"/>
      <c r="C90"/>
      <c r="D90"/>
      <c r="E90"/>
      <c r="F90"/>
      <c r="G90"/>
      <c r="H90"/>
      <c r="I90"/>
      <c r="J90" s="49"/>
      <c r="K90"/>
      <c r="L90" s="132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L90" s="6"/>
      <c r="BP90" s="6"/>
      <c r="BW90" s="6"/>
    </row>
    <row r="91" spans="1:75">
      <c r="A91" s="58" t="s">
        <v>227</v>
      </c>
      <c r="B91" s="11"/>
      <c r="C91"/>
      <c r="D91"/>
      <c r="E91"/>
      <c r="F91"/>
      <c r="G91"/>
      <c r="H91"/>
      <c r="I91"/>
      <c r="J91" s="49"/>
      <c r="K91"/>
      <c r="L91" s="132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L91" s="6"/>
      <c r="BP91" s="6"/>
      <c r="BW91" s="6"/>
    </row>
    <row r="92" spans="1:75">
      <c r="A92" s="17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2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L92" s="6">
        <v>0</v>
      </c>
      <c r="BN92" s="6">
        <f t="shared" ref="BN92:BN97" si="22">SUM(T92:BM92)</f>
        <v>946940.33333333314</v>
      </c>
      <c r="BP92" s="6"/>
      <c r="BR92" s="6">
        <f t="shared" ref="BR92:BR98" si="23">IF(+R92-BN92+BP92&gt;0,R92-BN92+BP92,0)</f>
        <v>0</v>
      </c>
      <c r="BT92" s="6">
        <f t="shared" ref="BT92:BT97" si="24">+BN92+BR92</f>
        <v>946940.33333333314</v>
      </c>
      <c r="BV92" s="6">
        <f t="shared" ref="BV92:BV97" si="25">+R92-BT92</f>
        <v>-11740.333333333139</v>
      </c>
      <c r="BW92" s="6"/>
    </row>
    <row r="93" spans="1:75">
      <c r="A93" s="17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2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v>0</v>
      </c>
      <c r="BN93" s="6">
        <f t="shared" si="22"/>
        <v>2824792</v>
      </c>
      <c r="BP93" s="6">
        <v>-8</v>
      </c>
      <c r="BR93" s="6">
        <f t="shared" si="23"/>
        <v>0</v>
      </c>
      <c r="BT93" s="6">
        <f t="shared" si="24"/>
        <v>2824792</v>
      </c>
      <c r="BV93" s="6">
        <f t="shared" si="25"/>
        <v>8</v>
      </c>
      <c r="BW93" s="6"/>
    </row>
    <row r="94" spans="1:75">
      <c r="A94" s="17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2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6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v>0</v>
      </c>
      <c r="BN94" s="6">
        <f t="shared" si="22"/>
        <v>0</v>
      </c>
      <c r="BP94" s="6">
        <v>0</v>
      </c>
      <c r="BR94" s="6">
        <f t="shared" si="23"/>
        <v>0</v>
      </c>
      <c r="BT94" s="6">
        <f t="shared" si="24"/>
        <v>0</v>
      </c>
      <c r="BV94" s="6">
        <f t="shared" si="25"/>
        <v>0</v>
      </c>
      <c r="BW94" s="6"/>
    </row>
    <row r="95" spans="1:75">
      <c r="A95" s="17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v>0</v>
      </c>
      <c r="BN95" s="12">
        <f t="shared" si="22"/>
        <v>0</v>
      </c>
      <c r="BP95" s="12">
        <v>0</v>
      </c>
      <c r="BR95" s="6">
        <f t="shared" si="23"/>
        <v>0</v>
      </c>
      <c r="BS95" s="12"/>
      <c r="BT95" s="6">
        <f t="shared" si="24"/>
        <v>0</v>
      </c>
      <c r="BU95" s="12"/>
      <c r="BV95" s="6">
        <f t="shared" si="25"/>
        <v>0</v>
      </c>
      <c r="BW95" s="12"/>
    </row>
    <row r="96" spans="1:75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4" t="s">
        <v>236</v>
      </c>
      <c r="K96" s="30"/>
      <c r="L96" s="132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v>0</v>
      </c>
      <c r="BM96"/>
      <c r="BN96" s="12">
        <f t="shared" si="22"/>
        <v>0</v>
      </c>
      <c r="BO96"/>
      <c r="BP96" s="12">
        <v>0</v>
      </c>
      <c r="BQ96"/>
      <c r="BR96" s="6">
        <f t="shared" si="23"/>
        <v>0</v>
      </c>
      <c r="BS96" s="12"/>
      <c r="BT96" s="6">
        <f t="shared" si="24"/>
        <v>0</v>
      </c>
      <c r="BU96" s="12"/>
      <c r="BV96" s="6">
        <f t="shared" si="25"/>
        <v>0</v>
      </c>
      <c r="BW96" s="12"/>
    </row>
    <row r="97" spans="1:75">
      <c r="A97" s="17"/>
      <c r="B97" s="17" t="s">
        <v>121</v>
      </c>
      <c r="C97"/>
      <c r="D97"/>
      <c r="E97"/>
      <c r="F97"/>
      <c r="G97"/>
      <c r="H97"/>
      <c r="I97"/>
      <c r="J97" s="49"/>
      <c r="K97"/>
      <c r="L97" s="132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v>0</v>
      </c>
      <c r="BN97" s="12">
        <f t="shared" si="22"/>
        <v>0</v>
      </c>
      <c r="BP97" s="12">
        <v>0</v>
      </c>
      <c r="BR97" s="6">
        <f t="shared" si="23"/>
        <v>0</v>
      </c>
      <c r="BS97" s="12"/>
      <c r="BT97" s="6">
        <f t="shared" si="24"/>
        <v>0</v>
      </c>
      <c r="BU97" s="12"/>
      <c r="BV97" s="6">
        <f t="shared" si="25"/>
        <v>0</v>
      </c>
      <c r="BW97" s="12"/>
    </row>
    <row r="98" spans="1:75">
      <c r="A98" s="17"/>
      <c r="B98" s="17"/>
      <c r="C98"/>
      <c r="D98"/>
      <c r="E98"/>
      <c r="F98"/>
      <c r="G98"/>
      <c r="H98"/>
      <c r="I98"/>
      <c r="J98" s="49"/>
      <c r="K98"/>
      <c r="L98" s="132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12"/>
      <c r="BR98" s="6">
        <f t="shared" si="23"/>
        <v>0</v>
      </c>
      <c r="BS98" s="12"/>
      <c r="BT98" s="12"/>
      <c r="BU98" s="12"/>
      <c r="BV98" s="12"/>
      <c r="BW98" s="12"/>
    </row>
    <row r="99" spans="1:75" s="114" customFormat="1">
      <c r="A99" s="286"/>
      <c r="B99" s="113" t="s">
        <v>244</v>
      </c>
      <c r="J99" s="155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6741</v>
      </c>
      <c r="BK99"/>
      <c r="BL99" s="116">
        <f>SUM(BL92:BL98)</f>
        <v>0</v>
      </c>
      <c r="BM99"/>
      <c r="BN99" s="116">
        <f>SUM(BN92:BN98)</f>
        <v>3771732.333333333</v>
      </c>
      <c r="BO99"/>
      <c r="BP99" s="116">
        <f>SUM(BP92:BP98)</f>
        <v>-8</v>
      </c>
      <c r="BQ99"/>
      <c r="BR99" s="116">
        <f>SUM(BR92:BR98)</f>
        <v>0</v>
      </c>
      <c r="BS99" s="115"/>
      <c r="BT99" s="116">
        <f>SUM(BT92:BT98)</f>
        <v>3771732.333333333</v>
      </c>
      <c r="BU99" s="115"/>
      <c r="BV99" s="116">
        <f>SUM(BV92:BV98)</f>
        <v>-11732.333333333139</v>
      </c>
      <c r="BW99" s="117"/>
    </row>
    <row r="100" spans="1:75" customFormat="1">
      <c r="A100" s="30"/>
    </row>
    <row r="101" spans="1:75" s="15" customFormat="1">
      <c r="A101" s="77" t="s">
        <v>242</v>
      </c>
      <c r="B101" s="17"/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/>
      <c r="BR101" s="22"/>
      <c r="BS101" s="22"/>
      <c r="BT101" s="22"/>
      <c r="BU101" s="22"/>
      <c r="BV101" s="22"/>
      <c r="BW101" s="22"/>
    </row>
    <row r="102" spans="1:75" s="15" customFormat="1">
      <c r="A102" s="77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368146</v>
      </c>
      <c r="BK102"/>
      <c r="BL102" s="22"/>
      <c r="BM102"/>
      <c r="BN102" s="22">
        <f>SUM(T102:BM102)</f>
        <v>9230771</v>
      </c>
      <c r="BO102"/>
      <c r="BP102" s="22">
        <v>440</v>
      </c>
      <c r="BQ102"/>
      <c r="BR102" s="6">
        <f t="shared" ref="BR102:BR107" si="26">IF(+R102-BN102+BP102&gt;0,R102-BN102+BP102,0)</f>
        <v>248748</v>
      </c>
      <c r="BS102" s="22"/>
      <c r="BT102" s="6">
        <f>+BN102+BR102</f>
        <v>9479519</v>
      </c>
      <c r="BU102" s="22"/>
      <c r="BV102" s="6">
        <f>+R102-BT102</f>
        <v>-440</v>
      </c>
      <c r="BW102" s="22"/>
    </row>
    <row r="103" spans="1:75" s="15" customFormat="1">
      <c r="A103" s="77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v>0</v>
      </c>
      <c r="BM103"/>
      <c r="BN103" s="22">
        <f>SUM(T103:BM103)</f>
        <v>0</v>
      </c>
      <c r="BO103"/>
      <c r="BP103" s="22">
        <v>0</v>
      </c>
      <c r="BQ103"/>
      <c r="BR103" s="6">
        <f t="shared" si="26"/>
        <v>0</v>
      </c>
      <c r="BS103" s="22"/>
      <c r="BT103" s="6">
        <f>+BN103+BR103</f>
        <v>0</v>
      </c>
      <c r="BU103" s="22"/>
      <c r="BV103" s="6">
        <f>+R103-BT103</f>
        <v>0</v>
      </c>
      <c r="BW103" s="22"/>
    </row>
    <row r="104" spans="1:75" s="15" customFormat="1">
      <c r="A104" s="100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v>0</v>
      </c>
      <c r="BM104"/>
      <c r="BN104" s="22">
        <f>SUM(T104:BM104)</f>
        <v>0</v>
      </c>
      <c r="BO104"/>
      <c r="BP104" s="22">
        <v>0</v>
      </c>
      <c r="BQ104"/>
      <c r="BR104" s="6">
        <f t="shared" si="26"/>
        <v>0</v>
      </c>
      <c r="BS104" s="22"/>
      <c r="BT104" s="6">
        <f>+BN104+BR104</f>
        <v>0</v>
      </c>
      <c r="BU104" s="22"/>
      <c r="BV104" s="6">
        <f>+R104-BT104</f>
        <v>0</v>
      </c>
      <c r="BW104" s="22"/>
    </row>
    <row r="105" spans="1:75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2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v>0</v>
      </c>
      <c r="BM105"/>
      <c r="BN105" s="80">
        <f>SUM(T105:BM105)</f>
        <v>0</v>
      </c>
      <c r="BO105"/>
      <c r="BP105" s="80">
        <v>0</v>
      </c>
      <c r="BQ105"/>
      <c r="BR105" s="6">
        <f t="shared" si="26"/>
        <v>0</v>
      </c>
      <c r="BS105" s="80"/>
      <c r="BT105" s="6">
        <f>+BN105+BR105</f>
        <v>0</v>
      </c>
      <c r="BU105" s="80"/>
      <c r="BV105" s="6">
        <f>+R105-BT105</f>
        <v>0</v>
      </c>
      <c r="BW105" s="80"/>
    </row>
    <row r="106" spans="1:75" s="15" customFormat="1">
      <c r="A106" s="100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2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v>0</v>
      </c>
      <c r="BM106"/>
      <c r="BN106" s="80">
        <f>SUM(T106:BM106)</f>
        <v>0</v>
      </c>
      <c r="BO106"/>
      <c r="BP106" s="80">
        <v>0</v>
      </c>
      <c r="BQ106"/>
      <c r="BR106" s="6">
        <f t="shared" si="26"/>
        <v>0</v>
      </c>
      <c r="BS106" s="22"/>
      <c r="BT106" s="6">
        <f>+BN106+BR106</f>
        <v>0</v>
      </c>
      <c r="BU106" s="22"/>
      <c r="BV106" s="6">
        <f>+R106-BT106</f>
        <v>0</v>
      </c>
      <c r="BW106" s="80"/>
    </row>
    <row r="107" spans="1:75" s="15" customFormat="1">
      <c r="A107" s="100"/>
      <c r="B107" s="17"/>
      <c r="C107"/>
      <c r="D107"/>
      <c r="E107"/>
      <c r="F107"/>
      <c r="G107"/>
      <c r="H107"/>
      <c r="I107"/>
      <c r="J107" s="49"/>
      <c r="K107"/>
      <c r="L107" s="132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80"/>
      <c r="BQ107"/>
      <c r="BR107" s="6">
        <f t="shared" si="26"/>
        <v>0</v>
      </c>
      <c r="BS107" s="22"/>
      <c r="BT107" s="80"/>
      <c r="BU107" s="22"/>
      <c r="BV107" s="80"/>
      <c r="BW107" s="80"/>
    </row>
    <row r="108" spans="1:75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368146</v>
      </c>
      <c r="BK108"/>
      <c r="BL108" s="108">
        <f>SUM(BL102:BL107)</f>
        <v>0</v>
      </c>
      <c r="BM108"/>
      <c r="BN108" s="108">
        <f>SUM(BN102:BN107)</f>
        <v>9230771</v>
      </c>
      <c r="BO108"/>
      <c r="BP108" s="108">
        <f>SUM(BP102:BP107)</f>
        <v>440</v>
      </c>
      <c r="BQ108"/>
      <c r="BR108" s="108">
        <f>SUM(BR102:BR107)</f>
        <v>248748</v>
      </c>
      <c r="BS108" s="16"/>
      <c r="BT108" s="108">
        <f>SUM(BT102:BT107)</f>
        <v>9479519</v>
      </c>
      <c r="BU108" s="16"/>
      <c r="BV108" s="108">
        <f>SUM(BV102:BV107)</f>
        <v>-440</v>
      </c>
      <c r="BW108" s="16"/>
    </row>
    <row r="109" spans="1:75" s="15" customFormat="1">
      <c r="A109" s="100"/>
      <c r="B109" s="17"/>
      <c r="C109"/>
      <c r="D109"/>
      <c r="E109"/>
      <c r="F109"/>
      <c r="G109"/>
      <c r="H109"/>
      <c r="I109"/>
      <c r="J109" s="49"/>
      <c r="K109"/>
      <c r="L109" s="13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/>
      <c r="BR109" s="22"/>
      <c r="BS109" s="22"/>
      <c r="BT109" s="22"/>
      <c r="BU109" s="22"/>
      <c r="BV109" s="22"/>
      <c r="BW109" s="22"/>
    </row>
    <row r="110" spans="1:75" s="105" customFormat="1">
      <c r="A110" s="241" t="s">
        <v>246</v>
      </c>
      <c r="B110" s="63"/>
      <c r="J110" s="156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/>
      <c r="BR110" s="13"/>
      <c r="BS110" s="13"/>
      <c r="BT110" s="13"/>
      <c r="BU110" s="13"/>
      <c r="BV110" s="13"/>
      <c r="BW110" s="13"/>
    </row>
    <row r="111" spans="1:75" s="15" customFormat="1">
      <c r="A111" s="109"/>
      <c r="B111" s="60"/>
      <c r="C111"/>
      <c r="D111"/>
      <c r="E111"/>
      <c r="F111"/>
      <c r="G111"/>
      <c r="H111"/>
      <c r="I111"/>
      <c r="J111" s="49"/>
      <c r="K111"/>
      <c r="L111" s="13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/>
      <c r="BR111" s="22"/>
      <c r="BS111" s="22"/>
      <c r="BT111" s="22"/>
      <c r="BU111" s="22"/>
      <c r="BV111" s="22"/>
      <c r="BW111" s="22"/>
    </row>
    <row r="112" spans="1:75" s="15" customFormat="1">
      <c r="A112" s="109"/>
      <c r="B112" s="60"/>
      <c r="C112"/>
      <c r="D112"/>
      <c r="E112"/>
      <c r="F112"/>
      <c r="G112"/>
      <c r="H112"/>
      <c r="I112"/>
      <c r="J112" s="49"/>
      <c r="K112"/>
      <c r="L112" s="13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/>
      <c r="BR112" s="22"/>
      <c r="BS112" s="22"/>
      <c r="BT112" s="22"/>
      <c r="BU112" s="22"/>
      <c r="BV112" s="22"/>
      <c r="BW112" s="22"/>
    </row>
    <row r="113" spans="1:75">
      <c r="A113" s="58" t="s">
        <v>25</v>
      </c>
      <c r="B113" s="58"/>
      <c r="C113"/>
      <c r="D113"/>
      <c r="E113"/>
      <c r="F113"/>
      <c r="G113"/>
      <c r="H113"/>
      <c r="I113"/>
      <c r="J113" s="49"/>
      <c r="K113"/>
      <c r="L113" s="132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L113" s="6"/>
      <c r="BP113" s="6"/>
      <c r="BS113" s="22"/>
      <c r="BU113" s="22"/>
      <c r="BW113" s="6"/>
    </row>
    <row r="114" spans="1:75">
      <c r="A114" s="17"/>
      <c r="B114" s="17" t="s">
        <v>377</v>
      </c>
      <c r="E114" s="4"/>
      <c r="G114" s="4"/>
      <c r="I114" s="4"/>
      <c r="J114" s="5" t="s">
        <v>0</v>
      </c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v>0</v>
      </c>
      <c r="BN114" s="6">
        <f>SUM(T114:BM114)</f>
        <v>185000</v>
      </c>
      <c r="BP114" s="6">
        <v>0</v>
      </c>
      <c r="BR114" s="6">
        <f>IF(+R114-BN114+BP114&gt;0,R114-BN114+BP114,0)</f>
        <v>0</v>
      </c>
      <c r="BS114" s="22"/>
      <c r="BT114" s="6">
        <f>+BN114+BR114</f>
        <v>185000</v>
      </c>
      <c r="BU114" s="22"/>
      <c r="BV114" s="6">
        <f>+R114-BT114</f>
        <v>0</v>
      </c>
      <c r="BW114" s="6"/>
    </row>
    <row r="115" spans="1:75">
      <c r="A115" s="17"/>
      <c r="B115" s="17" t="s">
        <v>379</v>
      </c>
      <c r="E115" s="4"/>
      <c r="G115" s="4"/>
      <c r="I115" s="4"/>
      <c r="L115" s="132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L115" s="6">
        <v>0</v>
      </c>
      <c r="BN115" s="6">
        <f>SUM(T115:BM115)</f>
        <v>706889.62000000011</v>
      </c>
      <c r="BP115" s="6">
        <v>0</v>
      </c>
      <c r="BR115" s="6">
        <f>+R115-BN115+BP115</f>
        <v>16896.379999999888</v>
      </c>
      <c r="BS115" s="22"/>
      <c r="BT115" s="6">
        <f>+BN115+BR115</f>
        <v>723786</v>
      </c>
      <c r="BU115" s="22"/>
      <c r="BV115" s="6">
        <f>+R115-BT115</f>
        <v>0</v>
      </c>
      <c r="BW115" s="6"/>
    </row>
    <row r="116" spans="1:75" hidden="1">
      <c r="A116" s="17"/>
      <c r="B116" s="17" t="s">
        <v>121</v>
      </c>
      <c r="E116" s="4"/>
      <c r="G116" s="4"/>
      <c r="I116" s="4"/>
      <c r="L116" s="132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v>0</v>
      </c>
      <c r="BN116" s="6">
        <f>SUM(T116:BM116)</f>
        <v>0</v>
      </c>
      <c r="BP116" s="6">
        <v>0</v>
      </c>
      <c r="BR116" s="6">
        <f>+R116-BN116+BP116</f>
        <v>0</v>
      </c>
      <c r="BS116" s="22"/>
      <c r="BT116" s="6">
        <f>+BN116+BR116</f>
        <v>0</v>
      </c>
      <c r="BU116" s="22"/>
      <c r="BV116" s="6">
        <f>+R116-BT116</f>
        <v>0</v>
      </c>
      <c r="BW116" s="6"/>
    </row>
    <row r="117" spans="1:75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37188</v>
      </c>
      <c r="BK117"/>
      <c r="BL117" s="102">
        <f>SUM(BL114:BL116)</f>
        <v>0</v>
      </c>
      <c r="BM117"/>
      <c r="BN117" s="108">
        <f>SUM(BN114:BN116)</f>
        <v>891889.62000000011</v>
      </c>
      <c r="BO117"/>
      <c r="BP117" s="102">
        <f>SUM(BP114:BP116)</f>
        <v>0</v>
      </c>
      <c r="BQ117"/>
      <c r="BR117" s="102">
        <f>SUM(BR114:BR116)</f>
        <v>16896.379999999888</v>
      </c>
      <c r="BS117" s="16"/>
      <c r="BT117" s="102">
        <f>SUM(BT114:BT116)</f>
        <v>908786</v>
      </c>
      <c r="BU117" s="16"/>
      <c r="BV117" s="102">
        <f>SUM(BV114:BV116)</f>
        <v>0</v>
      </c>
      <c r="BW117" s="9"/>
    </row>
    <row r="118" spans="1:75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/>
      <c r="BR118" s="10"/>
      <c r="BS118" s="16"/>
      <c r="BT118" s="10"/>
      <c r="BU118" s="16"/>
      <c r="BV118" s="10"/>
      <c r="BW118" s="9"/>
    </row>
    <row r="120" spans="1:75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/>
      <c r="BR120" s="9"/>
      <c r="BS120" s="9"/>
      <c r="BT120" s="9"/>
      <c r="BU120" s="9"/>
      <c r="BV120" s="9"/>
      <c r="BW120" s="9"/>
    </row>
    <row r="121" spans="1:75" s="21" customFormat="1">
      <c r="A121" s="58" t="s">
        <v>216</v>
      </c>
      <c r="B121" s="31"/>
      <c r="J121" s="8" t="s">
        <v>0</v>
      </c>
      <c r="L121" s="132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v>0</v>
      </c>
      <c r="BM121"/>
      <c r="BN121" s="9">
        <f>SUM(T121:BM121)</f>
        <v>396663.21</v>
      </c>
      <c r="BO121"/>
      <c r="BP121" s="9">
        <v>2743.49</v>
      </c>
      <c r="BQ121"/>
      <c r="BR121" s="6">
        <f>IF(+R121-BN121+BP121&gt;0,R121-BN121+BP121,0)</f>
        <v>0</v>
      </c>
      <c r="BS121" s="9"/>
      <c r="BT121" s="9">
        <f>+BN121+BR121</f>
        <v>396663.21</v>
      </c>
      <c r="BU121" s="9"/>
      <c r="BV121" s="9">
        <f>+R121-BT121</f>
        <v>-396663.21</v>
      </c>
      <c r="BW121" s="9"/>
    </row>
    <row r="122" spans="1:75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/>
      <c r="BR122" s="9"/>
      <c r="BS122" s="9"/>
      <c r="BT122" s="9"/>
      <c r="BU122" s="9"/>
      <c r="BV122" s="9"/>
      <c r="BW122" s="9"/>
    </row>
    <row r="123" spans="1:75" s="31" customFormat="1">
      <c r="A123" s="58" t="s">
        <v>30</v>
      </c>
      <c r="J123" s="157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359494</v>
      </c>
      <c r="BK123"/>
      <c r="BL123" s="10">
        <v>0</v>
      </c>
      <c r="BM123"/>
      <c r="BN123" s="10">
        <f>SUM(T123:BM123)</f>
        <v>359494</v>
      </c>
      <c r="BO123"/>
      <c r="BP123" s="10">
        <v>0</v>
      </c>
      <c r="BQ123"/>
      <c r="BR123" s="6">
        <f>IF(+R123-BN123+BP123&gt;0,R123-BN123+BP123,0)</f>
        <v>140506</v>
      </c>
      <c r="BS123" s="10"/>
      <c r="BT123" s="9">
        <f>+BN123+BR123</f>
        <v>500000</v>
      </c>
      <c r="BU123" s="10"/>
      <c r="BV123" s="9">
        <f>+R123-BT123</f>
        <v>0</v>
      </c>
      <c r="BW123" s="10"/>
    </row>
    <row r="124" spans="1:75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/>
      <c r="BR124" s="9"/>
      <c r="BS124" s="9"/>
      <c r="BT124" s="9"/>
      <c r="BU124" s="9"/>
      <c r="BV124" s="9"/>
      <c r="BW124" s="9"/>
    </row>
    <row r="125" spans="1:75" s="21" customFormat="1">
      <c r="A125" s="58" t="s">
        <v>26</v>
      </c>
      <c r="B125" s="58"/>
      <c r="J125" s="8" t="s">
        <v>0</v>
      </c>
      <c r="L125" s="132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3218</v>
      </c>
      <c r="BK125"/>
      <c r="BL125" s="9">
        <v>0</v>
      </c>
      <c r="BM125"/>
      <c r="BN125" s="22">
        <f>SUM(T125:BM125)</f>
        <v>505702.68999999994</v>
      </c>
      <c r="BO125"/>
      <c r="BP125" s="9">
        <v>0</v>
      </c>
      <c r="BQ125"/>
      <c r="BR125" s="6">
        <f>IF(+R125-BN125+BP125&gt;0,R125-BN125+BP125,0)</f>
        <v>748178.31</v>
      </c>
      <c r="BS125" s="16"/>
      <c r="BT125" s="9">
        <f>+BN125+BR125</f>
        <v>1253881</v>
      </c>
      <c r="BU125" s="16"/>
      <c r="BV125" s="9">
        <f>+R125-BT125</f>
        <v>0</v>
      </c>
      <c r="BW125" s="9"/>
    </row>
    <row r="126" spans="1:75" s="21" customFormat="1">
      <c r="A126" s="58"/>
      <c r="B126" s="31"/>
      <c r="J126" s="8"/>
      <c r="L126" s="132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/>
      <c r="BR126" s="9"/>
      <c r="BS126" s="9"/>
      <c r="BT126" s="9"/>
      <c r="BU126" s="9"/>
      <c r="BV126" s="9"/>
      <c r="BW126" s="9"/>
    </row>
    <row r="127" spans="1:75">
      <c r="A127" s="58" t="s">
        <v>27</v>
      </c>
      <c r="B127" s="11"/>
      <c r="C127"/>
      <c r="D127"/>
      <c r="E127"/>
      <c r="F127"/>
      <c r="G127"/>
      <c r="H127"/>
      <c r="I127"/>
      <c r="J127" s="49"/>
      <c r="K127"/>
      <c r="L127" s="132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L127" s="6"/>
      <c r="BP127" s="6"/>
      <c r="BW127" s="6"/>
    </row>
    <row r="128" spans="1:75">
      <c r="A128" s="17"/>
      <c r="B128" s="11" t="s">
        <v>207</v>
      </c>
      <c r="E128" s="4"/>
      <c r="G128" s="4"/>
      <c r="I128" s="4"/>
      <c r="J128" s="5" t="s">
        <v>0</v>
      </c>
      <c r="L128" s="132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v>0</v>
      </c>
      <c r="BN128" s="6">
        <f>SUM(T128:BM128)</f>
        <v>28500</v>
      </c>
      <c r="BP128" s="6">
        <v>0</v>
      </c>
      <c r="BR128" s="6">
        <f>IF(+R128-BN128+BP128&gt;0,R128-BN128+BP128,0)</f>
        <v>0</v>
      </c>
      <c r="BT128" s="6">
        <f>+BN128+BR128</f>
        <v>28500</v>
      </c>
      <c r="BV128" s="6">
        <f>+R128-BT128</f>
        <v>0</v>
      </c>
      <c r="BW128" s="6"/>
    </row>
    <row r="129" spans="1:75">
      <c r="A129" s="17"/>
      <c r="B129" s="11" t="s">
        <v>208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v>0</v>
      </c>
      <c r="BN129" s="6">
        <f>SUM(T129:BM129)</f>
        <v>0</v>
      </c>
      <c r="BP129" s="6">
        <v>0</v>
      </c>
      <c r="BR129" s="6">
        <f>+R129-BN129+BP129</f>
        <v>0</v>
      </c>
      <c r="BT129" s="6">
        <f>+BN129+BR129</f>
        <v>0</v>
      </c>
      <c r="BV129" s="6">
        <f>+R129-BT129</f>
        <v>0</v>
      </c>
      <c r="BW129" s="6"/>
    </row>
    <row r="130" spans="1:75">
      <c r="A130" s="17"/>
      <c r="B130" s="11" t="s">
        <v>209</v>
      </c>
      <c r="E130" s="4"/>
      <c r="G130" s="4"/>
      <c r="I130" s="4"/>
      <c r="J130" s="5" t="s">
        <v>0</v>
      </c>
      <c r="L130" s="132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v>0</v>
      </c>
      <c r="BN130" s="6">
        <f>SUM(T130:BM130)</f>
        <v>2446162.2800000003</v>
      </c>
      <c r="BP130" s="6">
        <v>25818</v>
      </c>
      <c r="BR130" s="6">
        <f>IF(+R130-BN130+BP130&gt;0,R130-BN130+BP130,0)</f>
        <v>0</v>
      </c>
      <c r="BT130" s="6">
        <f>+BN130+BR130</f>
        <v>2446162.2800000003</v>
      </c>
      <c r="BV130" s="6">
        <f>+R130-BT130</f>
        <v>-194662.28000000026</v>
      </c>
      <c r="BW130" s="6"/>
    </row>
    <row r="131" spans="1:75">
      <c r="A131" s="17"/>
      <c r="B131" s="11" t="s">
        <v>210</v>
      </c>
      <c r="E131" s="4"/>
      <c r="G131" s="4"/>
      <c r="I131" s="4"/>
      <c r="J131" s="5" t="s">
        <v>0</v>
      </c>
      <c r="L131" s="132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L131" s="6"/>
      <c r="BP131" s="6"/>
      <c r="BR131" s="6">
        <f>+R131-BN131+BP131</f>
        <v>0</v>
      </c>
      <c r="BT131" s="6">
        <f>+BN131+BR131</f>
        <v>0</v>
      </c>
      <c r="BV131" s="6">
        <f>+R131-BT131</f>
        <v>0</v>
      </c>
      <c r="BW131" s="6"/>
    </row>
    <row r="132" spans="1:75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0</v>
      </c>
      <c r="BM132"/>
      <c r="BN132" s="102">
        <f>SUM(BN128:BN131)</f>
        <v>2474662.2800000003</v>
      </c>
      <c r="BO132"/>
      <c r="BP132" s="102">
        <f>SUM(BP128:BP131)</f>
        <v>25818</v>
      </c>
      <c r="BQ132"/>
      <c r="BR132" s="102">
        <f>SUM(BR128:BR131)</f>
        <v>0</v>
      </c>
      <c r="BS132" s="9"/>
      <c r="BT132" s="102">
        <f>SUM(BT128:BT131)</f>
        <v>2474662.2800000003</v>
      </c>
      <c r="BU132" s="9"/>
      <c r="BV132" s="102">
        <f>SUM(BV128:BV131)</f>
        <v>-194662.28000000026</v>
      </c>
      <c r="BW132" s="9"/>
    </row>
    <row r="133" spans="1:75" s="21" customFormat="1">
      <c r="A133" s="58"/>
      <c r="B133" s="31"/>
      <c r="J133" s="8"/>
      <c r="L133" s="132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/>
      <c r="BR133" s="9"/>
      <c r="BS133" s="9"/>
      <c r="BT133" s="9"/>
      <c r="BU133" s="9"/>
      <c r="BV133" s="9"/>
      <c r="BW133" s="9"/>
    </row>
    <row r="134" spans="1:75">
      <c r="A134" s="58" t="s">
        <v>28</v>
      </c>
      <c r="B134" s="11"/>
      <c r="C134"/>
      <c r="D134"/>
      <c r="E134"/>
      <c r="F134"/>
      <c r="G134"/>
      <c r="H134"/>
      <c r="I134"/>
      <c r="J134" s="49"/>
      <c r="K134"/>
      <c r="L134" s="132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L134" s="6"/>
      <c r="BP134" s="6"/>
      <c r="BW134" s="6"/>
    </row>
    <row r="135" spans="1:75">
      <c r="A135" s="58"/>
      <c r="B135" s="11" t="s">
        <v>260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N135" s="6">
        <f>SUM(T135:BM135)</f>
        <v>0</v>
      </c>
      <c r="BP135" s="6">
        <v>0</v>
      </c>
      <c r="BR135" s="6">
        <f>IF(+R135-BN135+BP135&gt;0,R135-BN135+BP135,0)</f>
        <v>0</v>
      </c>
      <c r="BT135" s="6">
        <f>+BN135+BR135</f>
        <v>0</v>
      </c>
      <c r="BV135" s="6">
        <f>+R135-BT135</f>
        <v>0</v>
      </c>
      <c r="BW135" s="6"/>
    </row>
    <row r="136" spans="1:75">
      <c r="A136" s="100"/>
      <c r="B136" s="17" t="s">
        <v>261</v>
      </c>
      <c r="C136"/>
      <c r="D136"/>
      <c r="E136"/>
      <c r="F136"/>
      <c r="G136"/>
      <c r="H136"/>
      <c r="I136"/>
      <c r="J136" s="49"/>
      <c r="K136"/>
      <c r="L136" s="132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N136" s="6">
        <f>SUM(T136:BM136)</f>
        <v>0</v>
      </c>
      <c r="BP136" s="6">
        <v>0</v>
      </c>
      <c r="BR136" s="6">
        <f>IF(+R136-BN136+BP136&gt;0,R136-BN136+BP136,0)</f>
        <v>0</v>
      </c>
      <c r="BT136" s="6">
        <f>+BN136+BR136</f>
        <v>0</v>
      </c>
      <c r="BV136" s="6">
        <f>+R136-BT136</f>
        <v>0</v>
      </c>
      <c r="BW136" s="6"/>
    </row>
    <row r="137" spans="1:75">
      <c r="A137" s="100"/>
      <c r="B137" s="17" t="s">
        <v>262</v>
      </c>
      <c r="C137"/>
      <c r="D137"/>
      <c r="E137"/>
      <c r="F137"/>
      <c r="G137"/>
      <c r="H137"/>
      <c r="I137"/>
      <c r="J137" s="49"/>
      <c r="K137"/>
      <c r="L137" s="132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6"/>
      <c r="BN137" s="22">
        <f>SUM(T137:BM137)</f>
        <v>417167.89</v>
      </c>
      <c r="BP137" s="6">
        <v>0</v>
      </c>
      <c r="BR137" s="6">
        <f>IF(+R137-BN137+BP137&gt;0,R137-BN137+BP137,0)</f>
        <v>0</v>
      </c>
      <c r="BT137" s="6">
        <f>+BN137+BR137</f>
        <v>417167.89</v>
      </c>
      <c r="BV137" s="6">
        <f>+R137-BT137</f>
        <v>-17167.890000000014</v>
      </c>
      <c r="BW137" s="6"/>
    </row>
    <row r="138" spans="1:75">
      <c r="A138" s="100"/>
      <c r="B138" s="17" t="s">
        <v>436</v>
      </c>
      <c r="C138"/>
      <c r="D138"/>
      <c r="E138"/>
      <c r="F138"/>
      <c r="G138"/>
      <c r="H138"/>
      <c r="I138"/>
      <c r="J138" s="49"/>
      <c r="K138"/>
      <c r="L138" s="132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>
        <f>8057+4672+7631</f>
        <v>20360</v>
      </c>
      <c r="BL138" s="6">
        <v>5572</v>
      </c>
      <c r="BN138" s="22">
        <f>SUM(T138:BM138)</f>
        <v>25932</v>
      </c>
      <c r="BP138" s="6">
        <v>500000</v>
      </c>
      <c r="BR138" s="6">
        <f>IF(+R138-BN138+BP138&gt;0,R138-BN138+BP138,0)</f>
        <v>474068</v>
      </c>
      <c r="BT138" s="9">
        <f>+BN138+BR138</f>
        <v>500000</v>
      </c>
      <c r="BV138" s="6">
        <f>+R138-BT138</f>
        <v>-500000</v>
      </c>
      <c r="BW138" s="6"/>
    </row>
    <row r="139" spans="1:75">
      <c r="A139" s="100"/>
      <c r="B139" s="17"/>
      <c r="C139"/>
      <c r="D139"/>
      <c r="E139"/>
      <c r="F139"/>
      <c r="G139"/>
      <c r="H139"/>
      <c r="I139"/>
      <c r="J139" s="49"/>
      <c r="K139"/>
      <c r="L139" s="132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L139" s="6"/>
      <c r="BP139" s="6"/>
      <c r="BR139" s="6">
        <f>IF(+R139-BN139+BP139&gt;0,R139-BN139+BP139,0)</f>
        <v>0</v>
      </c>
      <c r="BW139" s="6"/>
    </row>
    <row r="140" spans="1:75" s="21" customFormat="1">
      <c r="A140" s="287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20360</v>
      </c>
      <c r="BK140"/>
      <c r="BL140" s="102">
        <f>SUM(BL135:BL139)</f>
        <v>5572</v>
      </c>
      <c r="BM140"/>
      <c r="BN140" s="102">
        <f>SUM(BN135:BN139)</f>
        <v>443099.89</v>
      </c>
      <c r="BO140"/>
      <c r="BP140" s="102">
        <f>SUM(BP135:BP139)</f>
        <v>500000</v>
      </c>
      <c r="BQ140"/>
      <c r="BR140" s="102">
        <f>SUM(BR135:BR139)</f>
        <v>474068</v>
      </c>
      <c r="BS140" s="9"/>
      <c r="BT140" s="102">
        <f>SUM(BT135:BT139)</f>
        <v>917167.89</v>
      </c>
      <c r="BU140" s="9"/>
      <c r="BV140" s="102">
        <f>SUM(BV135:BV139)</f>
        <v>-517167.89</v>
      </c>
      <c r="BW140" s="9"/>
    </row>
    <row r="141" spans="1:75" s="21" customFormat="1">
      <c r="A141" s="287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/>
      <c r="BR141" s="10"/>
      <c r="BS141" s="9"/>
      <c r="BT141" s="10"/>
      <c r="BU141" s="9"/>
      <c r="BV141" s="10"/>
      <c r="BW141" s="9"/>
    </row>
    <row r="142" spans="1:75" s="21" customFormat="1">
      <c r="A142" s="58" t="s">
        <v>373</v>
      </c>
      <c r="B142" s="31"/>
      <c r="J142" s="8" t="s">
        <v>0</v>
      </c>
      <c r="L142" s="132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v>0</v>
      </c>
      <c r="BM142"/>
      <c r="BN142" s="9">
        <f>SUM(T142:BM142)</f>
        <v>794580.1</v>
      </c>
      <c r="BO142"/>
      <c r="BP142" s="9">
        <v>200000</v>
      </c>
      <c r="BQ142"/>
      <c r="BR142" s="6">
        <f>IF(+R142-BN142+BP142&gt;0,R142-BN142+BP142,0)</f>
        <v>405419.9</v>
      </c>
      <c r="BS142" s="9"/>
      <c r="BT142" s="9">
        <f>+BN142+BR142</f>
        <v>1200000</v>
      </c>
      <c r="BU142" s="9"/>
      <c r="BV142" s="9">
        <f>+R142-BT142</f>
        <v>-200000</v>
      </c>
      <c r="BW142" s="9"/>
    </row>
    <row r="143" spans="1:75" s="21" customFormat="1">
      <c r="A143" s="287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/>
      <c r="BR143" s="10"/>
      <c r="BS143" s="9"/>
      <c r="BT143" s="10"/>
      <c r="BU143" s="9"/>
      <c r="BV143" s="10"/>
      <c r="BW143" s="9"/>
    </row>
    <row r="144" spans="1:75" s="21" customFormat="1">
      <c r="A144" s="58" t="s">
        <v>29</v>
      </c>
      <c r="B144" s="31"/>
      <c r="J144" s="8" t="s">
        <v>0</v>
      </c>
      <c r="L144" s="132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/>
      <c r="BM144"/>
      <c r="BN144" s="9">
        <f>SUM(T144:BM144)</f>
        <v>8574288.2199999988</v>
      </c>
      <c r="BO144"/>
      <c r="BP144" s="9">
        <f>4500000+2900000</f>
        <v>7400000</v>
      </c>
      <c r="BQ144"/>
      <c r="BR144" s="6">
        <f>IF(+R144-BN144+BP144&gt;0,R144-BN144+BP144,0)</f>
        <v>2325711.7800000012</v>
      </c>
      <c r="BS144" s="9"/>
      <c r="BT144" s="9">
        <f>+BN144+BR144</f>
        <v>10900000</v>
      </c>
      <c r="BU144" s="9"/>
      <c r="BV144" s="9">
        <f>+R144-BT144</f>
        <v>-7400000</v>
      </c>
      <c r="BW144" s="9"/>
    </row>
    <row r="145" spans="1:75" s="21" customFormat="1">
      <c r="A145" s="287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/>
      <c r="BR145" s="10"/>
      <c r="BS145" s="9"/>
      <c r="BT145" s="10"/>
      <c r="BU145" s="9"/>
      <c r="BV145" s="10"/>
      <c r="BW145" s="9"/>
    </row>
    <row r="146" spans="1:75" s="15" customFormat="1">
      <c r="A146" s="32" t="s">
        <v>178</v>
      </c>
      <c r="B146" s="60"/>
      <c r="C146"/>
      <c r="D146"/>
      <c r="E146"/>
      <c r="F146"/>
      <c r="G146"/>
      <c r="H146"/>
      <c r="I146"/>
      <c r="J146" s="49"/>
      <c r="K146"/>
      <c r="L146" s="13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/>
      <c r="BR146" s="22"/>
      <c r="BS146" s="22"/>
      <c r="BT146" s="22"/>
      <c r="BU146" s="22"/>
      <c r="BV146" s="22"/>
      <c r="BW146" s="22"/>
    </row>
    <row r="147" spans="1:75" s="15" customFormat="1" hidden="1">
      <c r="A147" s="109"/>
      <c r="B147" s="60" t="s">
        <v>179</v>
      </c>
      <c r="C147"/>
      <c r="D147"/>
      <c r="E147"/>
      <c r="F147"/>
      <c r="G147"/>
      <c r="H147"/>
      <c r="I147"/>
      <c r="J147" s="49"/>
      <c r="K147"/>
      <c r="L147" s="132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v>0</v>
      </c>
      <c r="BM147"/>
      <c r="BN147" s="22">
        <f>SUM(T147:BM147)</f>
        <v>0</v>
      </c>
      <c r="BO147"/>
      <c r="BP147" s="22">
        <v>0</v>
      </c>
      <c r="BQ147"/>
      <c r="BR147" s="22">
        <f>+R147-BN147+BP147</f>
        <v>0</v>
      </c>
      <c r="BS147" s="22"/>
      <c r="BT147" s="6">
        <f>+BN147+BR147</f>
        <v>0</v>
      </c>
      <c r="BU147" s="22"/>
      <c r="BV147" s="6">
        <f>+R147-BT147</f>
        <v>0</v>
      </c>
      <c r="BW147" s="22"/>
    </row>
    <row r="148" spans="1:75" s="15" customFormat="1">
      <c r="A148" s="109"/>
      <c r="B148" s="60" t="s">
        <v>180</v>
      </c>
      <c r="C148"/>
      <c r="D148"/>
      <c r="E148"/>
      <c r="F148"/>
      <c r="G148"/>
      <c r="H148"/>
      <c r="I148"/>
      <c r="J148" s="49"/>
      <c r="K148"/>
      <c r="L148" s="132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v>0</v>
      </c>
      <c r="BM148"/>
      <c r="BN148" s="22">
        <f>SUM(T148:BM148)</f>
        <v>1853468.5</v>
      </c>
      <c r="BO148"/>
      <c r="BP148" s="22">
        <v>0</v>
      </c>
      <c r="BQ148"/>
      <c r="BR148" s="6">
        <f>IF(+R148-BN148+BP148&gt;0,R148-BN148+BP148,0)</f>
        <v>0</v>
      </c>
      <c r="BS148" s="22"/>
      <c r="BT148" s="6">
        <f>+BN148+BR148</f>
        <v>1853468.5</v>
      </c>
      <c r="BU148" s="22"/>
      <c r="BV148" s="6">
        <f>+R148-BT148</f>
        <v>-353468.5</v>
      </c>
      <c r="BW148" s="22"/>
    </row>
    <row r="149" spans="1:75" s="15" customFormat="1" hidden="1">
      <c r="A149" s="109"/>
      <c r="B149" s="60" t="s">
        <v>121</v>
      </c>
      <c r="C149"/>
      <c r="D149"/>
      <c r="E149"/>
      <c r="F149"/>
      <c r="G149"/>
      <c r="H149"/>
      <c r="I149"/>
      <c r="J149" s="49"/>
      <c r="K149"/>
      <c r="L149" s="132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v>0</v>
      </c>
      <c r="BM149"/>
      <c r="BN149" s="22">
        <f>SUM(T149:BM149)</f>
        <v>0</v>
      </c>
      <c r="BO149"/>
      <c r="BP149" s="22">
        <v>0</v>
      </c>
      <c r="BQ149"/>
      <c r="BR149" s="22">
        <f>+R149-BN149+BP149</f>
        <v>0</v>
      </c>
      <c r="BS149" s="22"/>
      <c r="BT149" s="6">
        <f>+BN149+BR149</f>
        <v>0</v>
      </c>
      <c r="BU149" s="22"/>
      <c r="BV149" s="6">
        <f>+R149-BT149</f>
        <v>0</v>
      </c>
      <c r="BW149" s="22"/>
    </row>
    <row r="150" spans="1:75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0</v>
      </c>
      <c r="BM150"/>
      <c r="BN150" s="108">
        <f>SUM(BN147:BN149)</f>
        <v>1853468.5</v>
      </c>
      <c r="BO150"/>
      <c r="BP150" s="108">
        <f>SUM(BP147:BP149)</f>
        <v>0</v>
      </c>
      <c r="BQ150"/>
      <c r="BR150" s="108">
        <f>SUM(BR147:BR149)</f>
        <v>0</v>
      </c>
      <c r="BS150" s="16"/>
      <c r="BT150" s="108">
        <f>SUM(BT147:BT149)</f>
        <v>1853468.5</v>
      </c>
      <c r="BU150" s="16"/>
      <c r="BV150" s="108">
        <f>SUM(BV147:BV149)</f>
        <v>-353468.5</v>
      </c>
      <c r="BW150" s="16"/>
    </row>
    <row r="151" spans="1:75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/>
      <c r="BR151" s="103"/>
      <c r="BS151" s="16"/>
      <c r="BT151" s="103"/>
      <c r="BU151" s="16"/>
      <c r="BV151" s="103"/>
      <c r="BW151" s="16"/>
    </row>
    <row r="152" spans="1:75" s="31" customFormat="1">
      <c r="A152" s="58" t="s">
        <v>31</v>
      </c>
      <c r="J152" s="157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v>0</v>
      </c>
      <c r="BM152"/>
      <c r="BN152" s="10">
        <f>SUM(T152:BM152)</f>
        <v>271308.25</v>
      </c>
      <c r="BO152"/>
      <c r="BP152" s="10">
        <v>0</v>
      </c>
      <c r="BQ152"/>
      <c r="BR152" s="6">
        <f>IF(+R152-BN152+BP152&gt;0,R152-BN152+BP152,0)</f>
        <v>0</v>
      </c>
      <c r="BS152" s="10"/>
      <c r="BT152" s="9">
        <f>+BN152+BR152</f>
        <v>271308.25</v>
      </c>
      <c r="BU152" s="10"/>
      <c r="BV152" s="9">
        <f>+R152-BT152</f>
        <v>-121308.25</v>
      </c>
      <c r="BW152" s="10"/>
    </row>
    <row r="153" spans="1:75" s="15" customFormat="1">
      <c r="A153" s="109"/>
      <c r="B153" s="60"/>
      <c r="C153"/>
      <c r="D153"/>
      <c r="E153"/>
      <c r="F153"/>
      <c r="G153"/>
      <c r="H153"/>
      <c r="I153"/>
      <c r="J153" s="49"/>
      <c r="K153"/>
      <c r="L153" s="13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/>
      <c r="BR153" s="22"/>
      <c r="BS153" s="22"/>
      <c r="BT153" s="22"/>
      <c r="BU153" s="22"/>
      <c r="BV153" s="22"/>
      <c r="BW153" s="22"/>
    </row>
    <row r="154" spans="1:75" s="31" customFormat="1">
      <c r="A154" s="58" t="s">
        <v>32</v>
      </c>
      <c r="J154" s="157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v>0</v>
      </c>
      <c r="BM154"/>
      <c r="BN154" s="10">
        <f>SUM(T154:BM154)</f>
        <v>109694.64</v>
      </c>
      <c r="BO154"/>
      <c r="BP154" s="10">
        <v>-90305</v>
      </c>
      <c r="BQ154"/>
      <c r="BR154" s="6">
        <f>IF(+R154-BN154+BP154&gt;0,R154-BN154+BP154,0)</f>
        <v>0.36000000000058208</v>
      </c>
      <c r="BS154" s="10"/>
      <c r="BT154" s="9">
        <f>+BN154+BR154</f>
        <v>109695</v>
      </c>
      <c r="BU154" s="10"/>
      <c r="BV154" s="6">
        <f>+R154-BT154</f>
        <v>90305</v>
      </c>
      <c r="BW154" s="10"/>
    </row>
    <row r="155" spans="1:75" s="15" customFormat="1">
      <c r="A155" s="109"/>
      <c r="B155" s="60"/>
      <c r="C155"/>
      <c r="D155"/>
      <c r="E155"/>
      <c r="F155"/>
      <c r="G155"/>
      <c r="H155"/>
      <c r="I155"/>
      <c r="J155" s="49"/>
      <c r="K155"/>
      <c r="L155" s="13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/>
      <c r="BR155" s="22"/>
      <c r="BS155" s="22"/>
      <c r="BT155" s="22"/>
      <c r="BU155" s="22"/>
      <c r="BV155" s="22"/>
      <c r="BW155" s="22"/>
    </row>
    <row r="156" spans="1:75">
      <c r="A156" s="58" t="s">
        <v>33</v>
      </c>
      <c r="B156" s="11"/>
      <c r="C156"/>
      <c r="D156"/>
      <c r="E156"/>
      <c r="F156"/>
      <c r="G156"/>
      <c r="H156"/>
      <c r="I156"/>
      <c r="J156" s="49"/>
      <c r="K156"/>
      <c r="L156" s="132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6"/>
      <c r="BN156" s="22"/>
      <c r="BP156" s="6"/>
      <c r="BW156" s="6"/>
    </row>
    <row r="157" spans="1:75" s="11" customFormat="1">
      <c r="A157" s="17"/>
      <c r="B157" s="11" t="s">
        <v>184</v>
      </c>
      <c r="J157" s="158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12">
        <v>0</v>
      </c>
      <c r="BM157"/>
      <c r="BN157" s="80">
        <f t="shared" ref="BN157:BN162" si="27">SUM(T157:BM157)</f>
        <v>22604.39</v>
      </c>
      <c r="BO157"/>
      <c r="BP157" s="12">
        <v>-12396</v>
      </c>
      <c r="BQ157"/>
      <c r="BR157" s="6">
        <f t="shared" ref="BR157:BR162" si="28">IF(+R157-BN157+BP157&gt;0,R157-BN157+BP157,0)</f>
        <v>0</v>
      </c>
      <c r="BS157" s="12"/>
      <c r="BT157" s="6">
        <f t="shared" ref="BT157:BT162" si="29">+BN157+BR157</f>
        <v>22604.39</v>
      </c>
      <c r="BU157" s="12"/>
      <c r="BV157" s="6">
        <f t="shared" ref="BV157:BV162" si="30">+R157-BT157</f>
        <v>12395.61</v>
      </c>
      <c r="BW157" s="12"/>
    </row>
    <row r="158" spans="1:75" s="11" customFormat="1">
      <c r="A158" s="17"/>
      <c r="B158" s="11" t="s">
        <v>34</v>
      </c>
      <c r="J158" s="158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12">
        <v>0</v>
      </c>
      <c r="BM158"/>
      <c r="BN158" s="80">
        <f t="shared" si="27"/>
        <v>78498.36</v>
      </c>
      <c r="BO158"/>
      <c r="BP158" s="12">
        <v>6683</v>
      </c>
      <c r="BQ158"/>
      <c r="BR158" s="6">
        <f t="shared" si="28"/>
        <v>0</v>
      </c>
      <c r="BS158" s="12"/>
      <c r="BT158" s="6">
        <f t="shared" si="29"/>
        <v>78498.36</v>
      </c>
      <c r="BU158" s="12"/>
      <c r="BV158" s="6">
        <f t="shared" si="30"/>
        <v>-33498.36</v>
      </c>
      <c r="BW158" s="12"/>
    </row>
    <row r="159" spans="1:75" s="11" customFormat="1">
      <c r="A159" s="17"/>
      <c r="B159" s="11" t="s">
        <v>317</v>
      </c>
      <c r="J159" s="158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12">
        <v>0</v>
      </c>
      <c r="BM159"/>
      <c r="BN159" s="80">
        <f t="shared" si="27"/>
        <v>514961.68</v>
      </c>
      <c r="BO159"/>
      <c r="BP159" s="12">
        <v>79955</v>
      </c>
      <c r="BQ159"/>
      <c r="BR159" s="6">
        <f t="shared" si="28"/>
        <v>0</v>
      </c>
      <c r="BS159" s="12"/>
      <c r="BT159" s="6">
        <f t="shared" si="29"/>
        <v>514961.68</v>
      </c>
      <c r="BU159" s="12"/>
      <c r="BV159" s="6">
        <f t="shared" si="30"/>
        <v>-514961.68</v>
      </c>
      <c r="BW159" s="12"/>
    </row>
    <row r="160" spans="1:75" s="11" customFormat="1">
      <c r="A160" s="17"/>
      <c r="B160" s="11" t="s">
        <v>121</v>
      </c>
      <c r="J160" s="158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f>123+2781+68</f>
        <v>2972</v>
      </c>
      <c r="BK160"/>
      <c r="BL160" s="12">
        <v>750</v>
      </c>
      <c r="BM160"/>
      <c r="BN160" s="80">
        <f t="shared" si="27"/>
        <v>425300.56999999995</v>
      </c>
      <c r="BO160"/>
      <c r="BP160" s="12">
        <v>106842</v>
      </c>
      <c r="BQ160"/>
      <c r="BR160" s="6">
        <f t="shared" si="28"/>
        <v>0</v>
      </c>
      <c r="BS160" s="12"/>
      <c r="BT160" s="6">
        <f t="shared" si="29"/>
        <v>425300.56999999995</v>
      </c>
      <c r="BU160" s="12"/>
      <c r="BV160" s="6">
        <f t="shared" si="30"/>
        <v>-290707.56999999995</v>
      </c>
      <c r="BW160" s="12"/>
    </row>
    <row r="161" spans="1:124" s="11" customFormat="1">
      <c r="A161" s="17"/>
      <c r="B161" s="11" t="s">
        <v>331</v>
      </c>
      <c r="J161" s="158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12"/>
      <c r="BM161"/>
      <c r="BN161" s="80">
        <f t="shared" si="27"/>
        <v>191012.89</v>
      </c>
      <c r="BO161"/>
      <c r="BP161" s="12">
        <v>0</v>
      </c>
      <c r="BQ161"/>
      <c r="BR161" s="6">
        <f t="shared" si="28"/>
        <v>0</v>
      </c>
      <c r="BS161" s="12"/>
      <c r="BT161" s="6">
        <f t="shared" si="29"/>
        <v>191012.89</v>
      </c>
      <c r="BU161" s="12"/>
      <c r="BV161" s="6">
        <f t="shared" si="30"/>
        <v>-191012.89</v>
      </c>
      <c r="BW161" s="12"/>
    </row>
    <row r="162" spans="1:124" s="11" customFormat="1">
      <c r="A162" s="17"/>
      <c r="B162" s="11" t="s">
        <v>279</v>
      </c>
      <c r="J162" s="158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12"/>
      <c r="BM162"/>
      <c r="BN162" s="80">
        <f t="shared" si="27"/>
        <v>207059.02000000002</v>
      </c>
      <c r="BO162"/>
      <c r="BP162" s="12">
        <v>207059</v>
      </c>
      <c r="BQ162"/>
      <c r="BR162" s="6">
        <f t="shared" si="28"/>
        <v>0</v>
      </c>
      <c r="BS162" s="12"/>
      <c r="BT162" s="6">
        <f t="shared" si="29"/>
        <v>207059.02000000002</v>
      </c>
      <c r="BU162" s="12"/>
      <c r="BV162" s="6">
        <f t="shared" si="30"/>
        <v>-207059.02000000002</v>
      </c>
      <c r="BW162" s="12"/>
    </row>
    <row r="163" spans="1:124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N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2972</v>
      </c>
      <c r="BK163"/>
      <c r="BL163" s="102">
        <f t="shared" si="32"/>
        <v>750</v>
      </c>
      <c r="BM163"/>
      <c r="BN163" s="102">
        <f t="shared" si="32"/>
        <v>1439436.91</v>
      </c>
      <c r="BO163"/>
      <c r="BP163" s="102">
        <f t="shared" ref="BP163:BV163" si="33">SUM(BP157:BP162)</f>
        <v>388143</v>
      </c>
      <c r="BQ163"/>
      <c r="BR163" s="102">
        <f t="shared" si="33"/>
        <v>0</v>
      </c>
      <c r="BS163" s="102">
        <f t="shared" si="33"/>
        <v>0</v>
      </c>
      <c r="BT163" s="102">
        <f t="shared" si="33"/>
        <v>1439436.91</v>
      </c>
      <c r="BU163" s="102">
        <f t="shared" si="33"/>
        <v>0</v>
      </c>
      <c r="BV163" s="102">
        <f t="shared" si="33"/>
        <v>-1224843.9099999999</v>
      </c>
      <c r="BW163" s="9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/>
      <c r="BR164" s="10"/>
      <c r="BS164" s="9"/>
      <c r="BT164" s="10"/>
      <c r="BU164" s="9"/>
      <c r="BV164" s="10"/>
      <c r="BW164" s="9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>
      <c r="A165" s="58" t="s">
        <v>35</v>
      </c>
      <c r="B165" s="11"/>
      <c r="C165"/>
      <c r="D165"/>
      <c r="E165"/>
      <c r="F165"/>
      <c r="G165"/>
      <c r="H165"/>
      <c r="I165"/>
      <c r="J165" s="49"/>
      <c r="K165"/>
      <c r="L165" s="132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L165" s="6"/>
      <c r="BP165" s="6"/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B166" s="11" t="s">
        <v>37</v>
      </c>
      <c r="J166" s="158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v>0</v>
      </c>
      <c r="BM166"/>
      <c r="BN166" s="12">
        <f>SUM(T166:BM166)</f>
        <v>605</v>
      </c>
      <c r="BO166"/>
      <c r="BP166" s="12">
        <v>0</v>
      </c>
      <c r="BQ166"/>
      <c r="BR166" s="6">
        <f>IF(+R166-BN166+BP166&gt;0,R166-BN166+BP166,0)</f>
        <v>6146</v>
      </c>
      <c r="BS166" s="12"/>
      <c r="BT166" s="6">
        <f>+BN166+BR166</f>
        <v>6751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11" customFormat="1">
      <c r="A167" s="17"/>
      <c r="B167" s="11" t="s">
        <v>339</v>
      </c>
      <c r="J167" s="158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/>
      <c r="BM167"/>
      <c r="BN167" s="12">
        <f>SUM(T167:BM167)</f>
        <v>301672.13</v>
      </c>
      <c r="BO167"/>
      <c r="BP167" s="12">
        <v>0</v>
      </c>
      <c r="BQ167"/>
      <c r="BR167" s="6">
        <f>IF(+R167-BN167+BP167&gt;0,R167-BN167+BP167,0)</f>
        <v>0</v>
      </c>
      <c r="BS167" s="12"/>
      <c r="BT167" s="6">
        <f>+BN167+BR167</f>
        <v>301672.13</v>
      </c>
      <c r="BU167" s="12"/>
      <c r="BV167" s="6">
        <f>+R167-BT167</f>
        <v>-301672.13</v>
      </c>
      <c r="BW167" s="12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11" customFormat="1">
      <c r="A168" s="17"/>
      <c r="B168" s="11" t="s">
        <v>121</v>
      </c>
      <c r="J168" s="158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v>0</v>
      </c>
      <c r="BM168"/>
      <c r="BN168" s="12">
        <f>SUM(T168:BM168)</f>
        <v>306911.61</v>
      </c>
      <c r="BO168"/>
      <c r="BP168" s="12">
        <v>9703</v>
      </c>
      <c r="BQ168"/>
      <c r="BR168" s="6">
        <f>IF(+R168-BN168+BP168&gt;0,R168-BN168+BP168,0)</f>
        <v>0</v>
      </c>
      <c r="BS168" s="12"/>
      <c r="BT168" s="6">
        <f>BR168+BP168+BN168</f>
        <v>316614.61</v>
      </c>
      <c r="BU168" s="12"/>
      <c r="BV168" s="6">
        <f>+R168-BT168</f>
        <v>-66614.609999999986</v>
      </c>
      <c r="BW168" s="12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11" customFormat="1">
      <c r="A169" s="17"/>
      <c r="J169" s="158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/>
      <c r="BM169"/>
      <c r="BN169" s="12">
        <f>SUM(T169:BM169)</f>
        <v>0</v>
      </c>
      <c r="BO169"/>
      <c r="BP169" s="12">
        <v>0</v>
      </c>
      <c r="BQ169"/>
      <c r="BR169" s="6">
        <f>IF(+R169-BN169+BP169&gt;0,R169-BN169+BP169,0)</f>
        <v>0</v>
      </c>
      <c r="BS169" s="12"/>
      <c r="BT169" s="6">
        <f>+BN169+BR169</f>
        <v>0</v>
      </c>
      <c r="BU169" s="12"/>
      <c r="BV169" s="6">
        <f>+R169-BT169</f>
        <v>0</v>
      </c>
      <c r="BW169" s="12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0</v>
      </c>
      <c r="BM170"/>
      <c r="BN170" s="102">
        <f>SUM(BN166:BN169)</f>
        <v>609188.74</v>
      </c>
      <c r="BO170"/>
      <c r="BP170" s="102">
        <f>SUM(BP166:BP169)</f>
        <v>9703</v>
      </c>
      <c r="BQ170"/>
      <c r="BR170" s="102">
        <f>SUM(BR166:BR169)</f>
        <v>6146</v>
      </c>
      <c r="BS170" s="9"/>
      <c r="BT170" s="102">
        <f>SUM(BT166:BT169)</f>
        <v>625037.74</v>
      </c>
      <c r="BU170" s="9"/>
      <c r="BV170" s="102">
        <f>SUM(BV166:BV169)</f>
        <v>-368286.74</v>
      </c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/>
      <c r="BR171" s="10"/>
      <c r="BS171" s="9"/>
      <c r="BT171" s="10"/>
      <c r="BU171" s="9"/>
      <c r="BV171" s="10"/>
      <c r="BW171" s="9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31" customFormat="1">
      <c r="A172" s="58" t="s">
        <v>249</v>
      </c>
      <c r="J172" s="157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v>0</v>
      </c>
      <c r="BM172"/>
      <c r="BN172" s="10">
        <f>SUM(T172:BM172)</f>
        <v>11016842.20535869</v>
      </c>
      <c r="BO172"/>
      <c r="BP172" s="10"/>
      <c r="BQ172"/>
      <c r="BR172" s="6">
        <f>IF(+R172-BN172+BP172&gt;0,R172-BN172+BP172,0)-R172+[1]Wilton!$Y$40</f>
        <v>6078.2261786516756</v>
      </c>
      <c r="BS172" s="10"/>
      <c r="BT172" s="9">
        <f>+BN172+BR172</f>
        <v>11022920.431537341</v>
      </c>
      <c r="BU172" s="10"/>
      <c r="BV172" s="9">
        <f>+R172-BT172</f>
        <v>1785203.5684626587</v>
      </c>
      <c r="BW172" s="10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/>
      <c r="BR173" s="10"/>
      <c r="BS173" s="9"/>
      <c r="BT173" s="10"/>
      <c r="BU173" s="9"/>
      <c r="BV173" s="10"/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105" customFormat="1">
      <c r="A174" s="63" t="s">
        <v>248</v>
      </c>
      <c r="B174" s="54"/>
      <c r="J174" s="156"/>
      <c r="L174" s="142"/>
      <c r="M174" s="13"/>
      <c r="N174" s="120"/>
      <c r="O174" s="13"/>
      <c r="P174" s="120"/>
      <c r="Q174" s="13"/>
      <c r="R174" s="120">
        <f t="shared" ref="R174:BA174" si="34">R172+R163+R154+R152+R150+R144+R140+R132+R125+R123+R121+R244+R117+R170+R142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si="34"/>
        <v>1578800.3344909456</v>
      </c>
      <c r="AY174" s="120">
        <f t="shared" si="34"/>
        <v>0</v>
      </c>
      <c r="AZ174" s="120">
        <f t="shared" si="34"/>
        <v>1875329.53</v>
      </c>
      <c r="BA174" s="120">
        <f t="shared" si="34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/>
      <c r="BF174" s="120">
        <f>BF172+BF163+BF154+BF152+BF150+BF144+BF140+BF132+BF125+BF123+BF121+BF244+BF117+BF170+BF142</f>
        <v>373521.64999999997</v>
      </c>
      <c r="BG174"/>
      <c r="BH174" s="120">
        <f>BH172+BH163+BH154+BH152+BH150+BH144+BH140+BH132+BH125+BH123+BH121+BH244+BH117+BH170+BH142</f>
        <v>401728.88999999996</v>
      </c>
      <c r="BI174"/>
      <c r="BJ174" s="120">
        <f>BJ172+BJ163+BJ154+BJ152+BJ150+BJ144+BJ140+BJ132+BJ125+BJ123+BJ121+BJ244+BJ117+BJ170+BJ142</f>
        <v>4787407</v>
      </c>
      <c r="BK174"/>
      <c r="BL174" s="120">
        <f>BL172+BL163+BL154+BL152+BL150+BL144+BL140+BL132+BL125+BL123+BL121+BL244+BL117+BL170+BL142</f>
        <v>6322</v>
      </c>
      <c r="BM174"/>
      <c r="BN174" s="120">
        <f>BN172+BN163+BN154+BN152+BN150+BN144+BN140+BN132+BN125+BN123+BN121+BN117+BN170+BN142</f>
        <v>29740319.255358692</v>
      </c>
      <c r="BO174"/>
      <c r="BP174" s="120">
        <f>BP172+BP163+BP154+BP152+BP150+BP144+BP140+BP132+BP125+BP123+BP121+BP244+BP117+BP170+BP142</f>
        <v>8436102.4900000002</v>
      </c>
      <c r="BQ174"/>
      <c r="BR174" s="120">
        <f>BR117+BR121+BR123+BR125+BR132+BR140+BR142+BR144+BR150+BR152+BR154+BR163+BR170+BR172</f>
        <v>4123004.9561786526</v>
      </c>
      <c r="BS174" s="120">
        <f>BS172+BS163+BS154+BS152+BS150+BS144+BS140+BS132+BS125+BS123+BS121+BS244+BS117+BS170+BS142</f>
        <v>0</v>
      </c>
      <c r="BT174" s="120">
        <f>BT117+BT121+BT123+BT125+BT132+BT140+BT142+BT144+BT150+BT152+BT154+BT163+BT170+BT172</f>
        <v>33873027.211537339</v>
      </c>
      <c r="BU174" s="120">
        <f>BU172+BU163+BU154+BU152+BU150+BU144+BU140+BU132+BU125+BU123+BU121+BU244+BU117+BU170+BU142</f>
        <v>0</v>
      </c>
      <c r="BV174" s="120">
        <f>BV117+BV121+BV123+BV125+BV132+BV140+BV142+BV144+BV150+BV152+BV154+BV163+BV170+BV172</f>
        <v>-8900892.2115373425</v>
      </c>
      <c r="BW174" s="120">
        <f>BW172+BW163+BW154+BW152+BW150+BW144+BW140+BW132+BW125+BW123+BW121+BW244+BW117+BW170</f>
        <v>0</v>
      </c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9"/>
      <c r="BM176"/>
      <c r="BN176" s="10">
        <f>SUM(T176:BM176)</f>
        <v>0</v>
      </c>
      <c r="BO176"/>
      <c r="BP176" s="9">
        <v>-4408072</v>
      </c>
      <c r="BQ176"/>
      <c r="BR176" s="6">
        <f>IF(+R176-BN176+BP176&gt;0,R176-BN176+BP176,0)</f>
        <v>0</v>
      </c>
      <c r="BS176" s="9">
        <v>2030320</v>
      </c>
      <c r="BT176" s="9">
        <f>+BN176+BR176</f>
        <v>0</v>
      </c>
      <c r="BU176" s="9">
        <v>2030320</v>
      </c>
      <c r="BV176" s="6">
        <f>+R176-BT176</f>
        <v>4408071.75</v>
      </c>
      <c r="BW176" s="9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/>
      <c r="BR177" s="10"/>
      <c r="BS177" s="9"/>
      <c r="BT177" s="10"/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168" customFormat="1">
      <c r="A179" s="167" t="s">
        <v>253</v>
      </c>
      <c r="J179" s="169"/>
      <c r="L179" s="170"/>
      <c r="M179" s="171"/>
      <c r="N179" s="171"/>
      <c r="O179" s="171"/>
      <c r="P179" s="171"/>
      <c r="Q179" s="171"/>
      <c r="R179" s="166">
        <f t="shared" ref="R179:AD179" si="35">R33+R99+R89+R108+R174+R176</f>
        <v>239675467.75</v>
      </c>
      <c r="S179" s="166">
        <f t="shared" si="35"/>
        <v>0</v>
      </c>
      <c r="T179" s="166">
        <f t="shared" si="35"/>
        <v>7140000</v>
      </c>
      <c r="U179" s="166">
        <f t="shared" si="35"/>
        <v>0</v>
      </c>
      <c r="V179" s="166">
        <f t="shared" si="35"/>
        <v>1297646</v>
      </c>
      <c r="W179" s="166">
        <f t="shared" si="35"/>
        <v>0</v>
      </c>
      <c r="X179" s="166">
        <f t="shared" si="35"/>
        <v>33103293</v>
      </c>
      <c r="Y179" s="166">
        <f t="shared" si="35"/>
        <v>0</v>
      </c>
      <c r="Z179" s="166">
        <f t="shared" si="35"/>
        <v>282259</v>
      </c>
      <c r="AA179" s="166">
        <f t="shared" si="35"/>
        <v>0</v>
      </c>
      <c r="AB179" s="166">
        <f t="shared" si="35"/>
        <v>1722017</v>
      </c>
      <c r="AC179" s="166">
        <f t="shared" si="35"/>
        <v>0</v>
      </c>
      <c r="AD179" s="166">
        <f t="shared" si="35"/>
        <v>18845196.829999998</v>
      </c>
      <c r="AE179" s="166"/>
      <c r="AF179" s="166">
        <f>AF33+AF99+AF89+AF108+AF174+AF176</f>
        <v>8237655.1408541668</v>
      </c>
      <c r="AG179" s="166"/>
      <c r="AH179" s="166">
        <f>AH33+AH99+AH89+AH108+AH174+AH176</f>
        <v>8871230.9374601822</v>
      </c>
      <c r="AI179"/>
      <c r="AJ179" s="166">
        <f>AJ33+AJ99+AJ89+AJ108+AJ174+AJ176</f>
        <v>6989210.1253887061</v>
      </c>
      <c r="AK179"/>
      <c r="AL179" s="166">
        <f>AL33+AL99+AL89+AL108+AL174+AL176</f>
        <v>7789231.1557027698</v>
      </c>
      <c r="AM179"/>
      <c r="AN179" s="166">
        <f t="shared" ref="AN179:BU179" si="36">AN33+AN99+AN89+AN108+AN174+AN176</f>
        <v>11600775.180000002</v>
      </c>
      <c r="AO179" s="166">
        <f t="shared" si="36"/>
        <v>0</v>
      </c>
      <c r="AP179" s="166">
        <f t="shared" si="36"/>
        <v>17679120.913877048</v>
      </c>
      <c r="AQ179" s="166">
        <f t="shared" si="36"/>
        <v>0</v>
      </c>
      <c r="AR179" s="166">
        <f t="shared" si="36"/>
        <v>39304333.695295267</v>
      </c>
      <c r="AS179" s="166">
        <f t="shared" si="36"/>
        <v>0</v>
      </c>
      <c r="AT179" s="166">
        <f t="shared" si="36"/>
        <v>2943898.2559045074</v>
      </c>
      <c r="AU179" s="166">
        <f t="shared" si="36"/>
        <v>0</v>
      </c>
      <c r="AV179" s="166">
        <f t="shared" si="36"/>
        <v>29327061.258771211</v>
      </c>
      <c r="AW179" s="166">
        <f t="shared" si="36"/>
        <v>0</v>
      </c>
      <c r="AX179" s="166">
        <f t="shared" si="36"/>
        <v>23466763.284490943</v>
      </c>
      <c r="AY179" s="166">
        <f t="shared" si="36"/>
        <v>0</v>
      </c>
      <c r="AZ179" s="166">
        <f t="shared" si="36"/>
        <v>22126233.530000001</v>
      </c>
      <c r="BA179" s="166">
        <f t="shared" si="36"/>
        <v>0</v>
      </c>
      <c r="BB179" s="166">
        <f t="shared" si="36"/>
        <v>8412940.5109472163</v>
      </c>
      <c r="BC179" s="166"/>
      <c r="BD179" s="166">
        <f t="shared" si="36"/>
        <v>11834996.67</v>
      </c>
      <c r="BE179"/>
      <c r="BF179" s="166">
        <f>BF33+BF99+BF89+BF108+BF174+BF176</f>
        <v>1350600.65</v>
      </c>
      <c r="BG179"/>
      <c r="BH179" s="166">
        <f>BH33+BH99+BH89+BH108+BH174+BH176</f>
        <v>401728.88999999996</v>
      </c>
      <c r="BI179"/>
      <c r="BJ179" s="166">
        <f>BJ33+BJ99+BJ89+BJ108+BJ174+BJ176</f>
        <v>5162294</v>
      </c>
      <c r="BK179"/>
      <c r="BL179" s="166">
        <f>BL33+BL99+BL89+BL108+BL174+BL176</f>
        <v>6322</v>
      </c>
      <c r="BM179"/>
      <c r="BN179" s="166">
        <f t="shared" si="36"/>
        <v>267894808.02869204</v>
      </c>
      <c r="BO179"/>
      <c r="BP179" s="166">
        <f t="shared" si="36"/>
        <v>30419518.490000002</v>
      </c>
      <c r="BQ179"/>
      <c r="BR179" s="166">
        <f>BR33+BR89+BR99+BR108+BR174</f>
        <v>2860008.9561786526</v>
      </c>
      <c r="BS179" s="166">
        <f t="shared" si="36"/>
        <v>2030320</v>
      </c>
      <c r="BT179" s="166">
        <f t="shared" si="36"/>
        <v>270764516.98487067</v>
      </c>
      <c r="BU179" s="166">
        <f t="shared" si="36"/>
        <v>2030320</v>
      </c>
      <c r="BV179" s="166">
        <f>BV33+BV89+BV99+BV108+BV176+BV174</f>
        <v>-31089049.234870672</v>
      </c>
      <c r="BW179" s="171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/>
      <c r="BR180" s="10"/>
      <c r="BS180" s="9"/>
      <c r="BT180" s="10">
        <f>BT179/B4</f>
        <v>445336.37661985308</v>
      </c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L181" s="10"/>
      <c r="BM181"/>
      <c r="BO181"/>
      <c r="BP181" s="10"/>
      <c r="BQ181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7">T179-T117-T125</f>
        <v>7140000</v>
      </c>
      <c r="U182" s="10">
        <f t="shared" si="37"/>
        <v>0</v>
      </c>
      <c r="V182" s="10">
        <f t="shared" si="37"/>
        <v>1297646</v>
      </c>
      <c r="W182" s="10">
        <f t="shared" si="37"/>
        <v>0</v>
      </c>
      <c r="X182" s="10">
        <f t="shared" si="37"/>
        <v>33103293</v>
      </c>
      <c r="Y182" s="10">
        <f t="shared" si="37"/>
        <v>0</v>
      </c>
      <c r="Z182" s="10">
        <f t="shared" si="37"/>
        <v>282259</v>
      </c>
      <c r="AA182" s="10">
        <f t="shared" si="37"/>
        <v>0</v>
      </c>
      <c r="AB182" s="10">
        <f t="shared" si="37"/>
        <v>1722017</v>
      </c>
      <c r="AC182" s="10">
        <f t="shared" si="37"/>
        <v>0</v>
      </c>
      <c r="AD182" s="10">
        <f t="shared" si="37"/>
        <v>18845196.829999998</v>
      </c>
      <c r="AE182" s="10">
        <f t="shared" si="37"/>
        <v>0</v>
      </c>
      <c r="AF182" s="10">
        <f t="shared" si="37"/>
        <v>8237655.1408541668</v>
      </c>
      <c r="AG182" s="10">
        <f t="shared" si="37"/>
        <v>0</v>
      </c>
      <c r="AH182" s="10">
        <f t="shared" si="37"/>
        <v>8871230.9374601822</v>
      </c>
      <c r="AI182" s="10">
        <f t="shared" si="37"/>
        <v>0</v>
      </c>
      <c r="AJ182" s="10">
        <f t="shared" si="37"/>
        <v>6989210.1253887061</v>
      </c>
      <c r="AK182" s="10">
        <f t="shared" si="37"/>
        <v>0</v>
      </c>
      <c r="AL182" s="10">
        <f t="shared" si="37"/>
        <v>7789231.1557027698</v>
      </c>
      <c r="AM182" s="10">
        <f t="shared" si="37"/>
        <v>0</v>
      </c>
      <c r="AN182" s="10">
        <f t="shared" si="37"/>
        <v>11600775.180000002</v>
      </c>
      <c r="AO182" s="10">
        <f t="shared" si="37"/>
        <v>0</v>
      </c>
      <c r="AP182" s="10">
        <f t="shared" si="37"/>
        <v>17679120.913877048</v>
      </c>
      <c r="AQ182" s="10">
        <f t="shared" si="37"/>
        <v>0</v>
      </c>
      <c r="AR182" s="10">
        <f t="shared" si="37"/>
        <v>39304333.695295267</v>
      </c>
      <c r="AS182" s="10">
        <f t="shared" si="37"/>
        <v>0</v>
      </c>
      <c r="AT182" s="10">
        <f t="shared" si="37"/>
        <v>2943898.2559045074</v>
      </c>
      <c r="AU182" s="10">
        <f t="shared" si="37"/>
        <v>0</v>
      </c>
      <c r="AV182" s="10">
        <f t="shared" si="37"/>
        <v>29290061.258771211</v>
      </c>
      <c r="AW182" s="10">
        <f t="shared" si="37"/>
        <v>0</v>
      </c>
      <c r="AX182" s="10">
        <f t="shared" si="37"/>
        <v>23325111.284490943</v>
      </c>
      <c r="AY182" s="10">
        <f t="shared" si="37"/>
        <v>0</v>
      </c>
      <c r="AZ182" s="10">
        <f t="shared" si="37"/>
        <v>21974521.700000003</v>
      </c>
      <c r="BA182" s="10">
        <f t="shared" si="37"/>
        <v>0</v>
      </c>
      <c r="BB182" s="10">
        <f t="shared" si="37"/>
        <v>8181598.8109472161</v>
      </c>
      <c r="BC182" s="10">
        <f t="shared" si="37"/>
        <v>0</v>
      </c>
      <c r="BD182" s="10">
        <f t="shared" ref="BD182:BJ182" si="38">BD179-BD117-BD125</f>
        <v>11611326.92</v>
      </c>
      <c r="BE182" s="10">
        <f t="shared" si="38"/>
        <v>0</v>
      </c>
      <c r="BF182" s="10">
        <f t="shared" si="38"/>
        <v>1013827.0900000001</v>
      </c>
      <c r="BG182" s="10">
        <f t="shared" si="38"/>
        <v>0</v>
      </c>
      <c r="BH182" s="10">
        <f t="shared" si="38"/>
        <v>166691.41999999995</v>
      </c>
      <c r="BI182" s="10">
        <f t="shared" si="38"/>
        <v>0</v>
      </c>
      <c r="BJ182" s="10">
        <f t="shared" si="38"/>
        <v>5121888</v>
      </c>
      <c r="BK182" s="10">
        <f>BK179-BK117-BK125</f>
        <v>0</v>
      </c>
      <c r="BL182" s="10">
        <f>BL179-BL117-BL125</f>
        <v>6322</v>
      </c>
      <c r="BM182"/>
      <c r="BO182"/>
      <c r="BP182" s="10"/>
      <c r="BQ182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/>
      <c r="BK183"/>
      <c r="BL183" s="10" t="s">
        <v>439</v>
      </c>
      <c r="BM183"/>
      <c r="BN183" s="10">
        <f>-BN125</f>
        <v>-505702.68999999994</v>
      </c>
      <c r="BO183"/>
      <c r="BP183" s="10"/>
      <c r="BQ183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/>
      <c r="BK184"/>
      <c r="BL184" s="10" t="s">
        <v>440</v>
      </c>
      <c r="BM184"/>
      <c r="BN184" s="10">
        <f>-BN117</f>
        <v>-891889.62000000011</v>
      </c>
      <c r="BO184"/>
      <c r="BP184" s="10"/>
      <c r="BQ184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/>
      <c r="BK185"/>
      <c r="BL185" s="10" t="s">
        <v>444</v>
      </c>
      <c r="BM185"/>
      <c r="BN185" s="10">
        <v>0</v>
      </c>
      <c r="BO185"/>
      <c r="BP185" s="10"/>
      <c r="BQ185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K186"/>
      <c r="BL186" s="21" t="s">
        <v>441</v>
      </c>
      <c r="BM186"/>
      <c r="BN186" s="10">
        <v>-426646</v>
      </c>
      <c r="BO186"/>
      <c r="BP186" s="10"/>
      <c r="BQ186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K187"/>
      <c r="BL187" s="21" t="s">
        <v>458</v>
      </c>
      <c r="BM187"/>
      <c r="BN187" s="10">
        <f>-BL179</f>
        <v>-6322</v>
      </c>
      <c r="BO187"/>
      <c r="BP187" s="10"/>
      <c r="BQ187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>
        <f>SUM(BN179:BN187)</f>
        <v>266064247.71869203</v>
      </c>
      <c r="BO188"/>
      <c r="BP188" s="10"/>
      <c r="BQ188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/>
      <c r="BK189"/>
      <c r="BL189" s="10"/>
      <c r="BM189"/>
      <c r="BN189" s="10"/>
      <c r="BO189"/>
      <c r="BP189" s="10"/>
      <c r="BQ189"/>
      <c r="BR189" s="10"/>
      <c r="BS189" s="9"/>
      <c r="BT189" s="10"/>
      <c r="BU189" s="9"/>
      <c r="BV189" s="10"/>
      <c r="BW189" s="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</row>
    <row r="190" spans="1:124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 t="s">
        <v>438</v>
      </c>
      <c r="BM190"/>
      <c r="BN190" s="10">
        <f>166825538+99238710</f>
        <v>266064248</v>
      </c>
      <c r="BO190"/>
      <c r="BP190" s="10"/>
      <c r="BQ190"/>
      <c r="BR190" s="10"/>
      <c r="BS190" s="9"/>
      <c r="BT190" s="10"/>
      <c r="BU190" s="9"/>
      <c r="BV190" s="10"/>
      <c r="BW190" s="9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>
        <f>BN188-BN190</f>
        <v>-0.28130796551704407</v>
      </c>
      <c r="BO191"/>
      <c r="BP191" s="10"/>
      <c r="BQ191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/>
      <c r="BR192" s="10"/>
      <c r="BS192" s="9"/>
      <c r="BT192" s="10"/>
      <c r="BU192" s="9"/>
      <c r="BV192" s="10"/>
      <c r="BW192" s="9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21" customFormat="1" hidden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/>
      <c r="BR193" s="10"/>
      <c r="BS193" s="9"/>
      <c r="BT193" s="10"/>
      <c r="BU193" s="9"/>
      <c r="BV193" s="10"/>
      <c r="BW193" s="9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21" customFormat="1" hidden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/>
      <c r="BR194" s="10"/>
      <c r="BS194" s="9"/>
      <c r="BT194" s="10"/>
      <c r="BU194" s="9"/>
      <c r="BV194" s="10"/>
      <c r="BW194" s="9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21" customFormat="1" hidden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/>
      <c r="BR195" s="10"/>
      <c r="BS195" s="9"/>
      <c r="BT195" s="10"/>
      <c r="BU195" s="9"/>
      <c r="BV195" s="10"/>
      <c r="BW195" s="9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 hidden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/>
      <c r="BR196" s="10"/>
      <c r="BS196" s="9"/>
      <c r="BT196" s="10"/>
      <c r="BU196" s="9"/>
      <c r="BV196" s="10"/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 hidden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21" customFormat="1" hidden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/>
      <c r="BR198" s="10"/>
      <c r="BS198" s="9"/>
      <c r="BT198" s="10"/>
      <c r="BU198" s="9"/>
      <c r="BV198" s="10"/>
      <c r="BW198" s="9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 hidden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21" customFormat="1" hidden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/>
      <c r="BR200" s="10"/>
      <c r="BS200" s="9"/>
      <c r="BT200" s="10"/>
      <c r="BU200" s="9"/>
      <c r="BV200" s="10"/>
      <c r="BW200" s="9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 hidden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 hidden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/>
      <c r="BR202" s="10"/>
      <c r="BS202" s="9"/>
      <c r="BT202" s="10"/>
      <c r="BU202" s="9"/>
      <c r="BV202" s="10"/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 hidden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 hidden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21" customFormat="1" hidden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/>
      <c r="BR205" s="10"/>
      <c r="BS205" s="9"/>
      <c r="BT205" s="10"/>
      <c r="BU205" s="9"/>
      <c r="BV205" s="10"/>
      <c r="BW205" s="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 hidden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/>
      <c r="BR206" s="10"/>
      <c r="BS206" s="9"/>
      <c r="BT206" s="10"/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 hidden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 hidden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/>
      <c r="BR208" s="10"/>
      <c r="BS208" s="9"/>
      <c r="BT208" s="10"/>
      <c r="BU208" s="9"/>
      <c r="BV208" s="10"/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 hidden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 hidden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 hidden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 hidden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 hidden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 hidden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 hidden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/>
      <c r="BR216" s="10"/>
      <c r="BS216" s="9"/>
      <c r="BT216" s="10"/>
      <c r="BU216" s="9"/>
      <c r="BV216" s="10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/>
      <c r="BR219" s="10"/>
      <c r="BS219" s="9"/>
      <c r="BT219" s="10"/>
      <c r="BU219" s="9"/>
      <c r="BV219" s="10"/>
      <c r="BW219" s="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/>
      <c r="BR220" s="1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/>
      <c r="BR231" s="10"/>
      <c r="BS231" s="9"/>
      <c r="BT231" s="10"/>
      <c r="BU231" s="9"/>
      <c r="BV231" s="10"/>
      <c r="BW231" s="9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/>
      <c r="BR232" s="10"/>
      <c r="BS232" s="9"/>
      <c r="BT232" s="10"/>
      <c r="BU232" s="9"/>
      <c r="BV232" s="10"/>
      <c r="BW232" s="9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</row>
    <row r="233" spans="1:124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/>
      <c r="BR233" s="10"/>
      <c r="BS233" s="9"/>
      <c r="BT233" s="10"/>
      <c r="BU233" s="9"/>
      <c r="BV233" s="10"/>
      <c r="BW233" s="9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</row>
    <row r="234" spans="1:124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/>
      <c r="BR234" s="10"/>
      <c r="BS234" s="9"/>
      <c r="BT234" s="10"/>
      <c r="BU234" s="9"/>
      <c r="BV234" s="10"/>
      <c r="BW234" s="9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</row>
    <row r="235" spans="1:124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/>
      <c r="BR235" s="10"/>
      <c r="BS235" s="9"/>
      <c r="BT235" s="10"/>
      <c r="BU235" s="9"/>
      <c r="BV235" s="10"/>
      <c r="BW235" s="9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</row>
    <row r="236" spans="1:124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/>
      <c r="BR236" s="10"/>
      <c r="BS236" s="9"/>
      <c r="BT236" s="10"/>
      <c r="BU236" s="9"/>
      <c r="BV236" s="10"/>
      <c r="BW236" s="9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</row>
    <row r="237" spans="1:124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/>
      <c r="BR237" s="10"/>
      <c r="BS237" s="9"/>
      <c r="BT237" s="10"/>
      <c r="BU237" s="9"/>
      <c r="BV237" s="10"/>
      <c r="BW237" s="9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</row>
    <row r="238" spans="1:124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/>
      <c r="BR238" s="10"/>
      <c r="BS238" s="9"/>
      <c r="BT238" s="10"/>
      <c r="BU238" s="9"/>
      <c r="BV238" s="10"/>
      <c r="BW238" s="9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</row>
    <row r="239" spans="1:124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/>
      <c r="BR239" s="10"/>
      <c r="BS239" s="9"/>
      <c r="BT239" s="10"/>
      <c r="BU239" s="9"/>
      <c r="BV239" s="10"/>
      <c r="BW239" s="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</row>
    <row r="240" spans="1:124" s="21" customFormat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/>
      <c r="AJ240" s="10"/>
      <c r="AK240"/>
      <c r="AL240" s="10"/>
      <c r="AM240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/>
      <c r="BF240" s="10"/>
      <c r="BG240"/>
      <c r="BH240" s="10"/>
      <c r="BI240"/>
      <c r="BJ240" s="10"/>
      <c r="BK240"/>
      <c r="BL240" s="10"/>
      <c r="BM240"/>
      <c r="BN240" s="10"/>
      <c r="BO240"/>
      <c r="BP240" s="10"/>
      <c r="BQ240"/>
      <c r="BR240" s="10"/>
      <c r="BS240" s="9"/>
      <c r="BT240" s="10"/>
      <c r="BU240" s="9"/>
      <c r="BV240" s="10"/>
      <c r="BW240" s="9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</row>
    <row r="241" spans="1:124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/>
      <c r="AJ241" s="9"/>
      <c r="AK241"/>
      <c r="AL241" s="9"/>
      <c r="AM241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/>
      <c r="BF241" s="9"/>
      <c r="BG241"/>
      <c r="BH241" s="9"/>
      <c r="BI241"/>
      <c r="BJ241" s="9"/>
      <c r="BK241"/>
      <c r="BL241" s="9"/>
      <c r="BM241"/>
      <c r="BN241" s="10">
        <f>SUM(T241:BM241)</f>
        <v>-6077.489999999998</v>
      </c>
      <c r="BO241"/>
      <c r="BP241" s="10">
        <v>0</v>
      </c>
      <c r="BQ241"/>
      <c r="BR241" s="6">
        <f>IF(+R241-BN241+BP241&gt;0,R241-BN241+BP241,0)</f>
        <v>0</v>
      </c>
      <c r="BS241" s="10"/>
      <c r="BT241" s="9">
        <f>+BN241+BR241</f>
        <v>-6077.489999999998</v>
      </c>
      <c r="BU241" s="10"/>
      <c r="BV241" s="9">
        <v>0</v>
      </c>
      <c r="BW241" s="9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/>
      <c r="AJ242" s="10"/>
      <c r="AK242"/>
      <c r="AL242" s="10"/>
      <c r="AM242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/>
      <c r="BF242" s="10"/>
      <c r="BG242"/>
      <c r="BH242" s="10"/>
      <c r="BI242"/>
      <c r="BJ242" s="10"/>
      <c r="BK242"/>
      <c r="BL242" s="10"/>
      <c r="BM242"/>
      <c r="BN242" s="10"/>
      <c r="BO242"/>
      <c r="BP242" s="10"/>
      <c r="BQ242"/>
      <c r="BR242" s="10"/>
      <c r="BS242" s="9"/>
      <c r="BT242" s="10"/>
      <c r="BU242" s="9"/>
      <c r="BV242" s="10"/>
      <c r="BW242" s="9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</row>
    <row r="243" spans="1:124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/>
      <c r="AJ243" s="10">
        <f>220+59</f>
        <v>279</v>
      </c>
      <c r="AK243"/>
      <c r="AL243" s="10">
        <v>10</v>
      </c>
      <c r="AM243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/>
      <c r="BF243" s="10"/>
      <c r="BG243"/>
      <c r="BH243" s="10"/>
      <c r="BI243"/>
      <c r="BJ243" s="10"/>
      <c r="BK243"/>
      <c r="BL243" s="10"/>
      <c r="BM243"/>
      <c r="BN243" s="10">
        <f>SUM(T243:BM243)</f>
        <v>1289</v>
      </c>
      <c r="BO243"/>
      <c r="BP243" s="10">
        <v>0</v>
      </c>
      <c r="BQ243"/>
      <c r="BR243" s="6">
        <f>IF(+R243-BN243+BP243&gt;0,R243-BN243+BP243,0)</f>
        <v>0</v>
      </c>
      <c r="BS243" s="9"/>
      <c r="BT243" s="9">
        <f>+BN243+BR243</f>
        <v>1289</v>
      </c>
      <c r="BU243" s="9"/>
      <c r="BV243" s="6"/>
      <c r="BW243" s="9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</row>
    <row r="244" spans="1:124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/>
      <c r="AJ244" s="9">
        <v>0</v>
      </c>
      <c r="AK244"/>
      <c r="AL244" s="9">
        <v>0</v>
      </c>
      <c r="AM24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/>
      <c r="BF244" s="9">
        <v>0</v>
      </c>
      <c r="BG244"/>
      <c r="BH244" s="9">
        <v>0</v>
      </c>
      <c r="BI244"/>
      <c r="BJ244" s="9">
        <v>0</v>
      </c>
      <c r="BK244"/>
      <c r="BL244" s="9">
        <v>0</v>
      </c>
      <c r="BM244"/>
      <c r="BN244" s="16">
        <f>SUM(T244:BM244)</f>
        <v>80000</v>
      </c>
      <c r="BO244"/>
      <c r="BP244" s="9">
        <v>0</v>
      </c>
      <c r="BQ244"/>
      <c r="BR244" s="6">
        <f>IF(+R244-BN244+BP244&gt;0,R244-BN244+BP244,0)</f>
        <v>0</v>
      </c>
      <c r="BS244" s="9"/>
      <c r="BT244" s="9">
        <f>+BN244+BR244</f>
        <v>80000</v>
      </c>
      <c r="BU244" s="9"/>
      <c r="BV244" s="6"/>
      <c r="BW244" s="9"/>
    </row>
    <row r="245" spans="1:124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/>
      <c r="AJ245" s="10">
        <f>-861-98</f>
        <v>-959</v>
      </c>
      <c r="AK245"/>
      <c r="AL245" s="10">
        <v>-3</v>
      </c>
      <c r="AM245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>
        <f>SUM(T245:BM245)</f>
        <v>-149741</v>
      </c>
      <c r="BO245"/>
      <c r="BP245" s="10"/>
      <c r="BQ245"/>
      <c r="BR245" s="6">
        <v>0</v>
      </c>
      <c r="BS245" s="9"/>
      <c r="BT245" s="9">
        <f>+BN245+BR245</f>
        <v>-149741</v>
      </c>
      <c r="BU245" s="9"/>
      <c r="BV245" s="6"/>
      <c r="BW245" s="9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</row>
    <row r="246" spans="1:124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/>
      <c r="AJ246" s="10"/>
      <c r="AK246"/>
      <c r="AL246" s="10"/>
      <c r="AM246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/>
      <c r="BF246" s="10"/>
      <c r="BG246"/>
      <c r="BH246" s="10"/>
      <c r="BI246"/>
      <c r="BJ246" s="10"/>
      <c r="BK246"/>
      <c r="BL246" s="10"/>
      <c r="BM246"/>
      <c r="BN246" s="10"/>
      <c r="BO246"/>
      <c r="BP246" s="10"/>
      <c r="BQ246"/>
      <c r="BR246" s="10"/>
      <c r="BS246" s="9"/>
      <c r="BT246" s="10"/>
      <c r="BU246" s="9"/>
      <c r="BV246" s="10"/>
      <c r="BW246" s="9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</row>
    <row r="247" spans="1:124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39">R179+R241+R243+R245</f>
        <v>239612890.75</v>
      </c>
      <c r="S247" s="10">
        <f t="shared" si="39"/>
        <v>0</v>
      </c>
      <c r="T247" s="10">
        <f t="shared" si="39"/>
        <v>7140000</v>
      </c>
      <c r="U247" s="10">
        <f t="shared" si="39"/>
        <v>0</v>
      </c>
      <c r="V247" s="10">
        <f t="shared" si="39"/>
        <v>1297646</v>
      </c>
      <c r="W247" s="10">
        <f t="shared" si="39"/>
        <v>0</v>
      </c>
      <c r="X247" s="10">
        <f t="shared" si="39"/>
        <v>33103293</v>
      </c>
      <c r="Y247" s="10">
        <f t="shared" si="39"/>
        <v>0</v>
      </c>
      <c r="Z247" s="10">
        <f t="shared" si="39"/>
        <v>260702.6</v>
      </c>
      <c r="AA247" s="10">
        <f t="shared" si="39"/>
        <v>0</v>
      </c>
      <c r="AB247" s="10">
        <f t="shared" si="39"/>
        <v>1731995.91</v>
      </c>
      <c r="AC247" s="10">
        <f t="shared" si="39"/>
        <v>0</v>
      </c>
      <c r="AD247" s="10">
        <f t="shared" si="39"/>
        <v>18794262.829999998</v>
      </c>
      <c r="AE247" s="10"/>
      <c r="AF247" s="10">
        <f t="shared" si="39"/>
        <v>8167701.1408541668</v>
      </c>
      <c r="AG247" s="10"/>
      <c r="AH247" s="10">
        <f t="shared" si="39"/>
        <v>8849219.9374601822</v>
      </c>
      <c r="AI247"/>
      <c r="AJ247" s="10">
        <f>AJ179+AJ241+AJ243+AJ245</f>
        <v>6988530.1253887061</v>
      </c>
      <c r="AK247"/>
      <c r="AL247" s="10">
        <f t="shared" si="39"/>
        <v>7789238.1557027698</v>
      </c>
      <c r="AM247"/>
      <c r="AN247" s="10">
        <f t="shared" si="39"/>
        <v>11652992.180000002</v>
      </c>
      <c r="AO247" s="10">
        <f t="shared" si="39"/>
        <v>0</v>
      </c>
      <c r="AP247" s="10">
        <f t="shared" si="39"/>
        <v>17627423.913877048</v>
      </c>
      <c r="AQ247" s="10">
        <f t="shared" si="39"/>
        <v>0</v>
      </c>
      <c r="AR247" s="10">
        <f t="shared" si="39"/>
        <v>39304333.695295267</v>
      </c>
      <c r="AS247" s="10">
        <f t="shared" si="39"/>
        <v>0</v>
      </c>
      <c r="AT247" s="10">
        <f t="shared" si="39"/>
        <v>2943898.2559045074</v>
      </c>
      <c r="AU247" s="10">
        <f t="shared" si="39"/>
        <v>0</v>
      </c>
      <c r="AV247" s="10">
        <f t="shared" si="39"/>
        <v>29327061.258771211</v>
      </c>
      <c r="AW247" s="10">
        <f t="shared" si="39"/>
        <v>0</v>
      </c>
      <c r="AX247" s="10">
        <f t="shared" si="39"/>
        <v>23466763.284490943</v>
      </c>
      <c r="AY247" s="10">
        <f t="shared" si="39"/>
        <v>0</v>
      </c>
      <c r="AZ247" s="10">
        <f t="shared" si="39"/>
        <v>22126233.530000001</v>
      </c>
      <c r="BA247" s="10">
        <f t="shared" si="39"/>
        <v>0</v>
      </c>
      <c r="BB247" s="10">
        <f>BB179+BB241+BB243+BB245+BB244</f>
        <v>8493040.5109472163</v>
      </c>
      <c r="BC247" s="10"/>
      <c r="BD247" s="10">
        <f t="shared" si="39"/>
        <v>11834996.67</v>
      </c>
      <c r="BE247"/>
      <c r="BF247" s="10">
        <f t="shared" si="39"/>
        <v>1350600.65</v>
      </c>
      <c r="BG247"/>
      <c r="BH247" s="10">
        <f t="shared" si="39"/>
        <v>401728.88999999996</v>
      </c>
      <c r="BI247"/>
      <c r="BJ247" s="10">
        <f t="shared" si="39"/>
        <v>5162294</v>
      </c>
      <c r="BK247"/>
      <c r="BL247" s="10">
        <f>BL179+BL241+BL243+BL245</f>
        <v>6322</v>
      </c>
      <c r="BM247"/>
      <c r="BN247" s="10">
        <f>BN179+BN241+BN243+BN245+BN244</f>
        <v>267820278.53869203</v>
      </c>
      <c r="BO247"/>
      <c r="BP247" s="10">
        <f t="shared" ref="BP247:BV247" si="40">BP179+BP241+BP243+BP245+BP244</f>
        <v>30419518.490000002</v>
      </c>
      <c r="BQ247"/>
      <c r="BR247" s="10">
        <f t="shared" si="40"/>
        <v>2860008.9561786526</v>
      </c>
      <c r="BS247" s="10">
        <f t="shared" si="40"/>
        <v>2030320</v>
      </c>
      <c r="BT247" s="10">
        <f t="shared" si="40"/>
        <v>270689987.49487066</v>
      </c>
      <c r="BU247" s="10">
        <f t="shared" si="40"/>
        <v>2030320</v>
      </c>
      <c r="BV247" s="10">
        <f t="shared" si="40"/>
        <v>-31089049.234870672</v>
      </c>
      <c r="BW247" s="9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</row>
    <row r="248" spans="1:124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/>
      <c r="AJ248" s="10"/>
      <c r="AK248"/>
      <c r="AL248" s="10"/>
      <c r="AM248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/>
      <c r="BF248" s="10"/>
      <c r="BG248"/>
      <c r="BH248" s="10"/>
      <c r="BI248"/>
      <c r="BJ248" s="10"/>
      <c r="BK248"/>
      <c r="BL248" s="10"/>
      <c r="BM248"/>
      <c r="BN248" s="10"/>
      <c r="BO248"/>
      <c r="BP248" s="10"/>
      <c r="BQ248"/>
      <c r="BR248" s="10"/>
      <c r="BS248" s="9"/>
      <c r="BT248" s="10"/>
      <c r="BU248" s="9"/>
      <c r="BV248" s="10"/>
      <c r="BW248" s="9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</row>
    <row r="249" spans="1:124" hidden="1">
      <c r="C249"/>
      <c r="D249"/>
      <c r="E249"/>
      <c r="F249"/>
      <c r="G249"/>
      <c r="H249"/>
      <c r="I249"/>
      <c r="J249" s="49"/>
      <c r="K249"/>
      <c r="L249" s="132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/>
      <c r="AJ249" s="10"/>
      <c r="BJ249" s="6"/>
      <c r="BL249" s="6"/>
      <c r="BP249" s="6"/>
      <c r="BW249" s="6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</row>
    <row r="250" spans="1:124" ht="15.75" hidden="1">
      <c r="A250" s="288" t="s">
        <v>196</v>
      </c>
      <c r="B250" s="130"/>
      <c r="C250" s="119"/>
      <c r="D250" s="119"/>
      <c r="E250" s="119"/>
      <c r="F250" s="119"/>
      <c r="G250" s="119"/>
      <c r="H250" s="119"/>
      <c r="I250" s="119"/>
      <c r="J250" s="159"/>
      <c r="K250" s="119"/>
      <c r="L250" s="146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L250" s="131"/>
      <c r="BN250" s="131"/>
      <c r="BP250" s="131"/>
      <c r="BR250" s="131"/>
      <c r="BS250" s="131"/>
      <c r="BT250" s="13"/>
      <c r="BU250" s="131"/>
      <c r="BV250" s="131"/>
      <c r="BW250" s="131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</row>
    <row r="251" spans="1:124" hidden="1">
      <c r="A251" s="58" t="s">
        <v>32</v>
      </c>
      <c r="C251"/>
      <c r="D251"/>
      <c r="E251"/>
      <c r="F251"/>
      <c r="G251"/>
      <c r="H251"/>
      <c r="I251"/>
      <c r="J251" s="49"/>
      <c r="K251"/>
      <c r="L251" s="132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22"/>
      <c r="BN251" s="9">
        <f t="shared" ref="BN251:BN256" si="41">SUM(T251:BM251)</f>
        <v>39986.36</v>
      </c>
      <c r="BP251" s="22"/>
      <c r="BR251" s="6">
        <f>IF(+R251-BN251+BP251&gt;0,R251-BN251+BP251,0)</f>
        <v>0</v>
      </c>
      <c r="BT251" s="9">
        <f t="shared" ref="BT251:BT256" si="42">+BR251+BN251</f>
        <v>39986.36</v>
      </c>
      <c r="BV251" s="9">
        <v>0</v>
      </c>
      <c r="BW251" s="6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</row>
    <row r="252" spans="1:124" hidden="1">
      <c r="A252" s="58" t="s">
        <v>33</v>
      </c>
      <c r="C252"/>
      <c r="D252"/>
      <c r="E252"/>
      <c r="F252"/>
      <c r="G252"/>
      <c r="H252"/>
      <c r="I252"/>
      <c r="J252" s="49"/>
      <c r="K252"/>
      <c r="L252" s="132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22"/>
      <c r="BN252" s="9">
        <f t="shared" si="41"/>
        <v>118573.59</v>
      </c>
      <c r="BP252" s="22"/>
      <c r="BR252" s="6">
        <f>IF(+R252-BN252+BP252&gt;0,R252-BN252+BP252,0)</f>
        <v>0</v>
      </c>
      <c r="BT252" s="9">
        <f t="shared" si="42"/>
        <v>118573.59</v>
      </c>
      <c r="BV252" s="9">
        <v>0</v>
      </c>
      <c r="BW252" s="6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</row>
    <row r="253" spans="1:124" hidden="1">
      <c r="A253" s="58" t="s">
        <v>35</v>
      </c>
      <c r="C253"/>
      <c r="D253"/>
      <c r="E253"/>
      <c r="F253"/>
      <c r="G253"/>
      <c r="H253"/>
      <c r="I253"/>
      <c r="J253" s="49"/>
      <c r="K253"/>
      <c r="L253" s="132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L253" s="22"/>
      <c r="BN253" s="9">
        <f t="shared" si="41"/>
        <v>53464.32</v>
      </c>
      <c r="BP253" s="22"/>
      <c r="BR253" s="6">
        <f>IF(+R253-BN253+BP253&gt;0,R253-BN253+BP253,0)</f>
        <v>0</v>
      </c>
      <c r="BT253" s="9">
        <f t="shared" si="42"/>
        <v>53464.32</v>
      </c>
      <c r="BV253" s="9">
        <v>0</v>
      </c>
      <c r="BW253" s="6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</row>
    <row r="254" spans="1:124" hidden="1">
      <c r="A254" s="31" t="s">
        <v>198</v>
      </c>
      <c r="C254"/>
      <c r="D254"/>
      <c r="E254"/>
      <c r="F254"/>
      <c r="G254"/>
      <c r="H254"/>
      <c r="I254"/>
      <c r="J254" s="49"/>
      <c r="K254"/>
      <c r="L254" s="132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L254" s="22"/>
      <c r="BN254" s="9">
        <f t="shared" si="41"/>
        <v>102500</v>
      </c>
      <c r="BP254" s="22"/>
      <c r="BR254" s="6">
        <f>IF(+R254-BN254+BP254&gt;0,R254-BN254+BP254,0)</f>
        <v>0</v>
      </c>
      <c r="BT254" s="9">
        <f t="shared" si="42"/>
        <v>102500</v>
      </c>
      <c r="BV254" s="9">
        <v>0</v>
      </c>
      <c r="BW254" s="6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</row>
    <row r="255" spans="1:124" customFormat="1" hidden="1">
      <c r="A255" s="30"/>
      <c r="BR255" s="6">
        <f>IF(+R255-BN255+BP255&gt;0,R255-BN255+BP255,0)</f>
        <v>0</v>
      </c>
    </row>
    <row r="256" spans="1:124" s="105" customFormat="1" ht="13.5" hidden="1" thickBot="1">
      <c r="A256" s="289" t="s">
        <v>197</v>
      </c>
      <c r="B256" s="54"/>
      <c r="J256" s="156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L256" si="43">SUM(AF251:AF255)</f>
        <v>0</v>
      </c>
      <c r="AG256" s="121"/>
      <c r="AH256" s="121">
        <f t="shared" si="43"/>
        <v>5725.4500000000007</v>
      </c>
      <c r="AI256" s="121"/>
      <c r="AJ256" s="121">
        <f t="shared" si="43"/>
        <v>0</v>
      </c>
      <c r="AK256"/>
      <c r="AL256" s="121">
        <f t="shared" si="43"/>
        <v>591.45000000000005</v>
      </c>
      <c r="AM256"/>
      <c r="AN256" s="121">
        <f t="shared" si="43"/>
        <v>0</v>
      </c>
      <c r="AO256" s="121">
        <f t="shared" si="43"/>
        <v>0</v>
      </c>
      <c r="AP256" s="121">
        <f t="shared" si="43"/>
        <v>0</v>
      </c>
      <c r="AQ256" s="121">
        <f t="shared" si="43"/>
        <v>0</v>
      </c>
      <c r="AR256" s="121">
        <f t="shared" si="43"/>
        <v>1242.3</v>
      </c>
      <c r="AS256" s="121">
        <f t="shared" si="43"/>
        <v>0</v>
      </c>
      <c r="AT256" s="121">
        <f t="shared" si="43"/>
        <v>0</v>
      </c>
      <c r="AU256" s="121">
        <f t="shared" si="43"/>
        <v>0</v>
      </c>
      <c r="AV256" s="121">
        <f t="shared" si="43"/>
        <v>0</v>
      </c>
      <c r="AW256" s="121">
        <f t="shared" si="43"/>
        <v>0</v>
      </c>
      <c r="AX256" s="121">
        <f t="shared" si="43"/>
        <v>15000</v>
      </c>
      <c r="AY256" s="121">
        <f t="shared" si="43"/>
        <v>0</v>
      </c>
      <c r="AZ256" s="121">
        <f t="shared" si="43"/>
        <v>0</v>
      </c>
      <c r="BA256" s="121">
        <f t="shared" si="43"/>
        <v>0</v>
      </c>
      <c r="BB256" s="121">
        <f t="shared" si="43"/>
        <v>0</v>
      </c>
      <c r="BC256" s="121"/>
      <c r="BD256" s="121">
        <f t="shared" si="43"/>
        <v>0</v>
      </c>
      <c r="BE256"/>
      <c r="BF256" s="121">
        <f t="shared" si="43"/>
        <v>0</v>
      </c>
      <c r="BG256"/>
      <c r="BH256" s="121">
        <f t="shared" si="43"/>
        <v>0</v>
      </c>
      <c r="BI256"/>
      <c r="BJ256" s="121">
        <f t="shared" si="43"/>
        <v>0</v>
      </c>
      <c r="BK256"/>
      <c r="BL256" s="121">
        <f t="shared" si="43"/>
        <v>0</v>
      </c>
      <c r="BM256"/>
      <c r="BN256" s="121">
        <f t="shared" si="41"/>
        <v>314524.27</v>
      </c>
      <c r="BO256"/>
      <c r="BP256" s="121"/>
      <c r="BQ256"/>
      <c r="BR256" s="121">
        <f>SUM(BR250:BR255)</f>
        <v>0</v>
      </c>
      <c r="BS256" s="13"/>
      <c r="BT256" s="121">
        <f t="shared" si="42"/>
        <v>314524.27</v>
      </c>
      <c r="BU256" s="13"/>
      <c r="BV256" s="121">
        <v>0</v>
      </c>
      <c r="BW256" s="120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</row>
    <row r="257" spans="1:124" hidden="1">
      <c r="C257"/>
      <c r="D257"/>
      <c r="E257"/>
      <c r="F257"/>
      <c r="G257"/>
      <c r="H257"/>
      <c r="I257"/>
      <c r="J257" s="49"/>
      <c r="K257"/>
      <c r="L257" s="132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P257" s="22"/>
      <c r="BT257" s="58"/>
      <c r="BW257" s="6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</row>
    <row r="258" spans="1:124" hidden="1">
      <c r="C258"/>
      <c r="D258"/>
      <c r="E258"/>
      <c r="F258"/>
      <c r="G258"/>
      <c r="H258"/>
      <c r="I258"/>
      <c r="J258" s="49"/>
      <c r="K258"/>
      <c r="L258" s="132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P258" s="22"/>
      <c r="BT258" s="9"/>
      <c r="BW258" s="6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</row>
    <row r="259" spans="1:124" hidden="1">
      <c r="C259"/>
      <c r="D259"/>
      <c r="E259"/>
      <c r="F259"/>
      <c r="G259"/>
      <c r="H259"/>
      <c r="I259"/>
      <c r="J259" s="49"/>
      <c r="K259"/>
      <c r="L259" s="132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P259" s="22"/>
      <c r="BT259" s="22"/>
      <c r="BW259" s="6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</row>
    <row r="260" spans="1:124" hidden="1">
      <c r="C260"/>
      <c r="D260"/>
      <c r="E260"/>
      <c r="F260"/>
      <c r="G260"/>
      <c r="H260"/>
      <c r="I260"/>
      <c r="J260" s="49"/>
      <c r="K260"/>
      <c r="L260" s="132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L260" s="22"/>
      <c r="BN260" s="22"/>
      <c r="BP260" s="22"/>
      <c r="BW260" s="6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</row>
    <row r="261" spans="1:124" s="130" customFormat="1" ht="16.5" hidden="1" thickBot="1">
      <c r="A261" s="288" t="s">
        <v>381</v>
      </c>
      <c r="C261" s="119"/>
      <c r="D261" s="119"/>
      <c r="E261" s="119"/>
      <c r="F261" s="119"/>
      <c r="G261" s="119"/>
      <c r="H261" s="119"/>
      <c r="I261" s="119"/>
      <c r="J261" s="159"/>
      <c r="K261" s="119"/>
      <c r="L261" s="146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V261" si="44">S247+S256</f>
        <v>0</v>
      </c>
      <c r="T261" s="121">
        <f t="shared" si="44"/>
        <v>7279633</v>
      </c>
      <c r="U261" s="121">
        <f t="shared" si="44"/>
        <v>0</v>
      </c>
      <c r="V261" s="121">
        <f t="shared" si="44"/>
        <v>1298988.96</v>
      </c>
      <c r="W261" s="121">
        <f t="shared" si="44"/>
        <v>0</v>
      </c>
      <c r="X261" s="121">
        <f t="shared" si="44"/>
        <v>33151937.879999999</v>
      </c>
      <c r="Y261" s="121">
        <f t="shared" si="44"/>
        <v>0</v>
      </c>
      <c r="Z261" s="121">
        <f t="shared" si="44"/>
        <v>280030.83</v>
      </c>
      <c r="AA261" s="121">
        <f t="shared" si="44"/>
        <v>0</v>
      </c>
      <c r="AB261" s="121">
        <f t="shared" si="44"/>
        <v>1733894.8599999999</v>
      </c>
      <c r="AC261" s="121">
        <f t="shared" si="44"/>
        <v>0</v>
      </c>
      <c r="AD261" s="121">
        <f t="shared" si="44"/>
        <v>18875379.879999999</v>
      </c>
      <c r="AE261" s="121"/>
      <c r="AF261" s="121">
        <f t="shared" si="44"/>
        <v>8167701.1408541668</v>
      </c>
      <c r="AG261" s="121"/>
      <c r="AH261" s="121">
        <f t="shared" si="44"/>
        <v>8854945.3874601815</v>
      </c>
      <c r="AI261" s="121"/>
      <c r="AJ261" s="121">
        <f t="shared" si="44"/>
        <v>6988530.1253887061</v>
      </c>
      <c r="AK261"/>
      <c r="AL261" s="121">
        <f t="shared" si="44"/>
        <v>7789829.6057027699</v>
      </c>
      <c r="AM261"/>
      <c r="AN261" s="121">
        <f t="shared" si="44"/>
        <v>11652992.180000002</v>
      </c>
      <c r="AO261" s="121">
        <f t="shared" si="44"/>
        <v>0</v>
      </c>
      <c r="AP261" s="121">
        <f t="shared" si="44"/>
        <v>17627423.913877048</v>
      </c>
      <c r="AQ261" s="121">
        <f t="shared" si="44"/>
        <v>0</v>
      </c>
      <c r="AR261" s="121">
        <f t="shared" si="44"/>
        <v>39305575.995295264</v>
      </c>
      <c r="AS261" s="121">
        <f t="shared" si="44"/>
        <v>0</v>
      </c>
      <c r="AT261" s="121">
        <f t="shared" si="44"/>
        <v>2943898.2559045074</v>
      </c>
      <c r="AU261" s="121">
        <f t="shared" si="44"/>
        <v>0</v>
      </c>
      <c r="AV261" s="121">
        <f t="shared" si="44"/>
        <v>29327061.258771211</v>
      </c>
      <c r="AW261" s="121">
        <f t="shared" si="44"/>
        <v>0</v>
      </c>
      <c r="AX261" s="121">
        <f t="shared" si="44"/>
        <v>23481763.284490943</v>
      </c>
      <c r="AY261" s="121">
        <f t="shared" si="44"/>
        <v>0</v>
      </c>
      <c r="AZ261" s="121">
        <f t="shared" si="44"/>
        <v>22126233.530000001</v>
      </c>
      <c r="BA261" s="121">
        <f t="shared" si="44"/>
        <v>0</v>
      </c>
      <c r="BB261" s="121">
        <f t="shared" si="44"/>
        <v>8493040.5109472163</v>
      </c>
      <c r="BC261" s="121"/>
      <c r="BD261" s="121">
        <f t="shared" si="44"/>
        <v>11834996.67</v>
      </c>
      <c r="BE261"/>
      <c r="BF261" s="121">
        <f t="shared" si="44"/>
        <v>1350600.65</v>
      </c>
      <c r="BG261"/>
      <c r="BH261" s="121">
        <f t="shared" si="44"/>
        <v>401728.88999999996</v>
      </c>
      <c r="BI261"/>
      <c r="BJ261" s="121">
        <f t="shared" si="44"/>
        <v>5162294</v>
      </c>
      <c r="BK261"/>
      <c r="BL261" s="121">
        <f>BL247+BL256</f>
        <v>6322</v>
      </c>
      <c r="BM261"/>
      <c r="BN261" s="121">
        <f t="shared" si="44"/>
        <v>268134802.80869204</v>
      </c>
      <c r="BO261"/>
      <c r="BP261" s="121">
        <f t="shared" si="44"/>
        <v>30419518.490000002</v>
      </c>
      <c r="BQ261"/>
      <c r="BR261" s="121">
        <f t="shared" si="44"/>
        <v>2860008.9561786526</v>
      </c>
      <c r="BS261" s="121">
        <f t="shared" si="44"/>
        <v>2030320</v>
      </c>
      <c r="BT261" s="121">
        <f t="shared" si="44"/>
        <v>271004511.76487064</v>
      </c>
      <c r="BU261" s="121">
        <f t="shared" si="44"/>
        <v>2030320</v>
      </c>
      <c r="BV261" s="121">
        <f t="shared" si="44"/>
        <v>-31089049.234870672</v>
      </c>
      <c r="BW261" s="13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</row>
    <row r="262" spans="1:124" customFormat="1" hidden="1">
      <c r="A262" s="30"/>
    </row>
    <row r="263" spans="1:124" hidden="1">
      <c r="C263"/>
      <c r="D263"/>
      <c r="E263"/>
      <c r="F263"/>
      <c r="G263"/>
      <c r="H263"/>
      <c r="I263"/>
      <c r="J263" s="49"/>
      <c r="K263"/>
      <c r="L263" s="132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P263" s="22"/>
      <c r="BW263" s="6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</row>
    <row r="264" spans="1:124" hidden="1">
      <c r="C264"/>
      <c r="D264"/>
      <c r="E264"/>
      <c r="F264"/>
      <c r="G264"/>
      <c r="H264"/>
      <c r="I264"/>
      <c r="J264" s="49"/>
      <c r="K264"/>
      <c r="L264" s="132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P264" s="22"/>
      <c r="BW264" s="6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</row>
    <row r="265" spans="1:124" hidden="1">
      <c r="K265" s="5"/>
      <c r="L265" s="147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P265" s="22"/>
      <c r="BW265" s="6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</row>
    <row r="266" spans="1:124" hidden="1">
      <c r="K266" s="5"/>
      <c r="L266" s="147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P266" s="22"/>
      <c r="BW266" s="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</row>
    <row r="267" spans="1:124" hidden="1">
      <c r="K267" s="5"/>
      <c r="L267" s="147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P267" s="22"/>
      <c r="BW267" s="6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</row>
    <row r="268" spans="1:124" hidden="1">
      <c r="K268" s="5"/>
      <c r="L268" s="147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N268" s="22"/>
      <c r="BP268" s="22"/>
      <c r="BW268" s="6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</row>
    <row r="269" spans="1:124" hidden="1">
      <c r="K269" s="5"/>
      <c r="L269" s="147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F269" s="22"/>
      <c r="BH269" s="22"/>
      <c r="BJ269" s="22"/>
      <c r="BL269" s="22"/>
      <c r="BN269" s="22"/>
      <c r="BO269" s="33"/>
      <c r="BP269" s="22"/>
      <c r="BW269" s="6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</row>
    <row r="270" spans="1:124" hidden="1">
      <c r="K270" s="5"/>
      <c r="L270" s="147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413</v>
      </c>
      <c r="BF270" s="22"/>
      <c r="BH270" s="22"/>
      <c r="BJ270" s="22"/>
      <c r="BL270" s="22"/>
      <c r="BN270" s="22">
        <v>166466044</v>
      </c>
      <c r="BO270" s="33"/>
      <c r="BP270" s="22"/>
      <c r="BW270" s="6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</row>
    <row r="271" spans="1:124" hidden="1">
      <c r="K271" s="5"/>
      <c r="L271" s="147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414</v>
      </c>
      <c r="BF271" s="22"/>
      <c r="BH271" s="22"/>
      <c r="BJ271" s="22"/>
      <c r="BL271" s="22"/>
      <c r="BN271" s="22">
        <f>93413104.03</f>
        <v>93413104.030000001</v>
      </c>
      <c r="BO271" s="33"/>
      <c r="BP271" s="22"/>
      <c r="BW271" s="6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</row>
    <row r="272" spans="1:124" hidden="1">
      <c r="K272" s="5"/>
      <c r="L272" s="147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415</v>
      </c>
      <c r="BF272" s="22"/>
      <c r="BH272" s="22"/>
      <c r="BJ272" s="22"/>
      <c r="BL272" s="22"/>
      <c r="BN272" s="22">
        <v>755906.13</v>
      </c>
      <c r="BO272" s="33"/>
      <c r="BP272" s="22"/>
      <c r="BW272" s="6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</row>
    <row r="273" spans="11:124" hidden="1">
      <c r="K273" s="5"/>
      <c r="L273" s="147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428</v>
      </c>
      <c r="BF273" s="22"/>
      <c r="BH273" s="22"/>
      <c r="BJ273" s="22"/>
      <c r="BL273" s="22"/>
      <c r="BN273" s="22">
        <v>-6077</v>
      </c>
      <c r="BO273" s="33"/>
      <c r="BP273" s="22"/>
      <c r="BW273" s="6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</row>
    <row r="274" spans="11:124" hidden="1">
      <c r="K274" s="5"/>
      <c r="L274" s="147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416</v>
      </c>
      <c r="BF274" s="22"/>
      <c r="BH274" s="22"/>
      <c r="BJ274" s="22"/>
      <c r="BL274" s="22"/>
      <c r="BN274" s="22">
        <v>80000</v>
      </c>
      <c r="BO274" s="33"/>
      <c r="BP274" s="22"/>
      <c r="BW274" s="6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</row>
    <row r="275" spans="11:124" hidden="1">
      <c r="K275" s="5"/>
      <c r="L275" s="147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417</v>
      </c>
      <c r="BF275" s="22"/>
      <c r="BH275" s="22"/>
      <c r="BJ275" s="22"/>
      <c r="BL275" s="22"/>
      <c r="BN275" s="22">
        <v>100</v>
      </c>
      <c r="BO275" s="33"/>
      <c r="BP275" s="22"/>
      <c r="BW275" s="6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</row>
    <row r="276" spans="11:124" hidden="1">
      <c r="K276" s="5"/>
      <c r="L276" s="147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418</v>
      </c>
      <c r="BF276" s="22"/>
      <c r="BH276" s="22"/>
      <c r="BJ276" s="22"/>
      <c r="BL276" s="22"/>
      <c r="BN276" s="22">
        <v>278090.26</v>
      </c>
      <c r="BP276" s="22"/>
      <c r="BW276" s="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</row>
    <row r="277" spans="11:124" hidden="1">
      <c r="K277" s="5"/>
      <c r="L277" s="147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AF277" s="22"/>
      <c r="AH277" s="22"/>
      <c r="AJ277" s="22"/>
      <c r="AL277" s="22"/>
      <c r="AN277" s="22"/>
      <c r="AP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 t="s">
        <v>430</v>
      </c>
      <c r="BF277" s="22"/>
      <c r="BH277" s="22"/>
      <c r="BJ277" s="22"/>
      <c r="BL277" s="22"/>
      <c r="BN277" s="22">
        <f>BD148</f>
        <v>-127637.5</v>
      </c>
      <c r="BP277" s="22"/>
      <c r="BW277" s="6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</row>
    <row r="278" spans="11:124" hidden="1">
      <c r="K278" s="5"/>
      <c r="L278" s="147"/>
      <c r="M278" s="6"/>
      <c r="O278" s="6"/>
      <c r="Q278" s="6"/>
      <c r="S278" s="6"/>
      <c r="T278" s="22"/>
      <c r="U278" s="6"/>
      <c r="V278" s="22"/>
      <c r="X278" s="22"/>
      <c r="Z278" s="22"/>
      <c r="AB278" s="22"/>
      <c r="AD278" s="22"/>
      <c r="BD278" s="22"/>
      <c r="BJ278" s="22"/>
      <c r="BL278" s="22"/>
      <c r="BN278" s="22">
        <f>SUM(BN270:BN277)</f>
        <v>260859529.91999999</v>
      </c>
      <c r="BP278" s="22"/>
      <c r="BW278" s="6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</row>
    <row r="279" spans="11:124" hidden="1">
      <c r="K279" s="5"/>
      <c r="L279" s="147"/>
      <c r="BN279" s="22"/>
    </row>
    <row r="280" spans="11:124" hidden="1">
      <c r="K280" s="5"/>
      <c r="L280" s="147"/>
      <c r="BD280" s="6" t="s">
        <v>420</v>
      </c>
      <c r="BN280" s="22">
        <f>BN247-BN278</f>
        <v>6960748.6186920404</v>
      </c>
    </row>
    <row r="281" spans="11:124" hidden="1">
      <c r="K281" s="5"/>
      <c r="L281" s="147"/>
      <c r="BN281" s="22"/>
    </row>
    <row r="282" spans="11:124" hidden="1">
      <c r="K282" s="5"/>
      <c r="L282" s="147"/>
      <c r="BN282" s="22"/>
    </row>
    <row r="283" spans="11:124" hidden="1">
      <c r="K283" s="5"/>
      <c r="L283" s="147"/>
      <c r="BN283" s="22"/>
    </row>
    <row r="284" spans="11:124" hidden="1">
      <c r="K284" s="5"/>
      <c r="L284" s="147"/>
      <c r="BN284" s="22"/>
    </row>
    <row r="285" spans="11:124" hidden="1">
      <c r="K285" s="5"/>
      <c r="L285" s="147"/>
      <c r="BN285" s="22"/>
    </row>
    <row r="286" spans="11:124" hidden="1">
      <c r="K286" s="5"/>
      <c r="L286" s="147"/>
      <c r="BN286" s="22"/>
    </row>
    <row r="287" spans="11:124" hidden="1">
      <c r="L287" s="132"/>
      <c r="BN287" s="22"/>
    </row>
    <row r="288" spans="11:124" hidden="1">
      <c r="BN288" s="22"/>
    </row>
    <row r="289" spans="66:66" hidden="1">
      <c r="BN289" s="22"/>
    </row>
    <row r="290" spans="66:66" hidden="1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  <row r="299" spans="66:66">
      <c r="BN299" s="22"/>
    </row>
    <row r="300" spans="66:66">
      <c r="BN300" s="22"/>
    </row>
    <row r="301" spans="66:66">
      <c r="BN301" s="22"/>
    </row>
    <row r="302" spans="66:66">
      <c r="BN302" s="22"/>
    </row>
    <row r="303" spans="66:66">
      <c r="BN303" s="22"/>
    </row>
    <row r="304" spans="66:66">
      <c r="BN304" s="22"/>
    </row>
    <row r="305" spans="66:66">
      <c r="BN305" s="22"/>
    </row>
    <row r="306" spans="66:66">
      <c r="BN306" s="22"/>
    </row>
    <row r="307" spans="66:66">
      <c r="BN307" s="22"/>
    </row>
    <row r="308" spans="66:66">
      <c r="BN308" s="22"/>
    </row>
    <row r="309" spans="66:66">
      <c r="BN309" s="22"/>
    </row>
    <row r="310" spans="66:66">
      <c r="BN310" s="22"/>
    </row>
    <row r="311" spans="66:66">
      <c r="BN311" s="22"/>
    </row>
    <row r="312" spans="66:66">
      <c r="BN312" s="22"/>
    </row>
    <row r="313" spans="66:66">
      <c r="BN313" s="22"/>
    </row>
    <row r="314" spans="66:66">
      <c r="BN314" s="22"/>
    </row>
    <row r="315" spans="66:66">
      <c r="BN315" s="22"/>
    </row>
    <row r="316" spans="66:66">
      <c r="BN316" s="22"/>
    </row>
  </sheetData>
  <printOptions horizontalCentered="1"/>
  <pageMargins left="0.25" right="0.25" top="0.32" bottom="0.19" header="0" footer="0"/>
  <pageSetup scale="45" fitToHeight="2" orientation="landscape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AO211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M228" sqref="M228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48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- 101000.xls]Summary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36808.56319108796</v>
      </c>
      <c r="BT3" s="23"/>
      <c r="BV3" s="78" t="str">
        <f>Summary!A5</f>
        <v>Revision # 65</v>
      </c>
    </row>
    <row r="4" spans="1:76" s="18" customFormat="1" ht="15.75">
      <c r="A4" s="94"/>
      <c r="B4" s="19">
        <f>Summary!C13</f>
        <v>509</v>
      </c>
      <c r="C4"/>
      <c r="G4" s="67"/>
      <c r="J4" s="271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69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+Summary!$O$4</f>
        <v xml:space="preserve"> As of 10/09/00</v>
      </c>
      <c r="BC7" s="82"/>
      <c r="BD7" s="82" t="str">
        <f>+Summary!$O$4</f>
        <v xml:space="preserve"> As of 10/09/00</v>
      </c>
      <c r="BE7" s="82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71" t="str">
        <f>+Summary!$O$4</f>
        <v xml:space="preserve"> As of 10/09/00</v>
      </c>
      <c r="BP7" s="64" t="str">
        <f>+Summary!$O$4</f>
        <v xml:space="preserve"> As of 10/09/00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5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4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4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5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4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4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0" t="s">
        <v>246</v>
      </c>
      <c r="B118" s="63"/>
      <c r="J118" s="156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4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4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4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7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5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5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5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5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5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5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5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7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7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8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8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8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8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8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8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8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8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7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6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8" customFormat="1">
      <c r="A205" s="167" t="s">
        <v>253</v>
      </c>
      <c r="J205" s="169"/>
      <c r="L205" s="170"/>
      <c r="M205" s="171"/>
      <c r="N205" s="171"/>
      <c r="O205" s="171"/>
      <c r="P205" s="171"/>
      <c r="Q205" s="171"/>
      <c r="R205" s="166">
        <f>R202+R200+R80+R70+R37</f>
        <v>0</v>
      </c>
      <c r="S205" s="166">
        <f t="shared" ref="S205:BV205" si="36">S37+S80+S70+S170+S89+S200+S202</f>
        <v>0</v>
      </c>
      <c r="T205" s="166">
        <f t="shared" si="36"/>
        <v>30080814</v>
      </c>
      <c r="U205" s="166">
        <f t="shared" si="36"/>
        <v>0</v>
      </c>
      <c r="V205" s="166">
        <f t="shared" si="36"/>
        <v>44071359</v>
      </c>
      <c r="W205" s="166">
        <f t="shared" si="36"/>
        <v>0</v>
      </c>
      <c r="X205" s="166">
        <f t="shared" si="36"/>
        <v>3684291.61</v>
      </c>
      <c r="Y205" s="166">
        <f t="shared" si="36"/>
        <v>0</v>
      </c>
      <c r="Z205" s="166">
        <f t="shared" si="36"/>
        <v>475448.42</v>
      </c>
      <c r="AA205" s="166">
        <f t="shared" si="36"/>
        <v>0</v>
      </c>
      <c r="AB205" s="166">
        <f t="shared" si="36"/>
        <v>3575429.56</v>
      </c>
      <c r="AC205" s="166">
        <f t="shared" si="36"/>
        <v>0</v>
      </c>
      <c r="AD205" s="166">
        <f t="shared" si="36"/>
        <v>7136491.0300000003</v>
      </c>
      <c r="AE205" s="166">
        <f t="shared" si="36"/>
        <v>0</v>
      </c>
      <c r="AF205" s="166">
        <f t="shared" si="36"/>
        <v>666001.55496666674</v>
      </c>
      <c r="AG205" s="166"/>
      <c r="AH205" s="166">
        <f t="shared" si="36"/>
        <v>1386914.0565032915</v>
      </c>
      <c r="AI205" s="166"/>
      <c r="AJ205" s="166">
        <f t="shared" si="36"/>
        <v>2148326.5742301848</v>
      </c>
      <c r="AK205" s="166"/>
      <c r="AL205" s="166">
        <f t="shared" si="36"/>
        <v>-93106786.032366812</v>
      </c>
      <c r="AM205" s="166"/>
      <c r="AN205" s="166">
        <f t="shared" si="36"/>
        <v>692746.19</v>
      </c>
      <c r="AO205" s="166"/>
      <c r="AP205" s="166">
        <f t="shared" si="36"/>
        <v>323352.19</v>
      </c>
      <c r="AQ205" s="166"/>
      <c r="AR205" s="166">
        <f t="shared" si="36"/>
        <v>16697.29</v>
      </c>
      <c r="AS205" s="166"/>
      <c r="AT205" s="166">
        <f t="shared" si="36"/>
        <v>250000</v>
      </c>
      <c r="AU205" s="166">
        <f t="shared" si="36"/>
        <v>0</v>
      </c>
      <c r="AV205" s="166">
        <f t="shared" si="36"/>
        <v>0</v>
      </c>
      <c r="AW205" s="166">
        <f t="shared" si="36"/>
        <v>0</v>
      </c>
      <c r="AX205" s="166">
        <f t="shared" si="36"/>
        <v>0</v>
      </c>
      <c r="AY205" s="166">
        <f t="shared" si="36"/>
        <v>0</v>
      </c>
      <c r="AZ205" s="166">
        <f t="shared" si="36"/>
        <v>0</v>
      </c>
      <c r="BA205" s="166">
        <f t="shared" si="36"/>
        <v>0</v>
      </c>
      <c r="BB205" s="166">
        <f t="shared" si="36"/>
        <v>0</v>
      </c>
      <c r="BC205" s="166">
        <f t="shared" si="36"/>
        <v>0</v>
      </c>
      <c r="BD205" s="166">
        <f t="shared" si="36"/>
        <v>6000</v>
      </c>
      <c r="BE205" s="166">
        <f t="shared" si="36"/>
        <v>0</v>
      </c>
      <c r="BF205" s="166">
        <f t="shared" si="36"/>
        <v>0</v>
      </c>
      <c r="BG205" s="166">
        <f t="shared" si="36"/>
        <v>0</v>
      </c>
      <c r="BH205" s="166">
        <f t="shared" si="36"/>
        <v>0</v>
      </c>
      <c r="BI205" s="166">
        <f t="shared" si="36"/>
        <v>0</v>
      </c>
      <c r="BJ205" s="166">
        <f t="shared" si="36"/>
        <v>0</v>
      </c>
      <c r="BK205" s="166">
        <f t="shared" si="36"/>
        <v>0</v>
      </c>
      <c r="BL205" s="166">
        <f t="shared" si="36"/>
        <v>0</v>
      </c>
      <c r="BM205" s="166">
        <f t="shared" si="36"/>
        <v>0</v>
      </c>
      <c r="BN205" s="166">
        <f t="shared" si="36"/>
        <v>1407085.4433333327</v>
      </c>
      <c r="BO205" s="166">
        <f t="shared" si="36"/>
        <v>2030320</v>
      </c>
      <c r="BP205" s="166">
        <f t="shared" si="36"/>
        <v>0</v>
      </c>
      <c r="BQ205" s="166">
        <f t="shared" si="36"/>
        <v>2030320</v>
      </c>
      <c r="BR205" s="166">
        <f t="shared" si="36"/>
        <v>0.62000000059197191</v>
      </c>
      <c r="BS205" s="166">
        <f t="shared" si="36"/>
        <v>2030320</v>
      </c>
      <c r="BT205" s="166">
        <f t="shared" si="36"/>
        <v>1407086.0633333332</v>
      </c>
      <c r="BU205" s="166">
        <f t="shared" si="36"/>
        <v>2030320</v>
      </c>
      <c r="BV205" s="166">
        <f t="shared" si="36"/>
        <v>-1407086.0633333332</v>
      </c>
      <c r="BW205" s="171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6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7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7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7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7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7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7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7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7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7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7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7"/>
      <c r="BN232" s="22"/>
    </row>
    <row r="233" spans="11:124">
      <c r="K233" s="5"/>
      <c r="L233" s="147"/>
      <c r="BN233" s="22"/>
    </row>
    <row r="234" spans="11:124">
      <c r="K234" s="5"/>
      <c r="L234" s="147"/>
      <c r="BN234" s="22"/>
    </row>
    <row r="235" spans="11:124">
      <c r="K235" s="5"/>
      <c r="L235" s="147"/>
      <c r="BN235" s="22"/>
    </row>
    <row r="236" spans="11:124">
      <c r="K236" s="5"/>
      <c r="L236" s="147"/>
      <c r="BN236" s="22"/>
    </row>
    <row r="237" spans="11:124">
      <c r="K237" s="5"/>
      <c r="L237" s="147"/>
      <c r="BN237" s="22"/>
    </row>
    <row r="238" spans="11:124">
      <c r="K238" s="5"/>
      <c r="L238" s="147"/>
      <c r="BN238" s="22"/>
    </row>
    <row r="239" spans="11:124">
      <c r="K239" s="5"/>
      <c r="L239" s="147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V299"/>
  <sheetViews>
    <sheetView topLeftCell="A243" zoomScale="80" zoomScaleNormal="80" workbookViewId="0">
      <pane xSplit="17" topLeftCell="R1" activePane="topRight" state="frozen"/>
      <selection pane="topRight" activeCell="B291" sqref="B291"/>
    </sheetView>
  </sheetViews>
  <sheetFormatPr defaultRowHeight="12.75"/>
  <cols>
    <col min="1" max="1" width="4.7109375" style="11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48" hidden="1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71093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customWidth="1"/>
    <col min="54" max="54" width="17.7109375" style="6" hidden="1" customWidth="1"/>
    <col min="55" max="55" width="0.85546875" hidden="1" customWidth="1"/>
    <col min="56" max="56" width="18.570312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customWidth="1"/>
    <col min="64" max="64" width="18.5703125" style="65" hidden="1" customWidth="1"/>
    <col min="65" max="65" width="2.28515625" style="4" hidden="1" customWidth="1"/>
    <col min="66" max="66" width="18.5703125" style="65" hidden="1" customWidth="1"/>
    <col min="67" max="67" width="2.28515625" style="4" hidden="1" customWidth="1"/>
    <col min="68" max="68" width="20.85546875" style="6" customWidth="1"/>
    <col min="69" max="69" width="0.85546875" style="4" customWidth="1"/>
    <col min="70" max="70" width="19.140625" style="65" customWidth="1"/>
    <col min="71" max="71" width="0.85546875" style="4" customWidth="1"/>
    <col min="72" max="72" width="23.42578125" style="6" bestFit="1" customWidth="1"/>
    <col min="73" max="73" width="1.7109375" style="6" customWidth="1"/>
    <col min="74" max="74" width="20.85546875" style="6" customWidth="1"/>
    <col min="75" max="75" width="1.7109375" style="6" customWidth="1"/>
    <col min="76" max="76" width="15.85546875" style="6" customWidth="1"/>
    <col min="77" max="77" width="0.85546875" style="4" customWidth="1"/>
    <col min="78" max="78" width="75.85546875" style="4" hidden="1" customWidth="1"/>
    <col min="79" max="16384" width="9.140625" style="4"/>
  </cols>
  <sheetData>
    <row r="1" spans="1:78" s="18" customFormat="1" ht="15.75">
      <c r="A1" s="281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81"/>
      <c r="BP1" s="78"/>
      <c r="BR1" s="81"/>
      <c r="BT1" s="78"/>
      <c r="BU1" s="78"/>
      <c r="BV1" s="78"/>
      <c r="BW1" s="78"/>
      <c r="BX1" s="68"/>
    </row>
    <row r="2" spans="1:78" s="18" customFormat="1" ht="15.75">
      <c r="A2" s="281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- 101000.xls]Summary</v>
      </c>
    </row>
    <row r="3" spans="1:78" s="18" customFormat="1" ht="15.75">
      <c r="A3" s="282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81"/>
      <c r="BP3" s="23"/>
      <c r="BR3" s="81"/>
      <c r="BT3" s="23">
        <f ca="1">NOW()</f>
        <v>36808.56319108796</v>
      </c>
      <c r="BV3" s="23"/>
      <c r="BX3" s="78" t="str">
        <f>Summary!A5</f>
        <v>Revision # 65</v>
      </c>
    </row>
    <row r="4" spans="1:78" s="18" customFormat="1" ht="15.75">
      <c r="A4" s="283"/>
      <c r="B4" s="19">
        <f>Summary!C13</f>
        <v>509</v>
      </c>
      <c r="C4"/>
      <c r="G4" s="67"/>
      <c r="J4" s="67"/>
      <c r="L4" s="271" t="s">
        <v>47</v>
      </c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82" t="s">
        <v>122</v>
      </c>
      <c r="BP4" s="71"/>
      <c r="BR4" s="70" t="s">
        <v>129</v>
      </c>
      <c r="BT4" s="71"/>
      <c r="BV4" s="71"/>
      <c r="BX4" s="71"/>
    </row>
    <row r="5" spans="1:78" s="18" customFormat="1" ht="15.75">
      <c r="A5" s="284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82" t="s">
        <v>123</v>
      </c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75">
      <c r="A6" s="284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83">
        <v>36830</v>
      </c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75">
      <c r="A7" s="284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69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BR7</f>
        <v xml:space="preserve"> As of 10/09/00</v>
      </c>
      <c r="BC7"/>
      <c r="BD7" s="82" t="str">
        <f>+Summary!$O$4</f>
        <v xml:space="preserve"> As of 10/09/00</v>
      </c>
      <c r="BE7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82" t="str">
        <f>+Summary!$O$4</f>
        <v xml:space="preserve"> As of 10/09/00</v>
      </c>
      <c r="BP7" s="260" t="str">
        <f>+Summary!$O$4</f>
        <v xml:space="preserve"> As of 10/09/00</v>
      </c>
      <c r="BR7" s="64" t="str">
        <f>+Summary!$O$4</f>
        <v xml:space="preserve"> As of 10/09/00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N8" s="22"/>
      <c r="BO8" s="6"/>
      <c r="BQ8" s="6"/>
      <c r="BR8" s="22"/>
      <c r="BS8" s="6"/>
      <c r="BY8" s="6"/>
    </row>
    <row r="9" spans="1:78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 t="shared" ref="BP9:BP14" si="0">SUM(T9:BO9)</f>
        <v>63409990.049999997</v>
      </c>
      <c r="BQ9" s="6"/>
      <c r="BR9" s="6">
        <f>62515521-R9</f>
        <v>370521</v>
      </c>
      <c r="BS9" s="6"/>
      <c r="BT9" s="6">
        <f t="shared" ref="BT9:BT15" si="1">IF(+R9-BP9+BR9&gt;0,R9-BP9+BR9,0)</f>
        <v>0</v>
      </c>
      <c r="BV9" s="6">
        <f t="shared" ref="BV9:BV14" si="2">+BP9+BT9</f>
        <v>63409990.049999997</v>
      </c>
      <c r="BX9" s="6">
        <f t="shared" ref="BX9:BX15" si="3">+R9-BV9</f>
        <v>-1264990.049999997</v>
      </c>
      <c r="BY9" s="6"/>
    </row>
    <row r="10" spans="1:78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 t="shared" si="0"/>
        <v>29625750</v>
      </c>
      <c r="BQ10" s="6"/>
      <c r="BR10" s="6">
        <f>32649500-R10</f>
        <v>1464500</v>
      </c>
      <c r="BS10" s="6"/>
      <c r="BT10" s="6">
        <f t="shared" si="1"/>
        <v>3023750</v>
      </c>
      <c r="BV10" s="6">
        <f t="shared" si="2"/>
        <v>32649500</v>
      </c>
      <c r="BX10" s="6">
        <f t="shared" si="3"/>
        <v>-1464500</v>
      </c>
      <c r="BY10" s="6"/>
    </row>
    <row r="11" spans="1:78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v>0</v>
      </c>
      <c r="BO11" s="6"/>
      <c r="BP11" s="6">
        <f t="shared" si="0"/>
        <v>0</v>
      </c>
      <c r="BQ11" s="6"/>
      <c r="BR11" s="6">
        <v>0</v>
      </c>
      <c r="BS11" s="6"/>
      <c r="BT11" s="6">
        <f t="shared" si="1"/>
        <v>0</v>
      </c>
      <c r="BV11" s="6">
        <f t="shared" si="2"/>
        <v>0</v>
      </c>
      <c r="BX11" s="6">
        <f t="shared" si="3"/>
        <v>0</v>
      </c>
      <c r="BY11" s="6"/>
    </row>
    <row r="12" spans="1:78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v>0</v>
      </c>
      <c r="BO12" s="6"/>
      <c r="BP12" s="6">
        <f t="shared" si="0"/>
        <v>0</v>
      </c>
      <c r="BQ12" s="6"/>
      <c r="BR12" s="6">
        <v>0</v>
      </c>
      <c r="BS12" s="6"/>
      <c r="BT12" s="6">
        <f t="shared" si="1"/>
        <v>0</v>
      </c>
      <c r="BV12" s="6">
        <f t="shared" si="2"/>
        <v>0</v>
      </c>
      <c r="BX12" s="6">
        <f t="shared" si="3"/>
        <v>0</v>
      </c>
      <c r="BY12" s="6"/>
    </row>
    <row r="13" spans="1:78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v>0</v>
      </c>
      <c r="BO13" s="6"/>
      <c r="BP13" s="6">
        <f t="shared" si="0"/>
        <v>0</v>
      </c>
      <c r="BQ13" s="6"/>
      <c r="BR13" s="6">
        <v>0</v>
      </c>
      <c r="BS13" s="6"/>
      <c r="BT13" s="6">
        <f t="shared" si="1"/>
        <v>0</v>
      </c>
      <c r="BV13" s="6">
        <f t="shared" si="2"/>
        <v>0</v>
      </c>
      <c r="BX13" s="6">
        <f t="shared" si="3"/>
        <v>0</v>
      </c>
      <c r="BY13" s="6"/>
    </row>
    <row r="14" spans="1:78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 t="shared" si="0"/>
        <v>874426.2</v>
      </c>
      <c r="BQ14" s="6"/>
      <c r="BR14" s="6">
        <f>59734+767227+46974+39315-250000</f>
        <v>663250</v>
      </c>
      <c r="BS14" s="6"/>
      <c r="BT14" s="6">
        <f t="shared" si="1"/>
        <v>38823.800000000047</v>
      </c>
      <c r="BV14" s="6">
        <f t="shared" si="2"/>
        <v>913250</v>
      </c>
      <c r="BX14" s="6">
        <f t="shared" si="3"/>
        <v>-663250</v>
      </c>
      <c r="BY14" s="6"/>
    </row>
    <row r="15" spans="1:78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12"/>
      <c r="BS15" s="6"/>
      <c r="BT15" s="6">
        <f t="shared" si="1"/>
        <v>0</v>
      </c>
      <c r="BV15" s="12"/>
      <c r="BX15" s="6">
        <f t="shared" si="3"/>
        <v>0</v>
      </c>
      <c r="BY15" s="6"/>
    </row>
    <row r="16" spans="1:78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0</v>
      </c>
      <c r="BO16" s="6"/>
      <c r="BP16" s="101">
        <f>SUM(BP9:BP15)</f>
        <v>93910166.25</v>
      </c>
      <c r="BQ16" s="6"/>
      <c r="BR16" s="101">
        <f>SUM(BR9:BR15)</f>
        <v>2498271</v>
      </c>
      <c r="BS16" s="6"/>
      <c r="BT16" s="101">
        <f>SUM(BT9:BT15)</f>
        <v>3062573.8</v>
      </c>
      <c r="BV16" s="101">
        <f>SUM(BV9:BV15)</f>
        <v>96972740.049999997</v>
      </c>
      <c r="BX16" s="101">
        <f>SUM(BX9:BX15)</f>
        <v>-3392740.049999997</v>
      </c>
      <c r="BY16" s="6"/>
    </row>
    <row r="17" spans="1:77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Q17" s="6"/>
      <c r="BR17" s="6"/>
      <c r="BS17" s="6"/>
      <c r="BY17" s="6"/>
    </row>
    <row r="18" spans="1:77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v>0</v>
      </c>
      <c r="BO18" s="6"/>
      <c r="BP18" s="6">
        <f>SUM(T18:BO18)</f>
        <v>0</v>
      </c>
      <c r="BQ18" s="6"/>
      <c r="BR18" s="6">
        <v>0</v>
      </c>
      <c r="BS18" s="6"/>
      <c r="BT18" s="6">
        <f>+R18-BP18+BR18</f>
        <v>0</v>
      </c>
      <c r="BV18" s="6">
        <f t="shared" ref="BV18:BV34" si="4">+BP18+BT18</f>
        <v>0</v>
      </c>
      <c r="BX18" s="6">
        <f t="shared" ref="BX18:BX34" si="5">+R18-BV18</f>
        <v>0</v>
      </c>
      <c r="BY18" s="6"/>
    </row>
    <row r="19" spans="1:77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v>0</v>
      </c>
      <c r="BO19" s="6"/>
      <c r="BP19" s="6">
        <f>SUM(T19:BO19)</f>
        <v>6268160.6999999993</v>
      </c>
      <c r="BQ19" s="6"/>
      <c r="BR19" s="6">
        <f>220650+161700</f>
        <v>382350</v>
      </c>
      <c r="BS19" s="6"/>
      <c r="BT19" s="6">
        <f t="shared" ref="BT19:BT34" si="6">IF(+R19-BP19+BR19&gt;0,R19-BP19+BR19,0)</f>
        <v>0.30000000074505806</v>
      </c>
      <c r="BV19" s="6">
        <f t="shared" si="4"/>
        <v>6268161</v>
      </c>
      <c r="BX19" s="6">
        <f t="shared" si="5"/>
        <v>-382350</v>
      </c>
      <c r="BY19" s="6"/>
    </row>
    <row r="20" spans="1:77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>
        <f t="shared" ref="BP20:BP33" si="7">SUM(T20:BO20)</f>
        <v>58500</v>
      </c>
      <c r="BQ20" s="6"/>
      <c r="BR20" s="6"/>
      <c r="BS20" s="6"/>
      <c r="BT20" s="6">
        <f t="shared" si="6"/>
        <v>0</v>
      </c>
      <c r="BV20" s="6">
        <f t="shared" si="4"/>
        <v>58500</v>
      </c>
      <c r="BX20" s="6">
        <f t="shared" si="5"/>
        <v>-58500</v>
      </c>
      <c r="BY20" s="6"/>
    </row>
    <row r="21" spans="1:77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>
        <f t="shared" si="7"/>
        <v>0</v>
      </c>
      <c r="BQ21" s="6"/>
      <c r="BR21" s="6"/>
      <c r="BS21" s="6"/>
      <c r="BT21" s="6">
        <f t="shared" si="6"/>
        <v>0</v>
      </c>
      <c r="BV21" s="6">
        <f t="shared" si="4"/>
        <v>0</v>
      </c>
      <c r="BX21" s="6">
        <f t="shared" si="5"/>
        <v>0</v>
      </c>
      <c r="BY21" s="6"/>
    </row>
    <row r="22" spans="1:77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>
        <f t="shared" si="7"/>
        <v>0</v>
      </c>
      <c r="BQ22" s="6"/>
      <c r="BR22" s="6"/>
      <c r="BS22" s="6"/>
      <c r="BT22" s="6">
        <f t="shared" si="6"/>
        <v>0</v>
      </c>
      <c r="BV22" s="6">
        <f t="shared" si="4"/>
        <v>0</v>
      </c>
      <c r="BX22" s="6">
        <f t="shared" si="5"/>
        <v>0</v>
      </c>
      <c r="BY22" s="6"/>
    </row>
    <row r="23" spans="1:77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>
        <f t="shared" si="7"/>
        <v>0</v>
      </c>
      <c r="BQ23" s="6"/>
      <c r="BR23" s="6"/>
      <c r="BS23" s="6"/>
      <c r="BT23" s="6">
        <f t="shared" si="6"/>
        <v>0</v>
      </c>
      <c r="BV23" s="6">
        <f t="shared" si="4"/>
        <v>0</v>
      </c>
      <c r="BX23" s="6">
        <f t="shared" si="5"/>
        <v>0</v>
      </c>
      <c r="BY23" s="6"/>
    </row>
    <row r="24" spans="1:77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>
        <f t="shared" si="7"/>
        <v>0</v>
      </c>
      <c r="BQ24" s="6"/>
      <c r="BR24" s="6"/>
      <c r="BS24" s="6"/>
      <c r="BT24" s="6">
        <f t="shared" si="6"/>
        <v>0</v>
      </c>
      <c r="BV24" s="6">
        <f t="shared" si="4"/>
        <v>0</v>
      </c>
      <c r="BX24" s="6">
        <f t="shared" si="5"/>
        <v>0</v>
      </c>
      <c r="BY24" s="6"/>
    </row>
    <row r="25" spans="1:77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7"/>
        <v>0</v>
      </c>
      <c r="BQ25" s="6"/>
      <c r="BR25" s="6">
        <v>0</v>
      </c>
      <c r="BS25" s="6"/>
      <c r="BT25" s="6">
        <f t="shared" si="6"/>
        <v>0</v>
      </c>
      <c r="BV25" s="6">
        <f t="shared" si="4"/>
        <v>0</v>
      </c>
      <c r="BX25" s="6">
        <f t="shared" si="5"/>
        <v>0</v>
      </c>
      <c r="BY25" s="6"/>
    </row>
    <row r="26" spans="1:77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7"/>
        <v>0</v>
      </c>
      <c r="BQ26" s="6"/>
      <c r="BR26" s="6">
        <v>0</v>
      </c>
      <c r="BS26" s="6"/>
      <c r="BT26" s="6">
        <f t="shared" si="6"/>
        <v>0</v>
      </c>
      <c r="BV26" s="6">
        <f t="shared" si="4"/>
        <v>0</v>
      </c>
      <c r="BX26" s="6">
        <f t="shared" si="5"/>
        <v>0</v>
      </c>
      <c r="BY26" s="6"/>
    </row>
    <row r="27" spans="1:77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7"/>
        <v>0</v>
      </c>
      <c r="BQ27" s="6"/>
      <c r="BR27" s="6">
        <v>0</v>
      </c>
      <c r="BS27" s="6"/>
      <c r="BT27" s="6">
        <f t="shared" si="6"/>
        <v>0</v>
      </c>
      <c r="BV27" s="6">
        <f t="shared" si="4"/>
        <v>0</v>
      </c>
      <c r="BX27" s="6">
        <f t="shared" si="5"/>
        <v>0</v>
      </c>
      <c r="BY27" s="6"/>
    </row>
    <row r="28" spans="1:77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7"/>
        <v>0</v>
      </c>
      <c r="BQ28" s="6"/>
      <c r="BR28" s="6">
        <v>0</v>
      </c>
      <c r="BS28" s="6"/>
      <c r="BT28" s="6">
        <f t="shared" si="6"/>
        <v>0</v>
      </c>
      <c r="BV28" s="6">
        <f t="shared" si="4"/>
        <v>0</v>
      </c>
      <c r="BX28" s="6">
        <f t="shared" si="5"/>
        <v>0</v>
      </c>
      <c r="BY28" s="6"/>
    </row>
    <row r="29" spans="1:77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v>0</v>
      </c>
      <c r="BO29" s="6"/>
      <c r="BP29" s="6">
        <f t="shared" si="7"/>
        <v>0</v>
      </c>
      <c r="BQ29" s="6"/>
      <c r="BR29" s="6">
        <v>0</v>
      </c>
      <c r="BS29" s="6"/>
      <c r="BT29" s="6">
        <f t="shared" si="6"/>
        <v>0</v>
      </c>
      <c r="BV29" s="6">
        <f t="shared" si="4"/>
        <v>0</v>
      </c>
      <c r="BX29" s="6">
        <f t="shared" si="5"/>
        <v>0</v>
      </c>
      <c r="BY29" s="6"/>
    </row>
    <row r="30" spans="1:77" hidden="1">
      <c r="A30" s="285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v>0</v>
      </c>
      <c r="BO30" s="6"/>
      <c r="BP30" s="6">
        <f t="shared" si="7"/>
        <v>0</v>
      </c>
      <c r="BQ30" s="6"/>
      <c r="BR30" s="6">
        <v>0</v>
      </c>
      <c r="BS30" s="6"/>
      <c r="BT30" s="6">
        <f t="shared" si="6"/>
        <v>0</v>
      </c>
      <c r="BV30" s="6">
        <f t="shared" si="4"/>
        <v>0</v>
      </c>
      <c r="BX30" s="6">
        <f t="shared" si="5"/>
        <v>0</v>
      </c>
      <c r="BY30" s="6"/>
    </row>
    <row r="31" spans="1:77" hidden="1">
      <c r="A31" s="285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v>0</v>
      </c>
      <c r="BO31" s="6"/>
      <c r="BP31" s="6">
        <f t="shared" si="7"/>
        <v>0</v>
      </c>
      <c r="BQ31" s="6"/>
      <c r="BR31" s="6">
        <v>0</v>
      </c>
      <c r="BS31" s="6"/>
      <c r="BT31" s="6">
        <f t="shared" si="6"/>
        <v>0</v>
      </c>
      <c r="BV31" s="6">
        <f t="shared" si="4"/>
        <v>0</v>
      </c>
      <c r="BX31" s="6">
        <f t="shared" si="5"/>
        <v>0</v>
      </c>
      <c r="BY31" s="6"/>
    </row>
    <row r="32" spans="1:77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v>0</v>
      </c>
      <c r="BO32" s="12"/>
      <c r="BP32" s="6">
        <f t="shared" si="7"/>
        <v>0</v>
      </c>
      <c r="BQ32" s="12"/>
      <c r="BR32" s="12">
        <v>0</v>
      </c>
      <c r="BS32" s="12"/>
      <c r="BT32" s="6">
        <f t="shared" si="6"/>
        <v>0</v>
      </c>
      <c r="BU32" s="12"/>
      <c r="BV32" s="6">
        <f t="shared" si="4"/>
        <v>0</v>
      </c>
      <c r="BW32" s="12"/>
      <c r="BX32" s="6">
        <f t="shared" si="5"/>
        <v>0</v>
      </c>
      <c r="BY32" s="12"/>
    </row>
    <row r="33" spans="1:77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v>0</v>
      </c>
      <c r="BO33" s="6"/>
      <c r="BP33" s="6">
        <f t="shared" si="7"/>
        <v>138800</v>
      </c>
      <c r="BQ33" s="6"/>
      <c r="BR33" s="12">
        <v>0</v>
      </c>
      <c r="BS33" s="6"/>
      <c r="BT33" s="6">
        <f t="shared" si="6"/>
        <v>0</v>
      </c>
      <c r="BV33" s="6">
        <f t="shared" si="4"/>
        <v>138800</v>
      </c>
      <c r="BX33" s="6">
        <f t="shared" si="5"/>
        <v>-138800</v>
      </c>
      <c r="BY33" s="12"/>
    </row>
    <row r="34" spans="1:77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12"/>
      <c r="BS34" s="6"/>
      <c r="BT34" s="6">
        <f t="shared" si="6"/>
        <v>0</v>
      </c>
      <c r="BV34" s="6">
        <f t="shared" si="4"/>
        <v>0</v>
      </c>
      <c r="BX34" s="6">
        <f t="shared" si="5"/>
        <v>0</v>
      </c>
      <c r="BY34" s="12"/>
    </row>
    <row r="35" spans="1:77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</v>
      </c>
      <c r="BO35" s="6"/>
      <c r="BP35" s="101">
        <f>SUM(BP18:BP34)</f>
        <v>6465460.6999999993</v>
      </c>
      <c r="BQ35" s="6"/>
      <c r="BR35" s="101">
        <f>SUM(BR18:BR34)</f>
        <v>382350</v>
      </c>
      <c r="BS35" s="6"/>
      <c r="BT35" s="101">
        <f>SUM(BT18:BT34)</f>
        <v>0.30000000074505806</v>
      </c>
      <c r="BV35" s="101">
        <f>SUM(BV18:BV34)</f>
        <v>6465461</v>
      </c>
      <c r="BX35" s="101">
        <f>SUM(BX18:BX34)</f>
        <v>-579650</v>
      </c>
      <c r="BY35" s="12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S36" s="6"/>
      <c r="BT36" s="12"/>
      <c r="BV36" s="12"/>
      <c r="BX36" s="12"/>
      <c r="BY36" s="12"/>
    </row>
    <row r="37" spans="1:77" s="114" customFormat="1">
      <c r="A37" s="286"/>
      <c r="B37" s="113" t="s">
        <v>15</v>
      </c>
      <c r="J37" s="155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</v>
      </c>
      <c r="BO37" s="115"/>
      <c r="BP37" s="115">
        <f>+BP35+BP16</f>
        <v>100375626.95</v>
      </c>
      <c r="BQ37" s="115"/>
      <c r="BR37" s="115">
        <f>+BR35+BR16</f>
        <v>2880621</v>
      </c>
      <c r="BS37" s="115"/>
      <c r="BT37" s="115">
        <f>+BT35+BT16</f>
        <v>3062574.1000000006</v>
      </c>
      <c r="BU37" s="115"/>
      <c r="BV37" s="115">
        <f>+BV35+BV16</f>
        <v>103438201.05</v>
      </c>
      <c r="BW37" s="115"/>
      <c r="BX37" s="115">
        <f>+BX35+BX16</f>
        <v>-3972390.049999997</v>
      </c>
      <c r="BY37" s="115"/>
    </row>
    <row r="38" spans="1:77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Q38" s="6"/>
      <c r="BR38" s="6"/>
      <c r="BS38" s="6"/>
      <c r="BY38" s="6"/>
    </row>
    <row r="39" spans="1:77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Q40" s="6"/>
      <c r="BR40" s="6"/>
      <c r="BS40" s="6"/>
      <c r="BX40" s="4"/>
    </row>
    <row r="41" spans="1:77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Q41" s="6"/>
      <c r="BR41" s="6"/>
      <c r="BS41" s="6"/>
      <c r="BX41" s="4"/>
    </row>
    <row r="42" spans="1:77">
      <c r="A42" s="100"/>
      <c r="B42" s="230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Q42" s="6"/>
      <c r="BR42" s="6"/>
      <c r="BS42" s="6"/>
      <c r="BX42" s="4"/>
    </row>
    <row r="43" spans="1:77">
      <c r="A43" s="100"/>
      <c r="B43" s="231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3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/>
      <c r="BO43" s="6"/>
      <c r="BP43" s="6">
        <f t="shared" ref="BP43:BP53" si="9">SUM(T43:BO43)</f>
        <v>1344184</v>
      </c>
      <c r="BQ43" s="6"/>
      <c r="BR43" s="6">
        <f>1508635-1493645</f>
        <v>14990</v>
      </c>
      <c r="BS43" s="6"/>
      <c r="BT43" s="6">
        <f>IF(+R43-AR43+BR43&gt;0,R43-AR43+BR43,0)</f>
        <v>1497183</v>
      </c>
      <c r="BV43" s="6">
        <f>+AR43+BT43</f>
        <v>1508635</v>
      </c>
      <c r="BX43" s="6">
        <f t="shared" ref="BX43:BX52" si="10">+R43-BV43</f>
        <v>-14990</v>
      </c>
    </row>
    <row r="44" spans="1:77">
      <c r="A44" s="100"/>
      <c r="B44" s="231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3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/>
      <c r="BO44" s="6"/>
      <c r="BP44" s="6">
        <f t="shared" si="9"/>
        <v>1597694</v>
      </c>
      <c r="BQ44" s="6"/>
      <c r="BR44" s="6">
        <f>2075718-1564045</f>
        <v>511673</v>
      </c>
      <c r="BS44" s="6"/>
      <c r="BT44" s="6">
        <f>IF(+R44-AR44+BR44&gt;0,R44-AR44+BR44,0)</f>
        <v>2020230</v>
      </c>
      <c r="BV44" s="6">
        <f>+AR44+BT44</f>
        <v>2075718</v>
      </c>
      <c r="BX44" s="6">
        <f t="shared" si="10"/>
        <v>-511673</v>
      </c>
    </row>
    <row r="45" spans="1:77">
      <c r="A45" s="100"/>
      <c r="B45" s="231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3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1">
        <f>2452211-1506977</f>
        <v>945234</v>
      </c>
      <c r="BH45" s="6">
        <f>3634383-2452211</f>
        <v>1182172</v>
      </c>
      <c r="BL45"/>
      <c r="BM45" s="6"/>
      <c r="BN45"/>
      <c r="BO45" s="6"/>
      <c r="BP45" s="6">
        <f t="shared" si="9"/>
        <v>3634383</v>
      </c>
      <c r="BQ45" s="6"/>
      <c r="BR45" s="6">
        <f>11814208-11021245</f>
        <v>792963</v>
      </c>
      <c r="BS45" s="6"/>
      <c r="BT45" s="6">
        <f>IF(+R45-AR45+BR45&gt;0,R45-AR45+BR45,0)</f>
        <v>11530651</v>
      </c>
      <c r="BV45" s="6">
        <f>+AR45+BT45</f>
        <v>11814208</v>
      </c>
      <c r="BX45" s="6">
        <f t="shared" si="10"/>
        <v>-792963</v>
      </c>
    </row>
    <row r="46" spans="1:77">
      <c r="A46" s="100"/>
      <c r="B46" s="231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3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/>
      <c r="BO46" s="6"/>
      <c r="BP46" s="6">
        <f t="shared" si="9"/>
        <v>464879</v>
      </c>
      <c r="BQ46" s="6"/>
      <c r="BR46" s="6">
        <f>592469-538785</f>
        <v>53684</v>
      </c>
      <c r="BS46" s="6"/>
      <c r="BT46" s="6">
        <f>IF(+R46-AR46+BR46&gt;0,R46-AR46+BR46,0)</f>
        <v>533755</v>
      </c>
      <c r="BV46" s="6">
        <f>+AR46+BT46</f>
        <v>592469</v>
      </c>
      <c r="BX46" s="6">
        <f t="shared" si="10"/>
        <v>-53684</v>
      </c>
    </row>
    <row r="47" spans="1:77">
      <c r="A47" s="100"/>
      <c r="B47" s="231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3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/>
      <c r="BO47" s="6"/>
      <c r="BP47" s="6">
        <f t="shared" si="9"/>
        <v>137472</v>
      </c>
      <c r="BQ47" s="6"/>
      <c r="BR47" s="6">
        <v>0</v>
      </c>
      <c r="BS47" s="6"/>
      <c r="BT47" s="6">
        <f>IF(+R47-AR47+BR47&gt;0,R47-AR47+BR47,0)</f>
        <v>138393</v>
      </c>
      <c r="BV47" s="6">
        <f>+AR47+BT47</f>
        <v>150000</v>
      </c>
      <c r="BX47" s="6">
        <f t="shared" si="10"/>
        <v>0</v>
      </c>
    </row>
    <row r="48" spans="1:77">
      <c r="A48" s="100"/>
      <c r="B48" s="231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3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>
        <f t="shared" si="9"/>
        <v>0</v>
      </c>
      <c r="BQ48" s="6"/>
      <c r="BR48" s="6">
        <v>421112</v>
      </c>
      <c r="BS48" s="6"/>
      <c r="BT48" s="6">
        <f t="shared" ref="BT48:BT53" si="11">IF(+R48-BP48+BR48&gt;0,R48-BP48+BR48,0)</f>
        <v>421112</v>
      </c>
      <c r="BV48" s="6">
        <f t="shared" ref="BV48:BV53" si="12">+BP48+BT48</f>
        <v>421112</v>
      </c>
      <c r="BX48" s="6">
        <f t="shared" si="10"/>
        <v>-421112</v>
      </c>
    </row>
    <row r="49" spans="1:76">
      <c r="A49" s="100"/>
      <c r="B49" s="231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3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>
        <f t="shared" si="9"/>
        <v>0</v>
      </c>
      <c r="BQ49" s="6"/>
      <c r="BR49" s="6"/>
      <c r="BS49" s="6"/>
      <c r="BT49" s="6">
        <f t="shared" si="11"/>
        <v>0</v>
      </c>
      <c r="BV49" s="6">
        <f t="shared" si="12"/>
        <v>0</v>
      </c>
      <c r="BX49" s="6">
        <f t="shared" si="10"/>
        <v>-2832</v>
      </c>
    </row>
    <row r="50" spans="1:76">
      <c r="A50" s="100"/>
      <c r="B50" s="231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3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>
        <f t="shared" si="9"/>
        <v>138394</v>
      </c>
      <c r="BQ50" s="6"/>
      <c r="BR50" s="6">
        <v>0</v>
      </c>
      <c r="BS50" s="6"/>
      <c r="BT50" s="6">
        <f>IF(+R50-BP50+BR50&gt;0,R50-BP50+BR50,0)</f>
        <v>0</v>
      </c>
      <c r="BV50" s="6">
        <f>+BP50+BT50</f>
        <v>138394</v>
      </c>
      <c r="BX50" s="6">
        <f t="shared" si="10"/>
        <v>-138394</v>
      </c>
    </row>
    <row r="51" spans="1:76">
      <c r="A51" s="100"/>
      <c r="B51" s="231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>
        <f>SUM(T51:BO51)</f>
        <v>548026</v>
      </c>
      <c r="BQ51" s="6"/>
      <c r="BR51" s="6">
        <v>0</v>
      </c>
      <c r="BS51" s="6"/>
      <c r="BT51" s="6">
        <f t="shared" si="11"/>
        <v>0</v>
      </c>
      <c r="BV51" s="6">
        <f t="shared" si="12"/>
        <v>548026</v>
      </c>
      <c r="BX51" s="6">
        <f t="shared" si="10"/>
        <v>-548026</v>
      </c>
    </row>
    <row r="52" spans="1:76">
      <c r="A52" s="100"/>
      <c r="B52" s="231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>
        <f>SUM(T52:BO52)</f>
        <v>281729</v>
      </c>
      <c r="BQ52" s="6"/>
      <c r="BR52" s="6">
        <v>263743</v>
      </c>
      <c r="BS52" s="6"/>
      <c r="BT52" s="6">
        <f t="shared" si="11"/>
        <v>0</v>
      </c>
      <c r="BV52" s="6">
        <f t="shared" si="12"/>
        <v>281729</v>
      </c>
      <c r="BX52" s="6">
        <f t="shared" si="10"/>
        <v>-281729</v>
      </c>
    </row>
    <row r="53" spans="1:76">
      <c r="A53" s="100"/>
      <c r="B53" s="231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>
        <f t="shared" si="9"/>
        <v>0</v>
      </c>
      <c r="BQ53" s="6"/>
      <c r="BR53" s="6"/>
      <c r="BS53" s="6"/>
      <c r="BT53" s="6">
        <f t="shared" si="11"/>
        <v>0</v>
      </c>
      <c r="BV53" s="6">
        <f t="shared" si="12"/>
        <v>0</v>
      </c>
      <c r="BX53" s="6">
        <f>+R53-BV53</f>
        <v>0</v>
      </c>
    </row>
    <row r="54" spans="1:76" s="21" customFormat="1">
      <c r="A54" s="287"/>
      <c r="B54" s="234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V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0</v>
      </c>
      <c r="BO54" s="9">
        <f t="shared" si="14"/>
        <v>0</v>
      </c>
      <c r="BP54" s="9">
        <f t="shared" si="14"/>
        <v>8146761</v>
      </c>
      <c r="BQ54" s="9">
        <f t="shared" si="14"/>
        <v>0</v>
      </c>
      <c r="BR54" s="9">
        <f t="shared" si="14"/>
        <v>2058165</v>
      </c>
      <c r="BS54" s="9">
        <f t="shared" si="14"/>
        <v>0</v>
      </c>
      <c r="BT54" s="9">
        <f t="shared" si="14"/>
        <v>16141324</v>
      </c>
      <c r="BU54" s="9">
        <f t="shared" si="14"/>
        <v>0</v>
      </c>
      <c r="BV54" s="9">
        <f t="shared" si="14"/>
        <v>17530291</v>
      </c>
      <c r="BW54" s="9"/>
      <c r="BX54" s="9">
        <f>+R54-BV54</f>
        <v>-2765403</v>
      </c>
    </row>
    <row r="55" spans="1:76">
      <c r="A55" s="100"/>
      <c r="B55" s="232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Q55" s="6"/>
      <c r="BR55" s="6"/>
      <c r="BS55" s="6"/>
      <c r="BX55" s="4"/>
    </row>
    <row r="56" spans="1:76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Q56" s="6"/>
      <c r="BR56" s="6"/>
      <c r="BS56" s="6"/>
      <c r="BX56" s="4"/>
    </row>
    <row r="57" spans="1:76">
      <c r="A57" s="30"/>
      <c r="B57" s="231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3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>
        <f>SUM(T57:BO57)</f>
        <v>288544</v>
      </c>
      <c r="BQ57" s="6"/>
      <c r="BR57" s="6"/>
      <c r="BS57" s="6"/>
      <c r="BT57" s="6">
        <f>IF(+R57-BP57+BR57&gt;0,R57-BP57+BR57,0)</f>
        <v>0</v>
      </c>
      <c r="BV57" s="6">
        <f>+BP57+BT57</f>
        <v>288544</v>
      </c>
      <c r="BX57" s="6">
        <f>+R57-BV57</f>
        <v>-88059</v>
      </c>
    </row>
    <row r="58" spans="1:76">
      <c r="A58" s="30"/>
      <c r="B58" s="231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3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>
        <f>SUM(T58:BO58)</f>
        <v>3204369</v>
      </c>
      <c r="BQ58" s="6"/>
      <c r="BR58" s="6">
        <f>3006669-3824394</f>
        <v>-817725</v>
      </c>
      <c r="BS58" s="6"/>
      <c r="BT58" s="6">
        <f>IF(+R58-BP58+BR58&gt;0,R58-BP58+BR58,0)</f>
        <v>0</v>
      </c>
      <c r="BV58" s="6">
        <f>+BP58+BT58</f>
        <v>3204369</v>
      </c>
      <c r="BX58" s="6">
        <f>+R58-BV58</f>
        <v>620025</v>
      </c>
    </row>
    <row r="59" spans="1:76">
      <c r="A59" s="30"/>
      <c r="B59" s="231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3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>
        <f>SUM(T59:BO59)</f>
        <v>682994</v>
      </c>
      <c r="BQ59" s="6"/>
      <c r="BR59" s="6">
        <v>0</v>
      </c>
      <c r="BS59" s="6"/>
      <c r="BT59" s="6">
        <f>IF(+R59-BP59+BR59&gt;0,R59-BP59+BR59,0)</f>
        <v>106266</v>
      </c>
      <c r="BV59" s="6">
        <f>+BP59+BT59</f>
        <v>789260</v>
      </c>
      <c r="BX59" s="6">
        <f>+R59-BV59</f>
        <v>0</v>
      </c>
    </row>
    <row r="60" spans="1:76">
      <c r="A60" s="30"/>
      <c r="B60" s="231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3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>
        <f>SUM(T60:BO60)</f>
        <v>406264</v>
      </c>
      <c r="BQ60" s="6"/>
      <c r="BR60" s="6">
        <f>442495-482700</f>
        <v>-40205</v>
      </c>
      <c r="BS60" s="6"/>
      <c r="BT60" s="6">
        <f>IF(+R60-BP60+BR60&gt;0,R60-BP60+BR60,0)</f>
        <v>36231</v>
      </c>
      <c r="BV60" s="6">
        <f>+BP60+BT60</f>
        <v>442495</v>
      </c>
      <c r="BX60" s="6">
        <f>+R60-BV60</f>
        <v>40205</v>
      </c>
    </row>
    <row r="61" spans="1:76">
      <c r="A61" s="30"/>
      <c r="B61" s="231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3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>
        <f>SUM(T61:BO61)</f>
        <v>20421</v>
      </c>
      <c r="BQ61" s="6"/>
      <c r="BR61" s="6">
        <v>0</v>
      </c>
      <c r="BS61" s="6"/>
      <c r="BT61" s="6">
        <f>IF(+R61-BP61+BR61&gt;0,R61-BP61+BR61,0)</f>
        <v>0</v>
      </c>
      <c r="BV61" s="6">
        <f>+BP61+BT61</f>
        <v>20421</v>
      </c>
      <c r="BX61" s="6">
        <f>+R61-BV61</f>
        <v>-20421</v>
      </c>
    </row>
    <row r="62" spans="1:76">
      <c r="A62" s="30"/>
      <c r="B62" s="231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3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Q62" s="6"/>
      <c r="BR62" s="6"/>
      <c r="BS62" s="6"/>
    </row>
    <row r="63" spans="1:76" s="21" customFormat="1">
      <c r="A63" s="31"/>
      <c r="B63" s="234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V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>
        <f>SUM(BN57:BN61)</f>
        <v>0</v>
      </c>
      <c r="BO63" s="9">
        <f t="shared" si="16"/>
        <v>0</v>
      </c>
      <c r="BP63" s="9">
        <f t="shared" si="16"/>
        <v>4602592</v>
      </c>
      <c r="BQ63" s="9">
        <f t="shared" si="16"/>
        <v>0</v>
      </c>
      <c r="BR63" s="9">
        <f t="shared" si="16"/>
        <v>-857930</v>
      </c>
      <c r="BS63" s="9">
        <f t="shared" si="16"/>
        <v>0</v>
      </c>
      <c r="BT63" s="9">
        <f t="shared" si="16"/>
        <v>142497</v>
      </c>
      <c r="BU63" s="9">
        <f t="shared" si="16"/>
        <v>0</v>
      </c>
      <c r="BV63" s="9">
        <f t="shared" si="16"/>
        <v>4745089</v>
      </c>
      <c r="BW63" s="9"/>
      <c r="BX63" s="9">
        <f>+R63-BV63</f>
        <v>551750</v>
      </c>
    </row>
    <row r="64" spans="1:76" s="21" customFormat="1">
      <c r="A64" s="31"/>
      <c r="B64" s="234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</row>
    <row r="65" spans="1:76" s="21" customFormat="1">
      <c r="A65" s="31"/>
      <c r="B65" s="235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1:76" s="21" customFormat="1">
      <c r="A66" s="31"/>
      <c r="B66" s="236" t="s">
        <v>299</v>
      </c>
      <c r="J66" s="8"/>
      <c r="L66" s="141"/>
      <c r="M66" s="9"/>
      <c r="N66" s="9"/>
      <c r="O66" s="9"/>
      <c r="P66" s="9"/>
      <c r="Q66" s="9"/>
      <c r="R66" s="233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6">
        <f t="shared" ref="BP66:BP84" si="17">SUM(T66:BO66)</f>
        <v>3098792</v>
      </c>
      <c r="BQ66" s="9"/>
      <c r="BR66" s="6">
        <v>0</v>
      </c>
      <c r="BS66" s="6"/>
      <c r="BT66" s="6">
        <f t="shared" ref="BT66:BT85" si="18">IF(+R66-BP66+BR66&gt;0,R66-BP66+BR66,0)</f>
        <v>0</v>
      </c>
      <c r="BU66" s="6"/>
      <c r="BV66" s="6">
        <f t="shared" ref="BV66:BV85" si="19">+BP66+BT66</f>
        <v>3098792</v>
      </c>
      <c r="BW66" s="9"/>
      <c r="BX66" s="6">
        <f t="shared" ref="BX66:BX84" si="20">+R66-BV66</f>
        <v>-877039</v>
      </c>
    </row>
    <row r="67" spans="1:76" s="21" customFormat="1">
      <c r="A67" s="31"/>
      <c r="B67" s="236" t="s">
        <v>387</v>
      </c>
      <c r="J67" s="8"/>
      <c r="L67" s="141"/>
      <c r="M67" s="9"/>
      <c r="N67" s="9"/>
      <c r="O67" s="9"/>
      <c r="P67" s="9"/>
      <c r="Q67" s="9"/>
      <c r="R67" s="233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6">
        <f t="shared" si="17"/>
        <v>1007521</v>
      </c>
      <c r="BQ67" s="9"/>
      <c r="BR67" s="6">
        <f>508478-363263</f>
        <v>145215</v>
      </c>
      <c r="BS67" s="6"/>
      <c r="BT67" s="6">
        <f t="shared" si="18"/>
        <v>0</v>
      </c>
      <c r="BU67" s="6"/>
      <c r="BV67" s="6">
        <f t="shared" si="19"/>
        <v>1007521</v>
      </c>
      <c r="BW67" s="9"/>
      <c r="BX67" s="6">
        <f t="shared" si="20"/>
        <v>-644214</v>
      </c>
    </row>
    <row r="68" spans="1:76" s="21" customFormat="1">
      <c r="A68" s="31"/>
      <c r="B68" s="236" t="s">
        <v>300</v>
      </c>
      <c r="J68" s="8"/>
      <c r="L68" s="141"/>
      <c r="M68" s="9"/>
      <c r="N68" s="9"/>
      <c r="O68" s="9"/>
      <c r="P68" s="9"/>
      <c r="Q68" s="9"/>
      <c r="R68" s="233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6">
        <f t="shared" si="17"/>
        <v>230143</v>
      </c>
      <c r="BQ68" s="9"/>
      <c r="BR68" s="6"/>
      <c r="BS68" s="6"/>
      <c r="BT68" s="6">
        <f t="shared" si="18"/>
        <v>42232</v>
      </c>
      <c r="BU68" s="6"/>
      <c r="BV68" s="6">
        <f t="shared" si="19"/>
        <v>272375</v>
      </c>
      <c r="BW68" s="9"/>
      <c r="BX68" s="6">
        <f t="shared" si="20"/>
        <v>0</v>
      </c>
    </row>
    <row r="69" spans="1:76" s="21" customFormat="1">
      <c r="A69" s="31"/>
      <c r="B69" s="236" t="s">
        <v>388</v>
      </c>
      <c r="J69" s="8"/>
      <c r="L69" s="141"/>
      <c r="M69" s="9"/>
      <c r="N69" s="9"/>
      <c r="O69" s="9"/>
      <c r="P69" s="9"/>
      <c r="Q69" s="9"/>
      <c r="R69" s="233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6">
        <f t="shared" si="17"/>
        <v>599775</v>
      </c>
      <c r="BQ69" s="9"/>
      <c r="BR69" s="6">
        <f>374050-294546</f>
        <v>79504</v>
      </c>
      <c r="BS69" s="6"/>
      <c r="BT69" s="6">
        <f t="shared" si="18"/>
        <v>0</v>
      </c>
      <c r="BU69" s="6"/>
      <c r="BV69" s="6">
        <f t="shared" si="19"/>
        <v>599775</v>
      </c>
      <c r="BW69" s="9"/>
      <c r="BX69" s="6">
        <f t="shared" si="20"/>
        <v>-305229</v>
      </c>
    </row>
    <row r="70" spans="1:76" s="21" customFormat="1">
      <c r="A70" s="31"/>
      <c r="B70" s="236" t="s">
        <v>301</v>
      </c>
      <c r="J70" s="8"/>
      <c r="L70" s="141"/>
      <c r="M70" s="9"/>
      <c r="N70" s="9"/>
      <c r="O70" s="9"/>
      <c r="P70" s="9"/>
      <c r="Q70" s="9"/>
      <c r="R70" s="233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6">
        <f t="shared" si="17"/>
        <v>266441</v>
      </c>
      <c r="BQ70" s="9"/>
      <c r="BR70" s="6">
        <v>0</v>
      </c>
      <c r="BS70" s="6"/>
      <c r="BT70" s="6">
        <f t="shared" si="18"/>
        <v>0</v>
      </c>
      <c r="BU70" s="6"/>
      <c r="BV70" s="6">
        <f t="shared" si="19"/>
        <v>266441</v>
      </c>
      <c r="BW70" s="9"/>
      <c r="BX70" s="6">
        <f t="shared" si="20"/>
        <v>-94210</v>
      </c>
    </row>
    <row r="71" spans="1:76" s="21" customFormat="1">
      <c r="A71" s="31"/>
      <c r="B71" s="236" t="s">
        <v>394</v>
      </c>
      <c r="J71" s="8"/>
      <c r="L71" s="141"/>
      <c r="M71" s="9"/>
      <c r="N71" s="9"/>
      <c r="O71" s="9"/>
      <c r="P71" s="9"/>
      <c r="Q71" s="9"/>
      <c r="R71" s="233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6">
        <f t="shared" si="17"/>
        <v>1843466</v>
      </c>
      <c r="BQ71" s="9"/>
      <c r="BR71" s="6">
        <f>1569522-1115136</f>
        <v>454386</v>
      </c>
      <c r="BS71" s="6"/>
      <c r="BT71" s="6">
        <f t="shared" si="18"/>
        <v>0</v>
      </c>
      <c r="BU71" s="6"/>
      <c r="BV71" s="6">
        <f t="shared" si="19"/>
        <v>1843466</v>
      </c>
      <c r="BW71" s="9"/>
      <c r="BX71" s="6">
        <f t="shared" si="20"/>
        <v>-728330</v>
      </c>
    </row>
    <row r="72" spans="1:76" s="21" customFormat="1">
      <c r="A72" s="31"/>
      <c r="B72" s="236" t="s">
        <v>302</v>
      </c>
      <c r="J72" s="8"/>
      <c r="L72" s="141"/>
      <c r="M72" s="9"/>
      <c r="N72" s="9"/>
      <c r="O72" s="9"/>
      <c r="P72" s="9"/>
      <c r="Q72" s="9"/>
      <c r="R72" s="233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6">
        <f t="shared" si="17"/>
        <v>645350</v>
      </c>
      <c r="BQ72" s="9"/>
      <c r="BR72" s="6"/>
      <c r="BS72" s="6"/>
      <c r="BT72" s="6">
        <f t="shared" si="18"/>
        <v>105760</v>
      </c>
      <c r="BU72" s="6"/>
      <c r="BV72" s="6">
        <f t="shared" si="19"/>
        <v>751110</v>
      </c>
      <c r="BW72" s="9"/>
      <c r="BX72" s="6">
        <f t="shared" si="20"/>
        <v>0</v>
      </c>
    </row>
    <row r="73" spans="1:76" s="21" customFormat="1">
      <c r="A73" s="31"/>
      <c r="B73" s="236" t="s">
        <v>389</v>
      </c>
      <c r="J73" s="8"/>
      <c r="L73" s="141"/>
      <c r="M73" s="9"/>
      <c r="N73" s="9"/>
      <c r="O73" s="9"/>
      <c r="P73" s="9"/>
      <c r="Q73" s="9"/>
      <c r="R73" s="233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6">
        <f t="shared" si="17"/>
        <v>97281</v>
      </c>
      <c r="BQ73" s="9"/>
      <c r="BR73" s="6">
        <f>108008-79049</f>
        <v>28959</v>
      </c>
      <c r="BS73" s="6"/>
      <c r="BT73" s="6">
        <f t="shared" si="18"/>
        <v>10727</v>
      </c>
      <c r="BU73" s="6"/>
      <c r="BV73" s="6">
        <f t="shared" si="19"/>
        <v>108008</v>
      </c>
      <c r="BW73" s="9"/>
      <c r="BX73" s="6">
        <f t="shared" si="20"/>
        <v>-28959</v>
      </c>
    </row>
    <row r="74" spans="1:76" s="21" customFormat="1">
      <c r="A74" s="31"/>
      <c r="B74" s="236" t="s">
        <v>393</v>
      </c>
      <c r="J74" s="8"/>
      <c r="L74" s="141"/>
      <c r="M74" s="9"/>
      <c r="N74" s="9"/>
      <c r="O74" s="9"/>
      <c r="P74" s="9"/>
      <c r="Q74" s="9"/>
      <c r="R74" s="233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6">
        <f t="shared" si="17"/>
        <v>27594</v>
      </c>
      <c r="BQ74" s="9"/>
      <c r="BR74" s="6"/>
      <c r="BS74" s="6"/>
      <c r="BT74" s="6">
        <f t="shared" si="18"/>
        <v>15906</v>
      </c>
      <c r="BU74" s="6"/>
      <c r="BV74" s="6">
        <f t="shared" si="19"/>
        <v>43500</v>
      </c>
      <c r="BW74" s="9"/>
      <c r="BX74" s="6">
        <f t="shared" si="20"/>
        <v>0</v>
      </c>
    </row>
    <row r="75" spans="1:76" s="21" customFormat="1">
      <c r="A75" s="31"/>
      <c r="B75" s="236" t="s">
        <v>401</v>
      </c>
      <c r="J75" s="8"/>
      <c r="L75" s="141"/>
      <c r="M75" s="9"/>
      <c r="N75" s="9"/>
      <c r="O75" s="9"/>
      <c r="P75" s="9"/>
      <c r="Q75" s="9"/>
      <c r="R75" s="233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6">
        <f t="shared" si="17"/>
        <v>141341</v>
      </c>
      <c r="BQ75" s="9"/>
      <c r="BR75" s="6">
        <f>101800-81956</f>
        <v>19844</v>
      </c>
      <c r="BS75" s="6"/>
      <c r="BT75" s="6">
        <f t="shared" si="18"/>
        <v>0</v>
      </c>
      <c r="BU75" s="6"/>
      <c r="BV75" s="6">
        <f t="shared" si="19"/>
        <v>141341</v>
      </c>
      <c r="BW75" s="9"/>
      <c r="BX75" s="6">
        <f t="shared" si="20"/>
        <v>-59385</v>
      </c>
    </row>
    <row r="76" spans="1:76" s="21" customFormat="1">
      <c r="A76" s="31"/>
      <c r="B76" s="236" t="s">
        <v>304</v>
      </c>
      <c r="J76" s="8"/>
      <c r="L76" s="141"/>
      <c r="M76" s="9"/>
      <c r="N76" s="9"/>
      <c r="O76" s="9"/>
      <c r="P76" s="9"/>
      <c r="Q76" s="9"/>
      <c r="R76" s="233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6">
        <f t="shared" si="17"/>
        <v>3351</v>
      </c>
      <c r="BQ76" s="9"/>
      <c r="BR76" s="6"/>
      <c r="BS76" s="6"/>
      <c r="BT76" s="6">
        <f t="shared" si="18"/>
        <v>213999</v>
      </c>
      <c r="BU76" s="6"/>
      <c r="BV76" s="6">
        <f t="shared" si="19"/>
        <v>217350</v>
      </c>
      <c r="BW76" s="9"/>
      <c r="BX76" s="6">
        <f t="shared" si="20"/>
        <v>0</v>
      </c>
    </row>
    <row r="77" spans="1:76" s="21" customFormat="1">
      <c r="A77" s="31"/>
      <c r="B77" s="236" t="s">
        <v>305</v>
      </c>
      <c r="J77" s="8"/>
      <c r="L77" s="141"/>
      <c r="M77" s="9"/>
      <c r="N77" s="9"/>
      <c r="O77" s="9"/>
      <c r="P77" s="9"/>
      <c r="Q77" s="9"/>
      <c r="R77" s="233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6">
        <f t="shared" si="17"/>
        <v>658070</v>
      </c>
      <c r="BQ77" s="9"/>
      <c r="BR77" s="6">
        <f>200656-199748</f>
        <v>908</v>
      </c>
      <c r="BS77" s="6"/>
      <c r="BT77" s="6">
        <f t="shared" si="18"/>
        <v>0</v>
      </c>
      <c r="BU77" s="6"/>
      <c r="BV77" s="6">
        <f t="shared" si="19"/>
        <v>658070</v>
      </c>
      <c r="BW77" s="9"/>
      <c r="BX77" s="6">
        <f t="shared" si="20"/>
        <v>-458322</v>
      </c>
    </row>
    <row r="78" spans="1:76" s="21" customFormat="1">
      <c r="A78" s="31"/>
      <c r="B78" s="236" t="s">
        <v>306</v>
      </c>
      <c r="J78" s="8"/>
      <c r="L78" s="141"/>
      <c r="M78" s="9"/>
      <c r="N78" s="9"/>
      <c r="O78" s="9"/>
      <c r="P78" s="9"/>
      <c r="Q78" s="9"/>
      <c r="R78" s="233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6">
        <f t="shared" si="17"/>
        <v>202295</v>
      </c>
      <c r="BQ78" s="9"/>
      <c r="BR78" s="6"/>
      <c r="BS78" s="6"/>
      <c r="BT78" s="6">
        <f t="shared" si="18"/>
        <v>187705</v>
      </c>
      <c r="BU78" s="6"/>
      <c r="BV78" s="6">
        <f t="shared" si="19"/>
        <v>390000</v>
      </c>
      <c r="BW78" s="9"/>
      <c r="BX78" s="6">
        <f t="shared" si="20"/>
        <v>0</v>
      </c>
    </row>
    <row r="79" spans="1:76" s="21" customFormat="1">
      <c r="A79" s="31"/>
      <c r="B79" s="236" t="s">
        <v>391</v>
      </c>
      <c r="J79" s="8"/>
      <c r="L79" s="141"/>
      <c r="M79" s="9"/>
      <c r="N79" s="9"/>
      <c r="O79" s="9"/>
      <c r="P79" s="9"/>
      <c r="Q79" s="9"/>
      <c r="R79" s="233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6">
        <f t="shared" si="17"/>
        <v>267349</v>
      </c>
      <c r="BQ79" s="9"/>
      <c r="BR79" s="6">
        <f>369817-290544</f>
        <v>79273</v>
      </c>
      <c r="BS79" s="6"/>
      <c r="BT79" s="6">
        <f t="shared" si="18"/>
        <v>102468</v>
      </c>
      <c r="BU79" s="6"/>
      <c r="BV79" s="6">
        <f t="shared" si="19"/>
        <v>369817</v>
      </c>
      <c r="BW79" s="9"/>
      <c r="BX79" s="6">
        <f t="shared" si="20"/>
        <v>-79273</v>
      </c>
    </row>
    <row r="80" spans="1:76" s="21" customFormat="1">
      <c r="A80" s="31"/>
      <c r="B80" s="236" t="s">
        <v>392</v>
      </c>
      <c r="J80" s="8"/>
      <c r="L80" s="141"/>
      <c r="M80" s="9"/>
      <c r="N80" s="9"/>
      <c r="O80" s="9"/>
      <c r="P80" s="9"/>
      <c r="Q80" s="9"/>
      <c r="R80" s="233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6">
        <f t="shared" si="17"/>
        <v>2254200</v>
      </c>
      <c r="BQ80" s="9"/>
      <c r="BR80" s="6">
        <f>1887865-1025638</f>
        <v>862227</v>
      </c>
      <c r="BS80" s="6"/>
      <c r="BT80" s="6">
        <f t="shared" si="18"/>
        <v>0</v>
      </c>
      <c r="BU80" s="6"/>
      <c r="BV80" s="6">
        <f t="shared" si="19"/>
        <v>2254200</v>
      </c>
      <c r="BW80" s="9"/>
      <c r="BX80" s="6">
        <f t="shared" si="20"/>
        <v>-1228562</v>
      </c>
    </row>
    <row r="81" spans="1:76" s="21" customFormat="1">
      <c r="A81" s="31"/>
      <c r="B81" s="236" t="s">
        <v>397</v>
      </c>
      <c r="J81" s="8"/>
      <c r="L81" s="141"/>
      <c r="M81" s="9"/>
      <c r="N81" s="9"/>
      <c r="O81" s="9"/>
      <c r="P81" s="9"/>
      <c r="Q81" s="9"/>
      <c r="R81" s="233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6">
        <f t="shared" si="17"/>
        <v>70748</v>
      </c>
      <c r="BQ81" s="9"/>
      <c r="BR81" s="6">
        <f>382731-347524</f>
        <v>35207</v>
      </c>
      <c r="BS81" s="6"/>
      <c r="BT81" s="6">
        <f t="shared" si="18"/>
        <v>311983</v>
      </c>
      <c r="BU81" s="6"/>
      <c r="BV81" s="6">
        <f t="shared" si="19"/>
        <v>382731</v>
      </c>
      <c r="BW81" s="9"/>
      <c r="BX81" s="6">
        <f t="shared" si="20"/>
        <v>-35207</v>
      </c>
    </row>
    <row r="82" spans="1:76" s="21" customFormat="1">
      <c r="A82" s="31"/>
      <c r="B82" s="236" t="s">
        <v>308</v>
      </c>
      <c r="J82" s="8"/>
      <c r="L82" s="141"/>
      <c r="M82" s="9"/>
      <c r="N82" s="9"/>
      <c r="O82" s="9"/>
      <c r="P82" s="9"/>
      <c r="Q82" s="9"/>
      <c r="R82" s="233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6">
        <f t="shared" si="17"/>
        <v>664653</v>
      </c>
      <c r="BQ82" s="9"/>
      <c r="BR82" s="6">
        <v>0</v>
      </c>
      <c r="BS82" s="6"/>
      <c r="BT82" s="6">
        <f t="shared" si="18"/>
        <v>0</v>
      </c>
      <c r="BU82" s="6"/>
      <c r="BV82" s="6">
        <f t="shared" si="19"/>
        <v>664653</v>
      </c>
      <c r="BW82" s="9"/>
      <c r="BX82" s="6">
        <f t="shared" si="20"/>
        <v>-99706</v>
      </c>
    </row>
    <row r="83" spans="1:76" s="21" customFormat="1">
      <c r="A83" s="31"/>
      <c r="B83" s="236" t="s">
        <v>396</v>
      </c>
      <c r="J83" s="8"/>
      <c r="L83" s="141"/>
      <c r="M83" s="9"/>
      <c r="N83" s="9"/>
      <c r="O83" s="9"/>
      <c r="P83" s="9"/>
      <c r="Q83" s="9"/>
      <c r="R83" s="233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6">
        <f t="shared" si="17"/>
        <v>4758976</v>
      </c>
      <c r="BQ83" s="9"/>
      <c r="BR83" s="6">
        <f>4361334-3436815</f>
        <v>924519</v>
      </c>
      <c r="BS83" s="6"/>
      <c r="BT83" s="6">
        <f t="shared" si="18"/>
        <v>0</v>
      </c>
      <c r="BU83" s="6"/>
      <c r="BV83" s="6">
        <f t="shared" si="19"/>
        <v>4758976</v>
      </c>
      <c r="BW83" s="9"/>
      <c r="BX83" s="6">
        <f t="shared" si="20"/>
        <v>-1322161</v>
      </c>
    </row>
    <row r="84" spans="1:76" s="21" customFormat="1">
      <c r="A84" s="31"/>
      <c r="B84" s="236" t="s">
        <v>398</v>
      </c>
      <c r="J84" s="8"/>
      <c r="L84" s="141"/>
      <c r="M84" s="9"/>
      <c r="N84" s="9"/>
      <c r="O84" s="9"/>
      <c r="P84" s="9"/>
      <c r="Q84" s="9"/>
      <c r="R84" s="233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6">
        <f t="shared" si="17"/>
        <v>786230</v>
      </c>
      <c r="BQ84" s="9"/>
      <c r="BR84" s="6">
        <f>836221-582144</f>
        <v>254077</v>
      </c>
      <c r="BS84" s="6"/>
      <c r="BT84" s="6">
        <f t="shared" si="18"/>
        <v>49991</v>
      </c>
      <c r="BU84" s="6"/>
      <c r="BV84" s="6">
        <f t="shared" si="19"/>
        <v>836221</v>
      </c>
      <c r="BW84" s="9"/>
      <c r="BX84" s="6">
        <f t="shared" si="20"/>
        <v>-254077</v>
      </c>
    </row>
    <row r="85" spans="1:76" s="21" customFormat="1">
      <c r="A85" s="31"/>
      <c r="B85" s="237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6">
        <f t="shared" si="18"/>
        <v>0</v>
      </c>
      <c r="BU85" s="6"/>
      <c r="BV85" s="6">
        <f t="shared" si="19"/>
        <v>0</v>
      </c>
      <c r="BW85" s="9"/>
      <c r="BX85" s="6">
        <f>+R85-BV85</f>
        <v>0</v>
      </c>
    </row>
    <row r="86" spans="1:76" s="21" customFormat="1">
      <c r="A86" s="31"/>
      <c r="B86" s="234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W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0</v>
      </c>
      <c r="BO86" s="9">
        <f t="shared" si="22"/>
        <v>0</v>
      </c>
      <c r="BP86" s="9">
        <f t="shared" si="22"/>
        <v>17623576</v>
      </c>
      <c r="BQ86" s="9">
        <f t="shared" si="22"/>
        <v>0</v>
      </c>
      <c r="BR86" s="9">
        <f t="shared" si="22"/>
        <v>2884119</v>
      </c>
      <c r="BS86" s="9">
        <f t="shared" si="22"/>
        <v>0</v>
      </c>
      <c r="BT86" s="9">
        <f t="shared" si="22"/>
        <v>1040771</v>
      </c>
      <c r="BU86" s="9">
        <f t="shared" si="22"/>
        <v>0</v>
      </c>
      <c r="BV86" s="9">
        <f t="shared" si="22"/>
        <v>18664347</v>
      </c>
      <c r="BW86" s="9">
        <f t="shared" si="22"/>
        <v>0</v>
      </c>
      <c r="BX86" s="9">
        <f>+R86-BV86</f>
        <v>-6214674</v>
      </c>
    </row>
    <row r="87" spans="1:76" s="21" customFormat="1">
      <c r="A87" s="31"/>
      <c r="B87" s="234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1:76" s="21" customFormat="1">
      <c r="A88" s="31"/>
      <c r="B88" s="239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6" s="21" customFormat="1">
      <c r="A89" s="31"/>
      <c r="B89" s="238" t="s">
        <v>67</v>
      </c>
      <c r="J89" s="8"/>
      <c r="L89" s="141"/>
      <c r="M89" s="9"/>
      <c r="N89" s="9"/>
      <c r="O89" s="9"/>
      <c r="P89" s="9"/>
      <c r="Q89" s="9"/>
      <c r="R89" s="233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6">
        <f>SUM(T89:BO89)</f>
        <v>12182028</v>
      </c>
      <c r="BQ89" s="9"/>
      <c r="BR89" s="6">
        <f>12136758-9230000</f>
        <v>2906758</v>
      </c>
      <c r="BS89" s="6"/>
      <c r="BT89" s="6">
        <f>IF(+R89-BP89+BR89&gt;0,R89-BP89+BR89,0)</f>
        <v>0</v>
      </c>
      <c r="BU89" s="6"/>
      <c r="BV89" s="6">
        <f>+BP89+BT89</f>
        <v>12182028</v>
      </c>
      <c r="BW89" s="9"/>
      <c r="BX89" s="6">
        <f>+R89-BV89</f>
        <v>-2952028</v>
      </c>
    </row>
    <row r="90" spans="1:76" s="21" customFormat="1">
      <c r="A90" s="31"/>
      <c r="B90" s="231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6" s="21" customFormat="1">
      <c r="A91" s="31"/>
      <c r="B91" s="232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V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0</v>
      </c>
      <c r="BO91" s="9">
        <f t="shared" si="24"/>
        <v>0</v>
      </c>
      <c r="BP91" s="9">
        <f t="shared" si="24"/>
        <v>12182028</v>
      </c>
      <c r="BQ91" s="9">
        <f t="shared" si="24"/>
        <v>0</v>
      </c>
      <c r="BR91" s="9">
        <f t="shared" si="24"/>
        <v>2906758</v>
      </c>
      <c r="BS91" s="9">
        <f t="shared" si="24"/>
        <v>0</v>
      </c>
      <c r="BT91" s="9">
        <f t="shared" si="24"/>
        <v>0</v>
      </c>
      <c r="BU91" s="9">
        <f t="shared" si="24"/>
        <v>0</v>
      </c>
      <c r="BV91" s="9">
        <f t="shared" si="24"/>
        <v>12182028</v>
      </c>
      <c r="BW91" s="9"/>
      <c r="BX91" s="9">
        <f>+R91-BV91</f>
        <v>-2952028</v>
      </c>
    </row>
    <row r="92" spans="1:76" s="21" customFormat="1">
      <c r="A92" s="31"/>
      <c r="B92" s="232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</row>
    <row r="93" spans="1:76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6">
        <f>SUM(T93:BO93)</f>
        <v>-250000</v>
      </c>
      <c r="BQ93" s="9"/>
      <c r="BR93" s="9">
        <v>0</v>
      </c>
      <c r="BS93" s="9"/>
      <c r="BT93" s="6"/>
      <c r="BU93" s="9"/>
      <c r="BV93" s="6">
        <v>0</v>
      </c>
      <c r="BW93" s="9"/>
      <c r="BX93" s="6">
        <f>+R93-BV93</f>
        <v>0</v>
      </c>
    </row>
    <row r="94" spans="1:76" s="21" customFormat="1">
      <c r="A94" s="31"/>
      <c r="B94" s="232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6"/>
    </row>
    <row r="95" spans="1:76" s="21" customFormat="1">
      <c r="A95" s="31"/>
      <c r="B95" s="239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6">
        <f>SUM(T95:BO95)</f>
        <v>3367161.5599999987</v>
      </c>
      <c r="BQ95" s="9"/>
      <c r="BR95" s="9">
        <f>-50096668+46735000</f>
        <v>-3361668</v>
      </c>
      <c r="BS95" s="9"/>
      <c r="BT95" s="9"/>
      <c r="BU95" s="9"/>
      <c r="BV95" s="6">
        <f>-52871755+46735000</f>
        <v>-6136755</v>
      </c>
      <c r="BW95" s="9"/>
      <c r="BX95" s="6">
        <f>+R95-BV95</f>
        <v>6136755</v>
      </c>
    </row>
    <row r="96" spans="1:76" s="21" customFormat="1">
      <c r="A96" s="31"/>
      <c r="B96" s="234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1:77" s="105" customFormat="1">
      <c r="A97" s="54"/>
      <c r="B97" s="241" t="s">
        <v>243</v>
      </c>
      <c r="J97" s="156"/>
      <c r="L97" s="142"/>
      <c r="M97" s="13"/>
      <c r="N97" s="242">
        <f>SUM(N41:N96)</f>
        <v>0</v>
      </c>
      <c r="O97" s="13"/>
      <c r="P97" s="242">
        <f>SUM(P41:P96)</f>
        <v>0</v>
      </c>
      <c r="Q97" s="13"/>
      <c r="R97" s="242">
        <f t="shared" ref="R97:AH97" si="25">R91+R86+R63+R54+R95</f>
        <v>41741400</v>
      </c>
      <c r="S97" s="242">
        <f t="shared" si="25"/>
        <v>0</v>
      </c>
      <c r="T97" s="242">
        <f t="shared" si="25"/>
        <v>0</v>
      </c>
      <c r="U97" s="242">
        <f t="shared" si="25"/>
        <v>0</v>
      </c>
      <c r="V97" s="242">
        <f t="shared" si="25"/>
        <v>0</v>
      </c>
      <c r="W97" s="242">
        <f t="shared" si="25"/>
        <v>0</v>
      </c>
      <c r="X97" s="242">
        <f t="shared" si="25"/>
        <v>0</v>
      </c>
      <c r="Y97" s="242">
        <f t="shared" si="25"/>
        <v>0</v>
      </c>
      <c r="Z97" s="242">
        <f t="shared" si="25"/>
        <v>0</v>
      </c>
      <c r="AA97" s="242">
        <f t="shared" si="25"/>
        <v>0</v>
      </c>
      <c r="AB97" s="242">
        <f t="shared" si="25"/>
        <v>0</v>
      </c>
      <c r="AC97" s="242">
        <f t="shared" si="25"/>
        <v>0</v>
      </c>
      <c r="AD97" s="242">
        <f t="shared" si="25"/>
        <v>0</v>
      </c>
      <c r="AE97" s="242">
        <f t="shared" si="25"/>
        <v>0</v>
      </c>
      <c r="AF97" s="242">
        <f t="shared" si="25"/>
        <v>0</v>
      </c>
      <c r="AG97" s="242">
        <f t="shared" si="25"/>
        <v>0</v>
      </c>
      <c r="AH97" s="242">
        <f t="shared" si="25"/>
        <v>0</v>
      </c>
      <c r="AI97" s="242"/>
      <c r="AJ97" s="242">
        <f>AJ91+AJ86+AJ63+AJ54+AJ95</f>
        <v>0</v>
      </c>
      <c r="AK97" s="242"/>
      <c r="AL97" s="242">
        <f>AL91+AL86+AL63+AL54+AL95</f>
        <v>0</v>
      </c>
      <c r="AM97" s="242"/>
      <c r="AN97" s="242">
        <f>AN91+AN86+AN63+AN54+AN95</f>
        <v>0</v>
      </c>
      <c r="AO97" s="242"/>
      <c r="AP97" s="242">
        <f>AP91+AP86+AP63+AP54+AP95</f>
        <v>0</v>
      </c>
      <c r="AQ97" s="242"/>
      <c r="AR97" s="242">
        <f>AR91+AR86+AR63+AR54+AR95</f>
        <v>6054031.5599999996</v>
      </c>
      <c r="AS97" s="242">
        <f>AS91+AS86+AS63+AS54+AS95</f>
        <v>0</v>
      </c>
      <c r="AT97" s="242">
        <f>AT91+AT86+AT63+AT54+AT95+AT93</f>
        <v>-250000</v>
      </c>
      <c r="AU97" s="242">
        <f t="shared" ref="AU97:BF97" si="26">AU91+AU86+AU63+AU54+AU95+AU93</f>
        <v>0</v>
      </c>
      <c r="AV97" s="242">
        <f t="shared" si="26"/>
        <v>5295206</v>
      </c>
      <c r="AW97" s="242">
        <f t="shared" si="26"/>
        <v>0</v>
      </c>
      <c r="AX97" s="242">
        <f t="shared" si="26"/>
        <v>6512226</v>
      </c>
      <c r="AY97" s="242">
        <f t="shared" si="26"/>
        <v>0</v>
      </c>
      <c r="AZ97" s="242">
        <f t="shared" si="26"/>
        <v>8178457</v>
      </c>
      <c r="BA97" s="242">
        <f t="shared" si="26"/>
        <v>0</v>
      </c>
      <c r="BB97" s="242">
        <f t="shared" si="26"/>
        <v>7581129</v>
      </c>
      <c r="BC97" s="242">
        <f t="shared" si="26"/>
        <v>0</v>
      </c>
      <c r="BD97" s="242">
        <f t="shared" si="26"/>
        <v>0</v>
      </c>
      <c r="BE97" s="242">
        <f t="shared" si="26"/>
        <v>0</v>
      </c>
      <c r="BF97" s="242">
        <f t="shared" si="26"/>
        <v>10998139</v>
      </c>
      <c r="BG97" s="242">
        <f t="shared" ref="BG97:BY97" si="27">BG91+BG86+BG63+BG54+BG95+BG93</f>
        <v>0</v>
      </c>
      <c r="BH97" s="242">
        <f t="shared" si="27"/>
        <v>1302930</v>
      </c>
      <c r="BI97" s="242">
        <f t="shared" si="27"/>
        <v>0</v>
      </c>
      <c r="BJ97" s="242">
        <f t="shared" si="27"/>
        <v>0</v>
      </c>
      <c r="BK97" s="242">
        <f t="shared" si="27"/>
        <v>0</v>
      </c>
      <c r="BL97" s="242">
        <f t="shared" si="27"/>
        <v>0</v>
      </c>
      <c r="BM97" s="242">
        <f>BM91+BM86+BM63+BM54+BM95+BM93</f>
        <v>0</v>
      </c>
      <c r="BN97" s="242">
        <f>BN91+BN86+BN63+BN54+BN95+BN93</f>
        <v>0</v>
      </c>
      <c r="BO97" s="242">
        <f t="shared" si="27"/>
        <v>0</v>
      </c>
      <c r="BP97" s="242">
        <f t="shared" si="27"/>
        <v>45672118.560000002</v>
      </c>
      <c r="BQ97" s="242">
        <f t="shared" si="27"/>
        <v>0</v>
      </c>
      <c r="BR97" s="242">
        <f t="shared" si="27"/>
        <v>3629444</v>
      </c>
      <c r="BS97" s="242">
        <f t="shared" si="27"/>
        <v>0</v>
      </c>
      <c r="BT97" s="242">
        <f>BV97-BP97</f>
        <v>1312881.4399999976</v>
      </c>
      <c r="BU97" s="242">
        <f t="shared" si="27"/>
        <v>0</v>
      </c>
      <c r="BV97" s="242">
        <f t="shared" si="27"/>
        <v>46985000</v>
      </c>
      <c r="BW97" s="242">
        <f t="shared" si="27"/>
        <v>0</v>
      </c>
      <c r="BX97" s="242">
        <f t="shared" si="27"/>
        <v>-5243600</v>
      </c>
      <c r="BY97" s="242">
        <f t="shared" si="27"/>
        <v>0</v>
      </c>
    </row>
    <row r="98" spans="1:77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>
        <f>BP97+250000</f>
        <v>45922118.560000002</v>
      </c>
      <c r="BQ98" s="6"/>
      <c r="BR98" s="6"/>
      <c r="BS98" s="6"/>
      <c r="BV98" s="6">
        <f>BV97+250000</f>
        <v>47235000</v>
      </c>
      <c r="BY98" s="6"/>
    </row>
    <row r="99" spans="1:77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Q99" s="6"/>
      <c r="BR99" s="6"/>
      <c r="BS99" s="6"/>
      <c r="BY99" s="6"/>
    </row>
    <row r="100" spans="1:77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13837</v>
      </c>
      <c r="BM100" s="6"/>
      <c r="BN100" s="6">
        <v>0</v>
      </c>
      <c r="BO100" s="6"/>
      <c r="BP100" s="6">
        <f t="shared" ref="BP100:BP105" si="28">SUM(T100:BO100)</f>
        <v>943636.66999999981</v>
      </c>
      <c r="BQ100" s="6"/>
      <c r="BR100" s="6">
        <v>0</v>
      </c>
      <c r="BS100" s="6"/>
      <c r="BT100" s="6">
        <f t="shared" ref="BT100:BT106" si="29">IF(+R100-BP100+BR100&gt;0,R100-BP100+BR100,0)</f>
        <v>0</v>
      </c>
      <c r="BV100" s="6">
        <f t="shared" ref="BV100:BV105" si="30">+BP100+BT100</f>
        <v>943636.66999999981</v>
      </c>
      <c r="BX100" s="6">
        <f t="shared" ref="BX100:BX105" si="31">+R100-BV100</f>
        <v>-13836.669999999809</v>
      </c>
      <c r="BY100" s="6"/>
    </row>
    <row r="101" spans="1:77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v>0</v>
      </c>
      <c r="BO101" s="6"/>
      <c r="BP101" s="6">
        <f t="shared" si="28"/>
        <v>2840670.66</v>
      </c>
      <c r="BQ101" s="6"/>
      <c r="BR101" s="6">
        <v>-29</v>
      </c>
      <c r="BS101" s="6"/>
      <c r="BT101" s="6">
        <f t="shared" si="29"/>
        <v>0.33999999985098839</v>
      </c>
      <c r="BV101" s="6">
        <f t="shared" si="30"/>
        <v>2840671</v>
      </c>
      <c r="BX101" s="6">
        <f t="shared" si="31"/>
        <v>29</v>
      </c>
      <c r="BY101" s="6"/>
    </row>
    <row r="102" spans="1:77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v>0</v>
      </c>
      <c r="BO102" s="6"/>
      <c r="BP102" s="6">
        <f t="shared" si="28"/>
        <v>0</v>
      </c>
      <c r="BQ102" s="6"/>
      <c r="BR102" s="6">
        <v>0</v>
      </c>
      <c r="BS102" s="6"/>
      <c r="BT102" s="6">
        <f t="shared" si="29"/>
        <v>0</v>
      </c>
      <c r="BV102" s="6">
        <f t="shared" si="30"/>
        <v>0</v>
      </c>
      <c r="BX102" s="6">
        <f t="shared" si="31"/>
        <v>0</v>
      </c>
      <c r="BY102" s="6"/>
    </row>
    <row r="103" spans="1:77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v>0</v>
      </c>
      <c r="BO103" s="12"/>
      <c r="BP103" s="12">
        <f t="shared" si="28"/>
        <v>0</v>
      </c>
      <c r="BQ103" s="6"/>
      <c r="BR103" s="12">
        <v>0</v>
      </c>
      <c r="BS103" s="6"/>
      <c r="BT103" s="6">
        <f t="shared" si="29"/>
        <v>0</v>
      </c>
      <c r="BU103" s="12"/>
      <c r="BV103" s="6">
        <f t="shared" si="30"/>
        <v>0</v>
      </c>
      <c r="BW103" s="12"/>
      <c r="BX103" s="6">
        <f t="shared" si="31"/>
        <v>0</v>
      </c>
      <c r="BY103" s="12"/>
    </row>
    <row r="104" spans="1:77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4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v>0</v>
      </c>
      <c r="BO104" s="12"/>
      <c r="BP104" s="12">
        <f t="shared" si="28"/>
        <v>0</v>
      </c>
      <c r="BQ104" s="12"/>
      <c r="BR104" s="12">
        <v>0</v>
      </c>
      <c r="BS104" s="12"/>
      <c r="BT104" s="6">
        <f t="shared" si="29"/>
        <v>0</v>
      </c>
      <c r="BU104" s="12"/>
      <c r="BV104" s="6">
        <f t="shared" si="30"/>
        <v>0</v>
      </c>
      <c r="BW104" s="12"/>
      <c r="BX104" s="6">
        <f t="shared" si="31"/>
        <v>0</v>
      </c>
      <c r="BY104" s="12"/>
    </row>
    <row r="105" spans="1:77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v>0</v>
      </c>
      <c r="BO105" s="12"/>
      <c r="BP105" s="12">
        <f t="shared" si="28"/>
        <v>0</v>
      </c>
      <c r="BQ105" s="6"/>
      <c r="BR105" s="12">
        <v>0</v>
      </c>
      <c r="BS105" s="6"/>
      <c r="BT105" s="6">
        <v>0</v>
      </c>
      <c r="BU105" s="12"/>
      <c r="BV105" s="9">
        <f t="shared" si="30"/>
        <v>0</v>
      </c>
      <c r="BW105" s="12"/>
      <c r="BX105" s="6">
        <f t="shared" si="31"/>
        <v>0</v>
      </c>
      <c r="BY105" s="12"/>
    </row>
    <row r="106" spans="1:77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6"/>
      <c r="BR106" s="12"/>
      <c r="BS106" s="6"/>
      <c r="BT106" s="6">
        <f t="shared" si="29"/>
        <v>0</v>
      </c>
      <c r="BU106" s="12"/>
      <c r="BV106" s="12"/>
      <c r="BW106" s="12"/>
      <c r="BX106" s="12"/>
      <c r="BY106" s="12"/>
    </row>
    <row r="107" spans="1:77" s="114" customFormat="1">
      <c r="A107" s="286"/>
      <c r="B107" s="113" t="s">
        <v>244</v>
      </c>
      <c r="J107" s="155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5"/>
      <c r="BN107" s="116">
        <f>SUM(BN100:BN106)</f>
        <v>0</v>
      </c>
      <c r="BO107" s="115"/>
      <c r="BP107" s="116">
        <f>SUM(BP100:BP106)</f>
        <v>3784307.33</v>
      </c>
      <c r="BQ107" s="115"/>
      <c r="BR107" s="116">
        <f>SUM(BR100:BR106)</f>
        <v>-29</v>
      </c>
      <c r="BS107" s="115"/>
      <c r="BT107" s="116">
        <f>SUM(BT100:BT106)</f>
        <v>0.33999999985098839</v>
      </c>
      <c r="BU107" s="115"/>
      <c r="BV107" s="116">
        <f>SUM(BV100:BV106)</f>
        <v>3784307.67</v>
      </c>
      <c r="BW107" s="115"/>
      <c r="BX107" s="116">
        <f>SUM(BX100:BX106)</f>
        <v>-13807.669999999809</v>
      </c>
      <c r="BY107" s="117"/>
    </row>
    <row r="108" spans="1:77" customFormat="1">
      <c r="A108" s="30"/>
    </row>
    <row r="109" spans="1:77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</row>
    <row r="110" spans="1:77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v>0</v>
      </c>
      <c r="BO110" s="22"/>
      <c r="BP110" s="80">
        <f>SUM(T110:BO110)</f>
        <v>0</v>
      </c>
      <c r="BQ110" s="22"/>
      <c r="BR110" s="80">
        <v>0</v>
      </c>
      <c r="BS110" s="22"/>
      <c r="BT110" s="6">
        <f>IF(+R110-BP110+BR110&gt;0,R110-BP110+BR110,0)</f>
        <v>0</v>
      </c>
      <c r="BU110" s="22"/>
      <c r="BV110" s="6">
        <f>+BP110+BT110</f>
        <v>0</v>
      </c>
      <c r="BW110" s="22"/>
      <c r="BX110" s="6">
        <f>+R110-BV110</f>
        <v>0</v>
      </c>
      <c r="BY110" s="80"/>
    </row>
    <row r="111" spans="1:77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22"/>
      <c r="BX111" s="80"/>
      <c r="BY111" s="80"/>
    </row>
    <row r="112" spans="1:77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  <c r="BX112" s="108">
        <f>SUM(BX110:BX111)</f>
        <v>0</v>
      </c>
      <c r="BY112" s="16"/>
    </row>
    <row r="113" spans="1:77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</row>
    <row r="114" spans="1:77" s="105" customFormat="1">
      <c r="A114" s="241" t="s">
        <v>246</v>
      </c>
      <c r="B114" s="63"/>
      <c r="J114" s="156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</row>
    <row r="115" spans="1:77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</row>
    <row r="116" spans="1:77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v>0</v>
      </c>
      <c r="BO116" s="22"/>
      <c r="BP116" s="22">
        <f t="shared" ref="BP116:BP125" si="33">SUM(T116:BO116)</f>
        <v>0</v>
      </c>
      <c r="BQ116" s="22"/>
      <c r="BR116" s="22">
        <v>0</v>
      </c>
      <c r="BS116" s="22"/>
      <c r="BT116" s="22">
        <f t="shared" ref="BT116:BT125" si="34">+R116-BP116+BR116</f>
        <v>0</v>
      </c>
      <c r="BU116" s="22"/>
      <c r="BV116" s="6">
        <f t="shared" ref="BV116:BV125" si="35">+BP116+BT116</f>
        <v>0</v>
      </c>
      <c r="BW116" s="22"/>
      <c r="BX116" s="6">
        <f t="shared" ref="BX116:BX125" si="36">+R116-BV116</f>
        <v>0</v>
      </c>
      <c r="BY116" s="22"/>
    </row>
    <row r="117" spans="1:77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v>0</v>
      </c>
      <c r="BO117" s="22"/>
      <c r="BP117" s="22">
        <f t="shared" si="33"/>
        <v>0</v>
      </c>
      <c r="BQ117" s="22"/>
      <c r="BR117" s="22">
        <v>0</v>
      </c>
      <c r="BS117" s="22"/>
      <c r="BT117" s="22">
        <f t="shared" si="34"/>
        <v>0</v>
      </c>
      <c r="BU117" s="22"/>
      <c r="BV117" s="6">
        <f t="shared" si="35"/>
        <v>0</v>
      </c>
      <c r="BW117" s="22"/>
      <c r="BX117" s="6">
        <f t="shared" si="36"/>
        <v>0</v>
      </c>
      <c r="BY117" s="22"/>
    </row>
    <row r="118" spans="1:77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v>0</v>
      </c>
      <c r="BO118" s="22"/>
      <c r="BP118" s="22">
        <f t="shared" si="33"/>
        <v>0</v>
      </c>
      <c r="BQ118" s="22"/>
      <c r="BR118" s="22">
        <v>0</v>
      </c>
      <c r="BS118" s="22"/>
      <c r="BT118" s="22">
        <f t="shared" si="34"/>
        <v>0</v>
      </c>
      <c r="BU118" s="22"/>
      <c r="BV118" s="6">
        <f t="shared" si="35"/>
        <v>0</v>
      </c>
      <c r="BW118" s="22"/>
      <c r="BX118" s="6">
        <f t="shared" si="36"/>
        <v>0</v>
      </c>
      <c r="BY118" s="22"/>
    </row>
    <row r="119" spans="1:77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v>0</v>
      </c>
      <c r="BO119" s="22"/>
      <c r="BP119" s="22">
        <f t="shared" si="33"/>
        <v>0</v>
      </c>
      <c r="BQ119" s="22"/>
      <c r="BR119" s="22">
        <v>0</v>
      </c>
      <c r="BS119" s="22"/>
      <c r="BT119" s="22">
        <f t="shared" si="34"/>
        <v>0</v>
      </c>
      <c r="BU119" s="22"/>
      <c r="BV119" s="6">
        <f t="shared" si="35"/>
        <v>0</v>
      </c>
      <c r="BW119" s="22"/>
      <c r="BX119" s="6">
        <f t="shared" si="36"/>
        <v>0</v>
      </c>
      <c r="BY119" s="22"/>
    </row>
    <row r="120" spans="1:77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v>0</v>
      </c>
      <c r="BO120" s="22"/>
      <c r="BP120" s="22">
        <f t="shared" si="33"/>
        <v>0</v>
      </c>
      <c r="BQ120" s="22"/>
      <c r="BR120" s="22">
        <v>0</v>
      </c>
      <c r="BS120" s="22"/>
      <c r="BT120" s="22">
        <f t="shared" si="34"/>
        <v>0</v>
      </c>
      <c r="BU120" s="22"/>
      <c r="BV120" s="6">
        <f t="shared" si="35"/>
        <v>0</v>
      </c>
      <c r="BW120" s="22"/>
      <c r="BX120" s="6">
        <f t="shared" si="36"/>
        <v>0</v>
      </c>
      <c r="BY120" s="22"/>
    </row>
    <row r="121" spans="1:77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v>0</v>
      </c>
      <c r="BO121" s="22"/>
      <c r="BP121" s="22">
        <f t="shared" si="33"/>
        <v>0</v>
      </c>
      <c r="BQ121" s="22"/>
      <c r="BR121" s="22">
        <v>0</v>
      </c>
      <c r="BS121" s="22"/>
      <c r="BT121" s="22">
        <f t="shared" si="34"/>
        <v>0</v>
      </c>
      <c r="BU121" s="22"/>
      <c r="BV121" s="6">
        <f t="shared" si="35"/>
        <v>0</v>
      </c>
      <c r="BW121" s="22"/>
      <c r="BX121" s="6">
        <f t="shared" si="36"/>
        <v>0</v>
      </c>
      <c r="BY121" s="22"/>
    </row>
    <row r="122" spans="1:77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v>0</v>
      </c>
      <c r="BO122" s="22"/>
      <c r="BP122" s="22">
        <f t="shared" si="33"/>
        <v>0</v>
      </c>
      <c r="BQ122" s="22"/>
      <c r="BR122" s="22">
        <v>0</v>
      </c>
      <c r="BS122" s="22"/>
      <c r="BT122" s="22">
        <f t="shared" si="34"/>
        <v>0</v>
      </c>
      <c r="BU122" s="22"/>
      <c r="BV122" s="6">
        <f t="shared" si="35"/>
        <v>0</v>
      </c>
      <c r="BW122" s="22"/>
      <c r="BX122" s="6">
        <f t="shared" si="36"/>
        <v>0</v>
      </c>
      <c r="BY122" s="22"/>
    </row>
    <row r="123" spans="1:77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v>0</v>
      </c>
      <c r="BO123" s="22"/>
      <c r="BP123" s="22">
        <f t="shared" si="33"/>
        <v>0</v>
      </c>
      <c r="BQ123" s="22"/>
      <c r="BR123" s="22">
        <v>0</v>
      </c>
      <c r="BS123" s="22"/>
      <c r="BT123" s="22">
        <f t="shared" si="34"/>
        <v>0</v>
      </c>
      <c r="BU123" s="22"/>
      <c r="BV123" s="6">
        <f t="shared" si="35"/>
        <v>0</v>
      </c>
      <c r="BW123" s="22"/>
      <c r="BX123" s="6">
        <f t="shared" si="36"/>
        <v>0</v>
      </c>
      <c r="BY123" s="22"/>
    </row>
    <row r="124" spans="1:77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4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v>0</v>
      </c>
      <c r="BO124" s="80"/>
      <c r="BP124" s="80">
        <f t="shared" si="33"/>
        <v>0</v>
      </c>
      <c r="BQ124" s="80"/>
      <c r="BR124" s="80">
        <v>0</v>
      </c>
      <c r="BS124" s="80"/>
      <c r="BT124" s="80">
        <f t="shared" si="34"/>
        <v>0</v>
      </c>
      <c r="BU124" s="80"/>
      <c r="BV124" s="6">
        <f t="shared" si="35"/>
        <v>0</v>
      </c>
      <c r="BW124" s="80"/>
      <c r="BX124" s="6">
        <f t="shared" si="36"/>
        <v>0</v>
      </c>
      <c r="BY124" s="80"/>
    </row>
    <row r="125" spans="1:77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4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v>0</v>
      </c>
      <c r="BO125" s="80"/>
      <c r="BP125" s="80">
        <f t="shared" si="33"/>
        <v>0</v>
      </c>
      <c r="BQ125" s="80"/>
      <c r="BR125" s="80">
        <v>0</v>
      </c>
      <c r="BS125" s="80"/>
      <c r="BT125" s="80">
        <f t="shared" si="34"/>
        <v>0</v>
      </c>
      <c r="BU125" s="80"/>
      <c r="BV125" s="6">
        <f t="shared" si="35"/>
        <v>0</v>
      </c>
      <c r="BW125" s="80"/>
      <c r="BX125" s="6">
        <f t="shared" si="36"/>
        <v>0</v>
      </c>
      <c r="BY125" s="80"/>
    </row>
    <row r="126" spans="1:77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4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</row>
    <row r="127" spans="1:77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6"/>
      <c r="BX127" s="108">
        <f>SUM(BX116:BX126)</f>
        <v>0</v>
      </c>
      <c r="BY127" s="103"/>
    </row>
    <row r="128" spans="1:77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</row>
    <row r="129" spans="1:77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</row>
    <row r="130" spans="1:77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Q130" s="6"/>
      <c r="BR130" s="6"/>
      <c r="BS130" s="6"/>
      <c r="BU130" s="22"/>
      <c r="BW130" s="22"/>
      <c r="BY130" s="6"/>
    </row>
    <row r="131" spans="1:77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v>0</v>
      </c>
      <c r="BO131" s="6"/>
      <c r="BP131" s="6">
        <f>SUM(T131:BO131)</f>
        <v>185000</v>
      </c>
      <c r="BQ131" s="6"/>
      <c r="BR131" s="6">
        <v>0</v>
      </c>
      <c r="BS131" s="6"/>
      <c r="BT131" s="6">
        <f>IF(+R131-BP131+BR131&gt;0,R131-BP131+BR131,0)</f>
        <v>0</v>
      </c>
      <c r="BU131" s="22"/>
      <c r="BV131" s="6">
        <f>+BP131+BT131</f>
        <v>185000</v>
      </c>
      <c r="BW131" s="22"/>
      <c r="BX131" s="6">
        <f>+R131-BV131</f>
        <v>0</v>
      </c>
      <c r="BY131" s="6"/>
    </row>
    <row r="132" spans="1:77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/>
      <c r="BN132" s="6">
        <v>0</v>
      </c>
      <c r="BO132" s="6"/>
      <c r="BP132" s="6">
        <f>SUM(T132:BO132)</f>
        <v>898386.16</v>
      </c>
      <c r="BQ132" s="6"/>
      <c r="BR132" s="6">
        <v>0</v>
      </c>
      <c r="BS132" s="6"/>
      <c r="BT132" s="6">
        <f>IF(+R132-BP132+BR132&gt;0,R132-BP132+BR132,0)</f>
        <v>0</v>
      </c>
      <c r="BU132" s="22"/>
      <c r="BV132" s="6">
        <f>+BP132+BT132</f>
        <v>898386.16</v>
      </c>
      <c r="BW132" s="22"/>
      <c r="BX132" s="6">
        <f>+R132-BV132</f>
        <v>-174600.16000000003</v>
      </c>
      <c r="BY132" s="6"/>
    </row>
    <row r="133" spans="1:77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+R133-BP133+BR133</f>
        <v>0</v>
      </c>
      <c r="BU133" s="22"/>
      <c r="BV133" s="6">
        <f>+BP133+BT133</f>
        <v>0</v>
      </c>
      <c r="BW133" s="22"/>
      <c r="BX133" s="6">
        <f>+R133-BV133</f>
        <v>0</v>
      </c>
      <c r="BY133" s="6"/>
    </row>
    <row r="134" spans="1:77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9"/>
      <c r="BN134" s="102">
        <f>SUM(BN131:BN133)</f>
        <v>0</v>
      </c>
      <c r="BO134" s="9"/>
      <c r="BP134" s="102">
        <f>SUM(BP131:BP133)</f>
        <v>1083386.1600000001</v>
      </c>
      <c r="BQ134" s="9"/>
      <c r="BR134" s="102">
        <f>SUM(BR131:BR133)</f>
        <v>0</v>
      </c>
      <c r="BS134" s="9"/>
      <c r="BT134" s="102">
        <f>SUM(BT131:BT133)</f>
        <v>0</v>
      </c>
      <c r="BU134" s="16"/>
      <c r="BV134" s="102">
        <f>SUM(BV131:BV133)</f>
        <v>1083386.1600000001</v>
      </c>
      <c r="BW134" s="16"/>
      <c r="BX134" s="102">
        <f>SUM(BX131:BX133)</f>
        <v>-174600.16000000003</v>
      </c>
      <c r="BY134" s="9"/>
    </row>
    <row r="135" spans="1:77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9"/>
      <c r="BT135" s="10"/>
      <c r="BU135" s="16"/>
      <c r="BV135" s="10"/>
      <c r="BW135" s="16"/>
      <c r="BX135" s="10"/>
      <c r="BY135" s="9"/>
    </row>
    <row r="136" spans="1:77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9">
        <v>0</v>
      </c>
      <c r="BO136" s="9"/>
      <c r="BP136" s="16">
        <f>SUM(T136:BO136)</f>
        <v>112320.7</v>
      </c>
      <c r="BQ136" s="9"/>
      <c r="BR136" s="9">
        <v>0</v>
      </c>
      <c r="BS136" s="9"/>
      <c r="BT136" s="6">
        <f>IF(+R136-BP136+BR136&gt;0,R136-BP136+BR136,0)</f>
        <v>0</v>
      </c>
      <c r="BU136" s="9"/>
      <c r="BV136" s="9">
        <f>+BP136+BT136</f>
        <v>112320.7</v>
      </c>
      <c r="BW136" s="9"/>
      <c r="BX136" s="9">
        <f>+R136-BV136</f>
        <v>-112320.7</v>
      </c>
      <c r="BY136" s="9"/>
    </row>
    <row r="137" spans="1:77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</row>
    <row r="138" spans="1:77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v>0</v>
      </c>
      <c r="BO138" s="9"/>
      <c r="BP138" s="9">
        <f>SUM(T138:BO138)</f>
        <v>0</v>
      </c>
      <c r="BQ138" s="9"/>
      <c r="BR138" s="9">
        <v>0</v>
      </c>
      <c r="BS138" s="9"/>
      <c r="BT138" s="6">
        <f>IF(+R138-BP138+BR138&gt;0,R138-BP138+BR138,0)</f>
        <v>0</v>
      </c>
      <c r="BU138" s="9"/>
      <c r="BV138" s="9">
        <f>+BP138+BT138</f>
        <v>0</v>
      </c>
      <c r="BW138" s="9"/>
      <c r="BX138" s="9">
        <f>+R138-BV138</f>
        <v>0</v>
      </c>
      <c r="BY138" s="9"/>
    </row>
    <row r="139" spans="1:77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</row>
    <row r="140" spans="1:77" s="31" customFormat="1">
      <c r="A140" s="58" t="s">
        <v>292</v>
      </c>
      <c r="J140" s="157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v>0</v>
      </c>
      <c r="BO140" s="10"/>
      <c r="BP140" s="10">
        <f>SUM(T140:BO140)</f>
        <v>0</v>
      </c>
      <c r="BQ140" s="10"/>
      <c r="BR140" s="10">
        <v>0</v>
      </c>
      <c r="BS140" s="10"/>
      <c r="BT140" s="6">
        <f>IF(+R140-BP140+BR140&gt;0,R140-BP140+BR140,0)</f>
        <v>675000</v>
      </c>
      <c r="BU140" s="10"/>
      <c r="BV140" s="9">
        <f>+BP140+BT140</f>
        <v>675000</v>
      </c>
      <c r="BW140" s="10"/>
      <c r="BX140" s="6">
        <f>+R140-BV140</f>
        <v>0</v>
      </c>
      <c r="BY140" s="10"/>
    </row>
    <row r="141" spans="1:77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</row>
    <row r="142" spans="1:77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/>
      <c r="BN142" s="9">
        <v>0</v>
      </c>
      <c r="BO142" s="9"/>
      <c r="BP142" s="9">
        <f>SUM(T142:BO142)</f>
        <v>33710</v>
      </c>
      <c r="BQ142" s="9"/>
      <c r="BR142" s="9">
        <v>0</v>
      </c>
      <c r="BS142" s="9"/>
      <c r="BT142" s="6">
        <f>IF(+R142-BP142+BR142&gt;0,R142-BP142+BR142,0)</f>
        <v>1213297</v>
      </c>
      <c r="BU142" s="16"/>
      <c r="BV142" s="9">
        <f>+BP142+BT142</f>
        <v>1247007</v>
      </c>
      <c r="BW142" s="16"/>
      <c r="BX142" s="6">
        <f>+R142-BV142</f>
        <v>0</v>
      </c>
      <c r="BY142" s="9"/>
    </row>
    <row r="143" spans="1:77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</row>
    <row r="144" spans="1:77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/>
      <c r="BQ144" s="6"/>
      <c r="BR144" s="6"/>
      <c r="BS144" s="6"/>
      <c r="BY144" s="6"/>
    </row>
    <row r="145" spans="1:77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v>0</v>
      </c>
      <c r="BO145" s="6"/>
      <c r="BP145" s="6">
        <f>SUM(T145:BO145)</f>
        <v>45010</v>
      </c>
      <c r="BQ145" s="6"/>
      <c r="BR145" s="6">
        <v>0</v>
      </c>
      <c r="BS145" s="6"/>
      <c r="BT145" s="6">
        <f>IF(+R145-BP145+BR145&gt;0,R145-BP145+BR145,0)</f>
        <v>0</v>
      </c>
      <c r="BV145" s="6">
        <f>+BP145+BT145</f>
        <v>45010</v>
      </c>
      <c r="BX145" s="6">
        <f>+R145-BV145</f>
        <v>-45010</v>
      </c>
      <c r="BY145" s="6"/>
    </row>
    <row r="146" spans="1:77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v>0</v>
      </c>
      <c r="BO146" s="6"/>
      <c r="BP146" s="6">
        <f>SUM(T146:BO146)</f>
        <v>0</v>
      </c>
      <c r="BQ146" s="6"/>
      <c r="BR146" s="6">
        <v>0</v>
      </c>
      <c r="BS146" s="6"/>
      <c r="BT146" s="6">
        <f>IF(+R146-BP146+BR146&gt;0,R146-BP146+BR146,0)</f>
        <v>0</v>
      </c>
      <c r="BV146" s="6">
        <f>+BP146+BT146</f>
        <v>0</v>
      </c>
      <c r="BX146" s="6">
        <f>+R146-BV146</f>
        <v>0</v>
      </c>
      <c r="BY146" s="6"/>
    </row>
    <row r="147" spans="1:77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v>54315</v>
      </c>
      <c r="BO147" s="6"/>
      <c r="BP147" s="6">
        <f>SUM(T147:BO147)</f>
        <v>492171</v>
      </c>
      <c r="BQ147" s="6"/>
      <c r="BR147" s="6">
        <v>54315</v>
      </c>
      <c r="BS147" s="6"/>
      <c r="BT147" s="6">
        <f>IF(+R147-BP147+BR147&gt;0,R147-BP147+BR147,0)</f>
        <v>0</v>
      </c>
      <c r="BV147" s="6">
        <f>+BP147+BT147</f>
        <v>492171</v>
      </c>
      <c r="BX147" s="6">
        <f>+R147-BV147</f>
        <v>-123130</v>
      </c>
      <c r="BY147" s="6"/>
    </row>
    <row r="148" spans="1:77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Q148" s="6"/>
      <c r="BR148" s="6"/>
      <c r="BS148" s="6"/>
      <c r="BT148" s="6">
        <f>IF(+R148-BP148+BR148&gt;0,R148-BP148+BR148,0)</f>
        <v>0</v>
      </c>
      <c r="BV148" s="6">
        <f>+BP148+BT148</f>
        <v>0</v>
      </c>
      <c r="BX148" s="6">
        <f>+R148-BV148</f>
        <v>0</v>
      </c>
      <c r="BY148" s="6"/>
    </row>
    <row r="149" spans="1:77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54315</v>
      </c>
      <c r="BO149" s="9"/>
      <c r="BP149" s="102">
        <f>SUM(BP145:BP148)</f>
        <v>537181</v>
      </c>
      <c r="BQ149" s="9"/>
      <c r="BR149" s="102">
        <f>SUM(BR145:BR148)</f>
        <v>54315</v>
      </c>
      <c r="BS149" s="9"/>
      <c r="BT149" s="102">
        <f>SUM(BT145:BT148)</f>
        <v>0</v>
      </c>
      <c r="BU149" s="9"/>
      <c r="BV149" s="102">
        <f>SUM(BV145:BV148)</f>
        <v>537181</v>
      </c>
      <c r="BW149" s="9"/>
      <c r="BX149" s="102">
        <f>SUM(BX145:BX148)</f>
        <v>-168140</v>
      </c>
      <c r="BY149" s="9"/>
    </row>
    <row r="150" spans="1:77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</row>
    <row r="151" spans="1:77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Q151" s="6"/>
      <c r="BR151" s="6"/>
      <c r="BS151" s="6"/>
      <c r="BY151" s="6"/>
    </row>
    <row r="152" spans="1:77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v>0</v>
      </c>
      <c r="BO152" s="6"/>
      <c r="BP152" s="6">
        <f t="shared" ref="BP152:BP157" si="37">SUM(T152:BO152)</f>
        <v>69419</v>
      </c>
      <c r="BQ152" s="6"/>
      <c r="BR152" s="225">
        <v>0</v>
      </c>
      <c r="BS152" s="6"/>
      <c r="BT152" s="6">
        <f t="shared" ref="BT152:BT158" si="38">IF(+R152-BP152+BR152&gt;0,R152-BP152+BR152,0)</f>
        <v>0</v>
      </c>
      <c r="BV152" s="6">
        <f t="shared" ref="BV152:BV157" si="39">+BP152+BT152</f>
        <v>69419</v>
      </c>
      <c r="BX152" s="6">
        <f t="shared" ref="BX152:BX157" si="40">+R152-BV152</f>
        <v>0</v>
      </c>
      <c r="BY152" s="6"/>
    </row>
    <row r="153" spans="1:77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v>0</v>
      </c>
      <c r="BO153" s="6"/>
      <c r="BP153" s="6">
        <f t="shared" si="37"/>
        <v>0</v>
      </c>
      <c r="BQ153" s="6"/>
      <c r="BR153" s="225">
        <v>0</v>
      </c>
      <c r="BS153" s="6"/>
      <c r="BT153" s="6">
        <f t="shared" si="38"/>
        <v>0</v>
      </c>
      <c r="BV153" s="6">
        <f t="shared" si="39"/>
        <v>0</v>
      </c>
      <c r="BX153" s="6">
        <f t="shared" si="40"/>
        <v>0</v>
      </c>
      <c r="BY153" s="6"/>
    </row>
    <row r="154" spans="1:77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v>0</v>
      </c>
      <c r="BO154" s="6"/>
      <c r="BP154" s="6">
        <f t="shared" si="37"/>
        <v>501836.64</v>
      </c>
      <c r="BQ154" s="6"/>
      <c r="BR154" s="225">
        <v>0</v>
      </c>
      <c r="BS154" s="6"/>
      <c r="BT154" s="6">
        <f t="shared" si="38"/>
        <v>0</v>
      </c>
      <c r="BV154" s="6">
        <f t="shared" si="39"/>
        <v>501836.64</v>
      </c>
      <c r="BX154" s="6">
        <f t="shared" si="40"/>
        <v>-501836.64</v>
      </c>
      <c r="BY154" s="6"/>
    </row>
    <row r="155" spans="1:77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/>
      <c r="BN155" s="6">
        <v>0</v>
      </c>
      <c r="BO155" s="6"/>
      <c r="BP155" s="6">
        <f t="shared" si="37"/>
        <v>35600.880000000005</v>
      </c>
      <c r="BQ155" s="6"/>
      <c r="BR155" s="225">
        <v>0</v>
      </c>
      <c r="BS155" s="6"/>
      <c r="BT155" s="6">
        <f t="shared" si="38"/>
        <v>0</v>
      </c>
      <c r="BV155" s="6">
        <f t="shared" si="39"/>
        <v>35600.880000000005</v>
      </c>
      <c r="BX155" s="6">
        <f t="shared" si="40"/>
        <v>-35600.880000000005</v>
      </c>
      <c r="BY155" s="6"/>
    </row>
    <row r="156" spans="1:77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v>0</v>
      </c>
      <c r="BO156" s="6"/>
      <c r="BP156" s="6">
        <f t="shared" si="37"/>
        <v>0</v>
      </c>
      <c r="BQ156" s="6"/>
      <c r="BR156" s="225">
        <v>0</v>
      </c>
      <c r="BS156" s="6"/>
      <c r="BT156" s="6">
        <f t="shared" si="38"/>
        <v>0</v>
      </c>
      <c r="BV156" s="6">
        <f t="shared" si="39"/>
        <v>0</v>
      </c>
      <c r="BX156" s="6">
        <f t="shared" si="40"/>
        <v>0</v>
      </c>
      <c r="BY156" s="6"/>
    </row>
    <row r="157" spans="1:77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/>
      <c r="BP157" s="6">
        <f t="shared" si="37"/>
        <v>638626.94999999995</v>
      </c>
      <c r="BQ157" s="6"/>
      <c r="BR157" s="225">
        <v>0</v>
      </c>
      <c r="BS157" s="6"/>
      <c r="BT157" s="6">
        <f t="shared" si="38"/>
        <v>0</v>
      </c>
      <c r="BV157" s="6">
        <f t="shared" si="39"/>
        <v>638626.94999999995</v>
      </c>
      <c r="BX157" s="6">
        <f t="shared" si="40"/>
        <v>-168045.94999999995</v>
      </c>
      <c r="BY157" s="6"/>
    </row>
    <row r="158" spans="1:77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Q158" s="6"/>
      <c r="BR158" s="225"/>
      <c r="BS158" s="6"/>
      <c r="BT158" s="6">
        <f t="shared" si="38"/>
        <v>0</v>
      </c>
      <c r="BY158" s="6"/>
    </row>
    <row r="159" spans="1:77" s="21" customFormat="1">
      <c r="A159" s="287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9"/>
      <c r="BN159" s="102">
        <f>SUM(BN152:BN158)</f>
        <v>0</v>
      </c>
      <c r="BO159" s="9"/>
      <c r="BP159" s="102">
        <f>SUM(BP152:BP158)</f>
        <v>1245483.47</v>
      </c>
      <c r="BQ159" s="9"/>
      <c r="BR159" s="102">
        <f>SUM(BR152:BR158)</f>
        <v>0</v>
      </c>
      <c r="BS159" s="9"/>
      <c r="BT159" s="102">
        <f>SUM(BT152:BT158)</f>
        <v>0</v>
      </c>
      <c r="BU159" s="9"/>
      <c r="BV159" s="102">
        <f>SUM(BV152:BV158)</f>
        <v>1245483.47</v>
      </c>
      <c r="BW159" s="9"/>
      <c r="BX159" s="102">
        <f>SUM(BX152:BX158)</f>
        <v>-705483.47</v>
      </c>
      <c r="BY159" s="9"/>
    </row>
    <row r="160" spans="1:77" s="21" customFormat="1">
      <c r="A160" s="287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  <c r="BX160" s="10"/>
      <c r="BY160" s="9"/>
    </row>
    <row r="161" spans="1:76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Q161" s="6"/>
      <c r="BR161" s="6"/>
      <c r="BS161" s="6"/>
      <c r="BX161" s="4"/>
    </row>
    <row r="162" spans="1:76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/>
      <c r="BN162" s="6">
        <v>0</v>
      </c>
      <c r="BO162" s="6"/>
      <c r="BP162" s="6">
        <f>SUM(T162:BO162)</f>
        <v>145668.99</v>
      </c>
      <c r="BQ162" s="6"/>
      <c r="BR162" s="6">
        <v>0</v>
      </c>
      <c r="BS162" s="6"/>
      <c r="BT162" s="6">
        <v>225000</v>
      </c>
      <c r="BV162" s="6">
        <f>+BP162+BT162</f>
        <v>370668.99</v>
      </c>
      <c r="BX162" s="6">
        <f t="shared" ref="BX162:BX181" si="41">+R162-BV162</f>
        <v>-310668.99</v>
      </c>
    </row>
    <row r="163" spans="1:76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v>0</v>
      </c>
      <c r="BO163" s="6"/>
      <c r="BP163" s="6">
        <f>SUM(T163:BO163)</f>
        <v>58683.839999999997</v>
      </c>
      <c r="BQ163" s="6"/>
      <c r="BR163" s="6">
        <v>0</v>
      </c>
      <c r="BS163" s="6"/>
      <c r="BT163" s="6">
        <f>IF(+R163-BP163+BR163&gt;0,R163-BP163+BR163,0)</f>
        <v>0</v>
      </c>
      <c r="BV163" s="6">
        <f>+BP163+BT163</f>
        <v>58683.839999999997</v>
      </c>
      <c r="BX163" s="6">
        <f t="shared" si="41"/>
        <v>-23683.839999999997</v>
      </c>
    </row>
    <row r="164" spans="1:76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3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8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/>
      <c r="BP164" s="6">
        <f>SUM(T164:BO164)</f>
        <v>1273949</v>
      </c>
      <c r="BQ164" s="6"/>
      <c r="BR164" s="6"/>
      <c r="BS164" s="6"/>
      <c r="BT164" s="6">
        <f>IF(+R164-BP164+BR164&gt;0,R164-BP164+BR164,0)</f>
        <v>330364</v>
      </c>
      <c r="BV164" s="6">
        <f>+BP164+BT164</f>
        <v>1604313</v>
      </c>
      <c r="BX164" s="6">
        <f t="shared" si="41"/>
        <v>0</v>
      </c>
    </row>
    <row r="165" spans="1:76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3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/>
      <c r="BP165" s="6">
        <f t="shared" ref="BP165:BP181" si="42">SUM(T165:BO165)</f>
        <v>764455</v>
      </c>
      <c r="BQ165" s="6"/>
      <c r="BR165" s="6"/>
      <c r="BS165" s="6"/>
      <c r="BT165" s="6">
        <f t="shared" ref="BT165:BT176" si="43">IF(+R165-BP165+BR165&gt;0,R165-BP165+BR165,0)</f>
        <v>0</v>
      </c>
      <c r="BV165" s="6">
        <f t="shared" ref="BV165:BV181" si="44">+BP165+BT165</f>
        <v>764455</v>
      </c>
      <c r="BX165" s="6">
        <f t="shared" si="41"/>
        <v>-8092</v>
      </c>
    </row>
    <row r="166" spans="1:76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3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/>
      <c r="BP166" s="6">
        <f t="shared" si="42"/>
        <v>12</v>
      </c>
      <c r="BQ166" s="6"/>
      <c r="BR166" s="6"/>
      <c r="BS166" s="6"/>
      <c r="BT166" s="6">
        <f t="shared" si="43"/>
        <v>21060</v>
      </c>
      <c r="BV166" s="6">
        <f t="shared" si="44"/>
        <v>21072</v>
      </c>
      <c r="BX166" s="6">
        <f t="shared" si="41"/>
        <v>0</v>
      </c>
    </row>
    <row r="167" spans="1:76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3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/>
      <c r="BP167" s="6">
        <f t="shared" si="42"/>
        <v>165140</v>
      </c>
      <c r="BQ167" s="6"/>
      <c r="BR167" s="6"/>
      <c r="BS167" s="6"/>
      <c r="BT167" s="6">
        <f t="shared" si="43"/>
        <v>0</v>
      </c>
      <c r="BV167" s="6">
        <f t="shared" si="44"/>
        <v>165140</v>
      </c>
      <c r="BX167" s="6">
        <f t="shared" si="41"/>
        <v>-28424</v>
      </c>
    </row>
    <row r="168" spans="1:76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3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/>
      <c r="BP168" s="6">
        <f t="shared" si="42"/>
        <v>387185</v>
      </c>
      <c r="BQ168" s="6"/>
      <c r="BR168" s="6"/>
      <c r="BS168" s="6"/>
      <c r="BT168" s="6">
        <f t="shared" si="43"/>
        <v>31721</v>
      </c>
      <c r="BV168" s="6">
        <f t="shared" si="44"/>
        <v>418906</v>
      </c>
      <c r="BX168" s="6">
        <f t="shared" si="41"/>
        <v>0</v>
      </c>
    </row>
    <row r="169" spans="1:76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3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/>
      <c r="BP169" s="6">
        <f t="shared" si="42"/>
        <v>60493</v>
      </c>
      <c r="BQ169" s="6"/>
      <c r="BR169" s="6"/>
      <c r="BS169" s="6"/>
      <c r="BT169" s="6">
        <f t="shared" si="43"/>
        <v>19525</v>
      </c>
      <c r="BV169" s="6">
        <f t="shared" si="44"/>
        <v>80018</v>
      </c>
      <c r="BX169" s="6">
        <f t="shared" si="41"/>
        <v>0</v>
      </c>
    </row>
    <row r="170" spans="1:76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3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/>
      <c r="BP170" s="6">
        <f t="shared" si="42"/>
        <v>41255</v>
      </c>
      <c r="BQ170" s="6"/>
      <c r="BR170" s="6"/>
      <c r="BS170" s="6"/>
      <c r="BT170" s="6">
        <f t="shared" si="43"/>
        <v>8774</v>
      </c>
      <c r="BV170" s="6">
        <f t="shared" si="44"/>
        <v>50029</v>
      </c>
      <c r="BX170" s="6">
        <f t="shared" si="41"/>
        <v>0</v>
      </c>
    </row>
    <row r="171" spans="1:76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3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/>
      <c r="BP171" s="6">
        <f t="shared" si="42"/>
        <v>64530</v>
      </c>
      <c r="BQ171" s="6"/>
      <c r="BR171" s="6"/>
      <c r="BS171" s="6"/>
      <c r="BT171" s="6">
        <f t="shared" si="43"/>
        <v>0</v>
      </c>
      <c r="BV171" s="6">
        <f t="shared" si="44"/>
        <v>64530</v>
      </c>
      <c r="BX171" s="6">
        <f t="shared" si="41"/>
        <v>-2773</v>
      </c>
    </row>
    <row r="172" spans="1:76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3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/>
      <c r="BP172" s="6">
        <f t="shared" si="42"/>
        <v>6247</v>
      </c>
      <c r="BQ172" s="6"/>
      <c r="BR172" s="6"/>
      <c r="BS172" s="6"/>
      <c r="BT172" s="6">
        <f t="shared" si="43"/>
        <v>15715</v>
      </c>
      <c r="BV172" s="6">
        <f t="shared" si="44"/>
        <v>21962</v>
      </c>
      <c r="BX172" s="6">
        <f t="shared" si="41"/>
        <v>0</v>
      </c>
    </row>
    <row r="173" spans="1:76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3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/>
      <c r="BP173" s="6">
        <f t="shared" si="42"/>
        <v>91429</v>
      </c>
      <c r="BQ173" s="6"/>
      <c r="BR173" s="6"/>
      <c r="BS173" s="6"/>
      <c r="BT173" s="6">
        <f t="shared" si="43"/>
        <v>34084</v>
      </c>
      <c r="BV173" s="6">
        <f t="shared" si="44"/>
        <v>125513</v>
      </c>
      <c r="BX173" s="6">
        <f t="shared" si="41"/>
        <v>0</v>
      </c>
    </row>
    <row r="174" spans="1:76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3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/>
      <c r="BP174" s="6">
        <f t="shared" si="42"/>
        <v>265915</v>
      </c>
      <c r="BQ174" s="6"/>
      <c r="BR174" s="6"/>
      <c r="BS174" s="6"/>
      <c r="BT174" s="6">
        <f t="shared" si="43"/>
        <v>0</v>
      </c>
      <c r="BV174" s="6">
        <f t="shared" si="44"/>
        <v>265915</v>
      </c>
      <c r="BX174" s="6">
        <f t="shared" si="41"/>
        <v>-6785</v>
      </c>
    </row>
    <row r="175" spans="1:76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3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/>
      <c r="BP175" s="6">
        <f t="shared" si="42"/>
        <v>20551</v>
      </c>
      <c r="BQ175" s="6"/>
      <c r="BR175" s="6"/>
      <c r="BS175" s="6"/>
      <c r="BT175" s="6">
        <f t="shared" si="43"/>
        <v>9951</v>
      </c>
      <c r="BV175" s="6">
        <f t="shared" si="44"/>
        <v>30502</v>
      </c>
      <c r="BX175" s="6">
        <f t="shared" si="41"/>
        <v>0</v>
      </c>
    </row>
    <row r="176" spans="1:76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3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/>
      <c r="BP176" s="6">
        <f t="shared" si="42"/>
        <v>4772</v>
      </c>
      <c r="BQ176" s="6"/>
      <c r="BR176" s="6"/>
      <c r="BS176" s="6"/>
      <c r="BT176" s="6">
        <f t="shared" si="43"/>
        <v>8151</v>
      </c>
      <c r="BV176" s="6">
        <f t="shared" si="44"/>
        <v>12923</v>
      </c>
      <c r="BX176" s="6">
        <f t="shared" si="41"/>
        <v>0</v>
      </c>
    </row>
    <row r="177" spans="1:77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3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/>
      <c r="BP177" s="6">
        <f t="shared" si="42"/>
        <v>26579</v>
      </c>
      <c r="BQ177" s="6"/>
      <c r="BR177" s="6"/>
      <c r="BS177" s="6"/>
      <c r="BT177" s="6">
        <f>IF(+R177-BP177+BR177&gt;0,R177-BP177+BR177,0)</f>
        <v>2964</v>
      </c>
      <c r="BV177" s="6">
        <f t="shared" si="44"/>
        <v>29543</v>
      </c>
      <c r="BX177" s="6">
        <f t="shared" si="41"/>
        <v>0</v>
      </c>
    </row>
    <row r="178" spans="1:77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3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/>
      <c r="BP178" s="6">
        <f t="shared" si="42"/>
        <v>31667</v>
      </c>
      <c r="BQ178" s="6"/>
      <c r="BR178" s="6"/>
      <c r="BS178" s="6"/>
      <c r="BT178" s="6">
        <f>IF(+R178-BP178+BR178&gt;0,R178-BP178+BR178,0)</f>
        <v>0</v>
      </c>
      <c r="BV178" s="6">
        <f t="shared" si="44"/>
        <v>31667</v>
      </c>
      <c r="BX178" s="6">
        <f t="shared" si="41"/>
        <v>-276</v>
      </c>
    </row>
    <row r="179" spans="1:77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3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/>
      <c r="BP179" s="6">
        <f t="shared" si="42"/>
        <v>18519</v>
      </c>
      <c r="BQ179" s="6"/>
      <c r="BR179" s="6"/>
      <c r="BS179" s="6"/>
      <c r="BT179" s="6">
        <f>IF(+R179-BP179+BR179&gt;0,R179-BP179+BR179,0)</f>
        <v>3718</v>
      </c>
      <c r="BV179" s="6">
        <f t="shared" si="44"/>
        <v>22237</v>
      </c>
      <c r="BX179" s="6">
        <f t="shared" si="41"/>
        <v>0</v>
      </c>
    </row>
    <row r="180" spans="1:77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3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/>
      <c r="BN180" s="6">
        <v>-327840</v>
      </c>
      <c r="BO180" s="6"/>
      <c r="BP180" s="6">
        <f t="shared" si="42"/>
        <v>-267840</v>
      </c>
      <c r="BQ180" s="6"/>
      <c r="BR180" s="6"/>
      <c r="BS180" s="6"/>
      <c r="BT180" s="6">
        <v>-837000</v>
      </c>
      <c r="BV180" s="6">
        <f t="shared" si="44"/>
        <v>-1104840</v>
      </c>
      <c r="BX180" s="6">
        <f t="shared" si="41"/>
        <v>1104840</v>
      </c>
    </row>
    <row r="181" spans="1:77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3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>
        <f t="shared" si="42"/>
        <v>0</v>
      </c>
      <c r="BQ181" s="6"/>
      <c r="BR181" s="6">
        <v>1690117</v>
      </c>
      <c r="BS181" s="6"/>
      <c r="BT181" s="6">
        <f>IF(+R181-BP181+BR181&gt;0,R181-BP181+BR181,0)</f>
        <v>132742</v>
      </c>
      <c r="BV181" s="6">
        <f t="shared" si="44"/>
        <v>132742</v>
      </c>
      <c r="BX181" s="6">
        <f t="shared" si="41"/>
        <v>-1690117</v>
      </c>
    </row>
    <row r="182" spans="1:77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Y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-327840</v>
      </c>
      <c r="BO182" s="102">
        <f t="shared" si="45"/>
        <v>0</v>
      </c>
      <c r="BP182" s="102">
        <f t="shared" si="45"/>
        <v>3159210.83</v>
      </c>
      <c r="BQ182" s="102">
        <f t="shared" si="45"/>
        <v>0</v>
      </c>
      <c r="BR182" s="102">
        <f t="shared" si="45"/>
        <v>1690117</v>
      </c>
      <c r="BS182" s="102">
        <f t="shared" si="45"/>
        <v>0</v>
      </c>
      <c r="BT182" s="102">
        <f t="shared" si="45"/>
        <v>6769</v>
      </c>
      <c r="BU182" s="102">
        <f t="shared" si="45"/>
        <v>0</v>
      </c>
      <c r="BV182" s="102">
        <f t="shared" si="45"/>
        <v>3165979.83</v>
      </c>
      <c r="BW182" s="102">
        <f t="shared" si="45"/>
        <v>0</v>
      </c>
      <c r="BX182" s="102">
        <f t="shared" si="45"/>
        <v>-965979.83</v>
      </c>
      <c r="BY182" s="102">
        <f t="shared" si="45"/>
        <v>0</v>
      </c>
    </row>
    <row r="183" spans="1:77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  <c r="BV183" s="10"/>
      <c r="BW183" s="9"/>
    </row>
    <row r="184" spans="1:77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/>
      <c r="BN184" s="9">
        <v>0</v>
      </c>
      <c r="BO184" s="9"/>
      <c r="BP184" s="9">
        <f>SUM(T184:BO184)</f>
        <v>756879.77</v>
      </c>
      <c r="BQ184" s="9"/>
      <c r="BR184" s="9">
        <v>0</v>
      </c>
      <c r="BS184" s="9"/>
      <c r="BT184" s="6">
        <f>IF(+R184-BP184+BR184&gt;0,R184-BP184+BR184,0)</f>
        <v>343120.23</v>
      </c>
      <c r="BU184" s="9"/>
      <c r="BV184" s="9">
        <f>+BP184+BT184</f>
        <v>1100000</v>
      </c>
      <c r="BW184" s="9"/>
      <c r="BX184" s="9">
        <f>+R184-BV184</f>
        <v>0</v>
      </c>
      <c r="BY184" s="9"/>
    </row>
    <row r="185" spans="1:77" s="21" customFormat="1">
      <c r="A185" s="287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  <c r="BX185" s="10"/>
      <c r="BY185" s="9"/>
    </row>
    <row r="186" spans="1:77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</row>
    <row r="187" spans="1:77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v>0</v>
      </c>
      <c r="BO187" s="22"/>
      <c r="BP187" s="22">
        <f>SUM(T187:BO187)</f>
        <v>0</v>
      </c>
      <c r="BQ187" s="22"/>
      <c r="BR187" s="22">
        <v>0</v>
      </c>
      <c r="BS187" s="22"/>
      <c r="BT187" s="22">
        <f>+R187-BP187+BR187</f>
        <v>0</v>
      </c>
      <c r="BU187" s="22"/>
      <c r="BV187" s="6">
        <f>+BP187+BT187</f>
        <v>0</v>
      </c>
      <c r="BW187" s="22"/>
      <c r="BX187" s="6">
        <f>+R187-BV187</f>
        <v>0</v>
      </c>
      <c r="BY187" s="22"/>
    </row>
    <row r="188" spans="1:77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v>0</v>
      </c>
      <c r="BO188" s="22"/>
      <c r="BP188" s="22">
        <f>SUM(T188:BO188)</f>
        <v>1097879.92</v>
      </c>
      <c r="BQ188" s="22"/>
      <c r="BR188" s="22">
        <v>0</v>
      </c>
      <c r="BS188" s="22"/>
      <c r="BT188" s="6">
        <f>IF(+R188-BP188+BR188&gt;0,R188-BP188+BR188,0)</f>
        <v>0</v>
      </c>
      <c r="BU188" s="22"/>
      <c r="BV188" s="6">
        <f>+BP188+BT188</f>
        <v>1097879.92</v>
      </c>
      <c r="BW188" s="22"/>
      <c r="BX188" s="6">
        <f>+R188-BV188</f>
        <v>-597879.91999999993</v>
      </c>
      <c r="BY188" s="22"/>
    </row>
    <row r="189" spans="1:77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v>0</v>
      </c>
      <c r="BO189" s="22"/>
      <c r="BP189" s="22">
        <f>SUM(T189:BO189)</f>
        <v>0</v>
      </c>
      <c r="BQ189" s="22"/>
      <c r="BR189" s="22">
        <v>0</v>
      </c>
      <c r="BS189" s="22"/>
      <c r="BT189" s="22">
        <f>+R189-BP189+BR189</f>
        <v>0</v>
      </c>
      <c r="BU189" s="22"/>
      <c r="BV189" s="6">
        <f>+BP189+BT189</f>
        <v>0</v>
      </c>
      <c r="BW189" s="22"/>
      <c r="BX189" s="6">
        <f>+R189-BV189</f>
        <v>0</v>
      </c>
      <c r="BY189" s="22"/>
    </row>
    <row r="190" spans="1:77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0</v>
      </c>
      <c r="BO190" s="16"/>
      <c r="BP190" s="108">
        <f>SUM(BP187:BP189)</f>
        <v>1097879.92</v>
      </c>
      <c r="BQ190" s="16"/>
      <c r="BR190" s="108">
        <f>SUM(BR187:BR189)</f>
        <v>0</v>
      </c>
      <c r="BS190" s="16"/>
      <c r="BT190" s="108">
        <f>SUM(BT187:BT189)</f>
        <v>0</v>
      </c>
      <c r="BU190" s="16"/>
      <c r="BV190" s="108">
        <f>SUM(BV187:BV189)</f>
        <v>1097879.92</v>
      </c>
      <c r="BW190" s="16"/>
      <c r="BX190" s="108">
        <f>SUM(BX187:BX189)</f>
        <v>-597879.91999999993</v>
      </c>
      <c r="BY190" s="16"/>
    </row>
    <row r="191" spans="1:77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  <c r="BX191" s="103"/>
      <c r="BY191" s="16"/>
    </row>
    <row r="192" spans="1:77" s="31" customFormat="1">
      <c r="A192" s="58" t="s">
        <v>31</v>
      </c>
      <c r="J192" s="157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v>0</v>
      </c>
      <c r="BO192" s="10"/>
      <c r="BP192" s="10">
        <f>SUM(T192:BO192)</f>
        <v>200935.25</v>
      </c>
      <c r="BQ192" s="10"/>
      <c r="BR192" s="10">
        <v>0</v>
      </c>
      <c r="BS192" s="10"/>
      <c r="BT192" s="6">
        <f>IF(+R192-BP192+BR192&gt;0,R192-BP192+BR192,0)</f>
        <v>0</v>
      </c>
      <c r="BU192" s="10"/>
      <c r="BV192" s="9">
        <f>+BP192+BT192</f>
        <v>200935.25</v>
      </c>
      <c r="BW192" s="10"/>
      <c r="BX192" s="9">
        <f>+R192-BV192</f>
        <v>-935.25</v>
      </c>
      <c r="BY192" s="10"/>
    </row>
    <row r="193" spans="1:126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</row>
    <row r="194" spans="1:126" s="31" customFormat="1">
      <c r="A194" s="58" t="s">
        <v>32</v>
      </c>
      <c r="J194" s="157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/>
      <c r="BN194" s="10">
        <v>0</v>
      </c>
      <c r="BO194" s="10"/>
      <c r="BP194" s="10">
        <f>SUM(T194:BO194)</f>
        <v>112115.35</v>
      </c>
      <c r="BQ194" s="10"/>
      <c r="BR194" s="10">
        <v>-87885</v>
      </c>
      <c r="BS194" s="10"/>
      <c r="BT194" s="6">
        <f>IF(+R194-BP194+BR194&gt;0,R194-BP194+BR194,0)</f>
        <v>0</v>
      </c>
      <c r="BU194" s="10"/>
      <c r="BV194" s="9">
        <f>+BP194+BT194</f>
        <v>112115.35</v>
      </c>
      <c r="BW194" s="10"/>
      <c r="BX194" s="9">
        <f>+R194-BV194</f>
        <v>87884.65</v>
      </c>
      <c r="BY194" s="10"/>
    </row>
    <row r="195" spans="1:126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</row>
    <row r="196" spans="1:126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Q196" s="6"/>
      <c r="BR196" s="6"/>
      <c r="BS196" s="6"/>
      <c r="BY196" s="6"/>
    </row>
    <row r="197" spans="1:126" s="11" customFormat="1">
      <c r="A197" s="17"/>
      <c r="B197" s="11" t="s">
        <v>184</v>
      </c>
      <c r="J197" s="158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v>0</v>
      </c>
      <c r="BO197" s="12"/>
      <c r="BP197" s="12">
        <f t="shared" ref="BP197:BP202" si="46">SUM(T197:BO197)</f>
        <v>13179.81</v>
      </c>
      <c r="BQ197" s="12"/>
      <c r="BR197" s="12">
        <v>0</v>
      </c>
      <c r="BS197" s="12"/>
      <c r="BT197" s="6">
        <f>IF(+R197-BP197+BR197&gt;0,R197-BP197+BR197,0)</f>
        <v>86820.19</v>
      </c>
      <c r="BU197" s="12"/>
      <c r="BV197" s="6">
        <f t="shared" ref="BV197:BV202" si="47">+BP197+BT197</f>
        <v>100000</v>
      </c>
      <c r="BW197" s="12"/>
      <c r="BX197" s="6">
        <f t="shared" ref="BX197:BX202" si="48">+R197-BV197</f>
        <v>0</v>
      </c>
      <c r="BY197" s="12"/>
    </row>
    <row r="198" spans="1:126" s="11" customFormat="1">
      <c r="A198" s="17"/>
      <c r="B198" s="11" t="s">
        <v>34</v>
      </c>
      <c r="J198" s="158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v>0</v>
      </c>
      <c r="BO198" s="12"/>
      <c r="BP198" s="12">
        <f t="shared" si="46"/>
        <v>100904.54</v>
      </c>
      <c r="BQ198" s="12"/>
      <c r="BR198" s="12">
        <v>0</v>
      </c>
      <c r="BS198" s="12"/>
      <c r="BT198" s="6">
        <f>IF(+R198-BP198+BR198&gt;0,R198-BP198+BR198,0)</f>
        <v>49095.460000000006</v>
      </c>
      <c r="BU198" s="12"/>
      <c r="BV198" s="6">
        <f t="shared" si="47"/>
        <v>150000</v>
      </c>
      <c r="BW198" s="12"/>
      <c r="BX198" s="6">
        <f t="shared" si="48"/>
        <v>0</v>
      </c>
      <c r="BY198" s="12"/>
    </row>
    <row r="199" spans="1:126" s="11" customFormat="1">
      <c r="A199" s="17"/>
      <c r="B199" s="11" t="s">
        <v>217</v>
      </c>
      <c r="J199" s="158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v>0</v>
      </c>
      <c r="BO199" s="12"/>
      <c r="BP199" s="12">
        <f t="shared" si="46"/>
        <v>17043.53</v>
      </c>
      <c r="BQ199" s="12"/>
      <c r="BR199" s="12">
        <v>0</v>
      </c>
      <c r="BS199" s="12"/>
      <c r="BT199" s="6">
        <f>IF(+R199-BP199+BR199&gt;0,R199-BP199+BR199,0)</f>
        <v>7191.4700000000012</v>
      </c>
      <c r="BU199" s="12"/>
      <c r="BV199" s="6">
        <f t="shared" si="47"/>
        <v>24235</v>
      </c>
      <c r="BW199" s="12"/>
      <c r="BX199" s="6">
        <f t="shared" si="48"/>
        <v>0</v>
      </c>
      <c r="BY199" s="12"/>
    </row>
    <row r="200" spans="1:126" s="11" customFormat="1">
      <c r="A200" s="17"/>
      <c r="B200" s="11" t="s">
        <v>121</v>
      </c>
      <c r="J200" s="158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8835+10035-4578</f>
        <v>14292</v>
      </c>
      <c r="BM200" s="12"/>
      <c r="BN200" s="12"/>
      <c r="BO200" s="12"/>
      <c r="BP200" s="12">
        <f t="shared" si="46"/>
        <v>742397.99</v>
      </c>
      <c r="BQ200" s="12"/>
      <c r="BR200" s="12">
        <v>0</v>
      </c>
      <c r="BS200" s="12"/>
      <c r="BT200" s="6">
        <f>IF(+R200-BP200+BR200&gt;0,R200-BP200+BR200,0)</f>
        <v>0</v>
      </c>
      <c r="BU200" s="12"/>
      <c r="BV200" s="6">
        <f t="shared" si="47"/>
        <v>742397.99</v>
      </c>
      <c r="BW200" s="12"/>
      <c r="BX200" s="6">
        <f t="shared" si="48"/>
        <v>-616632.99</v>
      </c>
      <c r="BY200" s="12"/>
    </row>
    <row r="201" spans="1:126" s="11" customFormat="1">
      <c r="A201" s="17"/>
      <c r="B201" s="11" t="s">
        <v>333</v>
      </c>
      <c r="J201" s="158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>
        <f t="shared" si="46"/>
        <v>191012.90000000002</v>
      </c>
      <c r="BQ201" s="12"/>
      <c r="BR201" s="12"/>
      <c r="BS201" s="12"/>
      <c r="BT201" s="6">
        <f>IF(+R201-BP201+BR201&gt;0,R201-BP201+BR201,0)</f>
        <v>0</v>
      </c>
      <c r="BU201" s="12"/>
      <c r="BV201" s="6">
        <f t="shared" si="47"/>
        <v>191012.90000000002</v>
      </c>
      <c r="BW201" s="12"/>
      <c r="BX201" s="6">
        <f t="shared" si="48"/>
        <v>-191012.90000000002</v>
      </c>
      <c r="BY201" s="12"/>
    </row>
    <row r="202" spans="1:126" s="11" customFormat="1">
      <c r="A202" s="17"/>
      <c r="B202" s="11" t="s">
        <v>278</v>
      </c>
      <c r="J202" s="158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>
        <f t="shared" si="46"/>
        <v>32203.279999999999</v>
      </c>
      <c r="BQ202" s="12"/>
      <c r="BR202" s="12"/>
      <c r="BS202" s="12"/>
      <c r="BT202" s="6"/>
      <c r="BU202" s="12"/>
      <c r="BV202" s="6">
        <f t="shared" si="47"/>
        <v>32203.279999999999</v>
      </c>
      <c r="BW202" s="12"/>
      <c r="BX202" s="6">
        <f t="shared" si="48"/>
        <v>-32203.279999999999</v>
      </c>
      <c r="BY202" s="12"/>
    </row>
    <row r="203" spans="1:126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Y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14292</v>
      </c>
      <c r="BM203" s="102">
        <f t="shared" si="49"/>
        <v>0</v>
      </c>
      <c r="BN203" s="102">
        <f t="shared" si="49"/>
        <v>0</v>
      </c>
      <c r="BO203" s="102">
        <f t="shared" si="49"/>
        <v>0</v>
      </c>
      <c r="BP203" s="108">
        <f t="shared" si="49"/>
        <v>1096742.05</v>
      </c>
      <c r="BQ203" s="102">
        <f t="shared" si="49"/>
        <v>0</v>
      </c>
      <c r="BR203" s="102">
        <f t="shared" si="49"/>
        <v>0</v>
      </c>
      <c r="BS203" s="102">
        <f t="shared" si="49"/>
        <v>0</v>
      </c>
      <c r="BT203" s="102">
        <f t="shared" si="49"/>
        <v>143107.12000000002</v>
      </c>
      <c r="BU203" s="102">
        <f t="shared" si="49"/>
        <v>0</v>
      </c>
      <c r="BV203" s="102">
        <f t="shared" si="49"/>
        <v>1239849.1700000002</v>
      </c>
      <c r="BW203" s="102">
        <f t="shared" si="49"/>
        <v>0</v>
      </c>
      <c r="BX203" s="102">
        <f t="shared" si="49"/>
        <v>-839849.17</v>
      </c>
      <c r="BY203" s="102">
        <f t="shared" si="49"/>
        <v>0</v>
      </c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</row>
    <row r="204" spans="1:126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 s="10"/>
      <c r="BY204" s="9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</row>
    <row r="205" spans="1:126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Q205" s="6"/>
      <c r="BR205" s="6"/>
      <c r="BS205" s="6"/>
      <c r="BY205" s="12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</row>
    <row r="206" spans="1:126" s="11" customFormat="1">
      <c r="A206" s="17"/>
      <c r="B206" s="11" t="s">
        <v>291</v>
      </c>
      <c r="J206" s="158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7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7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v>0</v>
      </c>
      <c r="BO206" s="12"/>
      <c r="BP206" s="12">
        <f>SUM(T206:BO206)</f>
        <v>307065.39999999997</v>
      </c>
      <c r="BQ206" s="12"/>
      <c r="BR206" s="12">
        <v>0</v>
      </c>
      <c r="BS206" s="12"/>
      <c r="BT206" s="6">
        <f>IF(+R206-BP206+BR206&gt;0,R206-BP206+BR206,0)</f>
        <v>192934.60000000003</v>
      </c>
      <c r="BU206" s="12"/>
      <c r="BV206" s="6">
        <f>+BP206+BT206</f>
        <v>500000</v>
      </c>
      <c r="BW206" s="12"/>
      <c r="BX206" s="6">
        <f>+R206-BV206</f>
        <v>0</v>
      </c>
      <c r="BY206" s="12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</row>
    <row r="207" spans="1:126" s="11" customFormat="1">
      <c r="A207" s="17"/>
      <c r="B207" s="11" t="s">
        <v>341</v>
      </c>
      <c r="J207" s="158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v>0</v>
      </c>
      <c r="BO207" s="12"/>
      <c r="BP207" s="12">
        <f>SUM(T207:BO207)</f>
        <v>252208.46000000002</v>
      </c>
      <c r="BQ207" s="12"/>
      <c r="BR207" s="12">
        <v>0</v>
      </c>
      <c r="BS207" s="12"/>
      <c r="BT207" s="6">
        <f>IF(+R207-BP207+BR207&gt;0,R207-BP207+BR207,0)</f>
        <v>0</v>
      </c>
      <c r="BU207" s="12"/>
      <c r="BV207" s="6">
        <f>+BP207+BT207</f>
        <v>252208.46000000002</v>
      </c>
      <c r="BW207" s="12"/>
      <c r="BX207" s="6">
        <f>+R207-BV207</f>
        <v>-252208.46000000002</v>
      </c>
      <c r="BY207" s="12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</row>
    <row r="208" spans="1:126" s="11" customFormat="1">
      <c r="A208" s="17"/>
      <c r="J208" s="158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>
        <f>SUM(T208:BO208)</f>
        <v>0</v>
      </c>
      <c r="BQ208" s="12"/>
      <c r="BR208" s="12">
        <v>0</v>
      </c>
      <c r="BS208" s="12"/>
      <c r="BT208" s="6">
        <f>IF(+R208-BP208+BR208&gt;0,R208-BP208+BR208,0)</f>
        <v>0</v>
      </c>
      <c r="BU208" s="12"/>
      <c r="BV208" s="6">
        <f>+BP208+BT208</f>
        <v>0</v>
      </c>
      <c r="BW208" s="12"/>
      <c r="BX208" s="6">
        <f>+R208-BV208</f>
        <v>0</v>
      </c>
      <c r="BY208" s="12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</row>
    <row r="209" spans="1:126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2">
        <f>SUM(BN206:BN208)</f>
        <v>0</v>
      </c>
      <c r="BO209" s="9"/>
      <c r="BP209" s="108">
        <f>SUM(BP206:BP208)</f>
        <v>559273.86</v>
      </c>
      <c r="BQ209" s="9"/>
      <c r="BR209" s="102">
        <f>SUM(BR206:BR208)</f>
        <v>0</v>
      </c>
      <c r="BS209" s="9"/>
      <c r="BT209" s="102">
        <f>SUM(BT206:BT208)</f>
        <v>192934.60000000003</v>
      </c>
      <c r="BU209" s="9"/>
      <c r="BV209" s="102">
        <f>SUM(BV206:BV208)</f>
        <v>752208.46</v>
      </c>
      <c r="BW209" s="9"/>
      <c r="BX209" s="102">
        <f>SUM(BX206:BX208)</f>
        <v>-252208.46000000002</v>
      </c>
      <c r="BY209" s="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</row>
    <row r="210" spans="1:126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 s="10"/>
      <c r="BY210" s="9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</row>
    <row r="211" spans="1:126" s="31" customFormat="1">
      <c r="A211" s="58" t="s">
        <v>249</v>
      </c>
      <c r="J211" s="157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v>0</v>
      </c>
      <c r="BO211" s="10"/>
      <c r="BP211" s="10">
        <f>SUM(T211:BO211)</f>
        <v>10658456.153667485</v>
      </c>
      <c r="BQ211" s="10"/>
      <c r="BR211" s="10"/>
      <c r="BS211" s="10"/>
      <c r="BT211" s="6"/>
      <c r="BU211" s="10"/>
      <c r="BV211" s="9">
        <f>+BP211+BT211</f>
        <v>10658456.153667485</v>
      </c>
      <c r="BW211" s="10"/>
      <c r="BX211" s="9">
        <f>+R211-BV211</f>
        <v>681587.84633251466</v>
      </c>
      <c r="BY211" s="10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</row>
    <row r="212" spans="1:126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 s="10"/>
      <c r="BY212" s="9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</row>
    <row r="213" spans="1:126" s="105" customFormat="1">
      <c r="A213" s="63" t="s">
        <v>248</v>
      </c>
      <c r="B213" s="54"/>
      <c r="J213" s="156"/>
      <c r="L213" s="142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X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292162</v>
      </c>
      <c r="BM213" s="120">
        <f>BM211+BM203+BM194+BM192+BM190+BM184+BM159+BM149+BM142+BM140+BM138+BM136+BM134+BM209</f>
        <v>0</v>
      </c>
      <c r="BN213" s="120">
        <f>BN211+BN203+BN194+BN192+BN190+BN184+BN159+BN149+BN142+BN140+BN138+BN136+BN134+BN209</f>
        <v>54315</v>
      </c>
      <c r="BO213" s="120">
        <f t="shared" si="51"/>
        <v>0</v>
      </c>
      <c r="BP213" s="120">
        <f t="shared" si="51"/>
        <v>17494363.683667485</v>
      </c>
      <c r="BQ213" s="120">
        <f t="shared" si="51"/>
        <v>0</v>
      </c>
      <c r="BR213" s="120">
        <f t="shared" si="51"/>
        <v>-33570</v>
      </c>
      <c r="BS213" s="120">
        <f t="shared" si="51"/>
        <v>0</v>
      </c>
      <c r="BT213" s="120">
        <f>BT211+BT203+BT194+BT192+BT190+BT184+BT159+BT149+BT142+BT140+BT138+BT136+BT134+BT209</f>
        <v>2567458.9500000002</v>
      </c>
      <c r="BU213" s="120">
        <f t="shared" si="51"/>
        <v>0</v>
      </c>
      <c r="BV213" s="120">
        <f t="shared" si="51"/>
        <v>20061822.633667484</v>
      </c>
      <c r="BW213" s="120">
        <f t="shared" si="51"/>
        <v>0</v>
      </c>
      <c r="BX213" s="120">
        <f t="shared" si="51"/>
        <v>-2081944.6336674853</v>
      </c>
      <c r="BY213" s="120">
        <f>BY211+BY203+BY194+BY192+BY190+BY184+BY159+BY149+BY142+BY140+BY138+BY136+BY134+BY209</f>
        <v>0</v>
      </c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</row>
    <row r="214" spans="1:126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 s="10"/>
      <c r="BY214" s="9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</row>
    <row r="215" spans="1:126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10">
        <f>SUM(T215:BO215)</f>
        <v>0</v>
      </c>
      <c r="BQ215" s="9"/>
      <c r="BR215" s="9">
        <v>-5423498</v>
      </c>
      <c r="BS215" s="9">
        <v>2030320</v>
      </c>
      <c r="BT215" s="6">
        <f>IF(+R215-BP215+BR215&gt;0,R215-BP215+BR215,0)</f>
        <v>0</v>
      </c>
      <c r="BU215" s="9">
        <v>2030320</v>
      </c>
      <c r="BV215" s="9">
        <f>+BP215+BT215</f>
        <v>0</v>
      </c>
      <c r="BW215" s="9">
        <v>2030320</v>
      </c>
      <c r="BX215" s="6">
        <f>+R215-BV215</f>
        <v>5423498</v>
      </c>
      <c r="BY215" s="9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</row>
    <row r="216" spans="1:126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10"/>
      <c r="BQ216" s="9"/>
      <c r="BR216" s="9"/>
      <c r="BS216" s="9"/>
      <c r="BT216" s="6"/>
      <c r="BU216" s="9"/>
      <c r="BV216" s="9"/>
      <c r="BW216" s="9"/>
      <c r="BX216" s="6"/>
      <c r="BY216" s="9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</row>
    <row r="217" spans="1:126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>
        <f>SUM(T217:BO217)</f>
        <v>0</v>
      </c>
      <c r="BQ217" s="9"/>
      <c r="BR217" s="10"/>
      <c r="BS217" s="9"/>
      <c r="BT217" s="10"/>
      <c r="BU217" s="9"/>
      <c r="BV217" s="9">
        <f>+BP217+BT217</f>
        <v>0</v>
      </c>
      <c r="BW217" s="9"/>
      <c r="BX217" s="6">
        <f>+R217-BV217</f>
        <v>-6077</v>
      </c>
      <c r="BY217" s="9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</row>
    <row r="218" spans="1:126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 s="10"/>
      <c r="BY218" s="9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</row>
    <row r="219" spans="1:126" s="168" customFormat="1">
      <c r="A219" s="167" t="s">
        <v>253</v>
      </c>
      <c r="J219" s="169"/>
      <c r="L219" s="170"/>
      <c r="M219" s="171"/>
      <c r="N219" s="171"/>
      <c r="O219" s="171"/>
      <c r="P219" s="171"/>
      <c r="Q219" s="171"/>
      <c r="R219" s="166">
        <f t="shared" ref="R219:AH219" si="52">R37+R107+R97+R182+R112+R213+R215+R217</f>
        <v>170575010</v>
      </c>
      <c r="S219" s="166">
        <f t="shared" si="52"/>
        <v>0</v>
      </c>
      <c r="T219" s="166">
        <f t="shared" si="52"/>
        <v>0</v>
      </c>
      <c r="U219" s="166">
        <f t="shared" si="52"/>
        <v>0</v>
      </c>
      <c r="V219" s="166">
        <f t="shared" si="52"/>
        <v>0</v>
      </c>
      <c r="W219" s="166">
        <f t="shared" si="52"/>
        <v>0</v>
      </c>
      <c r="X219" s="166">
        <f t="shared" si="52"/>
        <v>0</v>
      </c>
      <c r="Y219" s="166">
        <f t="shared" si="52"/>
        <v>0</v>
      </c>
      <c r="Z219" s="166">
        <f t="shared" si="52"/>
        <v>0</v>
      </c>
      <c r="AA219" s="166">
        <f t="shared" si="52"/>
        <v>0</v>
      </c>
      <c r="AB219" s="166">
        <f t="shared" si="52"/>
        <v>0</v>
      </c>
      <c r="AC219" s="166">
        <f t="shared" si="52"/>
        <v>0</v>
      </c>
      <c r="AD219" s="166">
        <f t="shared" si="52"/>
        <v>0</v>
      </c>
      <c r="AE219" s="166">
        <f t="shared" si="52"/>
        <v>0</v>
      </c>
      <c r="AF219" s="166">
        <f t="shared" si="52"/>
        <v>0</v>
      </c>
      <c r="AG219" s="166">
        <f t="shared" si="52"/>
        <v>0</v>
      </c>
      <c r="AH219" s="166">
        <f t="shared" si="52"/>
        <v>0</v>
      </c>
      <c r="AI219" s="166"/>
      <c r="AJ219" s="166">
        <f>AJ37+AJ107+AJ97+AJ182+AJ112+AJ213+AJ215+AJ217</f>
        <v>13005.809999999998</v>
      </c>
      <c r="AK219" s="166"/>
      <c r="AL219" s="166">
        <f>AL37+AL107+AL97+AL182+AL112+AL213+AL215+AL217</f>
        <v>93158714.489999995</v>
      </c>
      <c r="AM219" s="166"/>
      <c r="AN219" s="166">
        <f>AN37+AN107+AN97+AN182+AN112+AN213+AN215+AN217</f>
        <v>715387.53999999992</v>
      </c>
      <c r="AO219" s="166"/>
      <c r="AP219" s="166">
        <f>AP37+AP107+AP97+AP182+AP112+AP213+AP215+AP217</f>
        <v>2178269.8126763888</v>
      </c>
      <c r="AQ219" s="166"/>
      <c r="AR219" s="166">
        <f t="shared" ref="AR219:BB219" si="53">AR37+AR107+AR97+AR182+AR112+AR213+AR215+AR217</f>
        <v>7520808.7532297745</v>
      </c>
      <c r="AS219" s="166">
        <f t="shared" si="53"/>
        <v>0</v>
      </c>
      <c r="AT219" s="166">
        <f t="shared" si="53"/>
        <v>3026267.3252736586</v>
      </c>
      <c r="AU219" s="166">
        <f t="shared" si="53"/>
        <v>0</v>
      </c>
      <c r="AV219" s="166">
        <f t="shared" si="53"/>
        <v>8287387.2469411138</v>
      </c>
      <c r="AW219" s="166">
        <f t="shared" si="53"/>
        <v>0</v>
      </c>
      <c r="AX219" s="166">
        <f t="shared" si="53"/>
        <v>7624290.748063433</v>
      </c>
      <c r="AY219" s="166">
        <f t="shared" si="53"/>
        <v>0</v>
      </c>
      <c r="AZ219" s="166">
        <f t="shared" si="53"/>
        <v>11403531.526154332</v>
      </c>
      <c r="BA219" s="166">
        <f t="shared" si="53"/>
        <v>0</v>
      </c>
      <c r="BB219" s="166">
        <f t="shared" si="53"/>
        <v>12239663.540035931</v>
      </c>
      <c r="BC219"/>
      <c r="BD219" s="166">
        <f>BD37+BD107+BD97+BD182+BD112+BD213+BD215+BD217</f>
        <v>4338594.6500000004</v>
      </c>
      <c r="BE219"/>
      <c r="BF219" s="166">
        <f t="shared" ref="BF219:BX219" si="54">BF37+BF107+BF97+BF182+BF112+BF213+BF215+BF217</f>
        <v>17362054.581292856</v>
      </c>
      <c r="BG219" s="166">
        <f t="shared" si="54"/>
        <v>0</v>
      </c>
      <c r="BH219" s="166">
        <f t="shared" si="54"/>
        <v>2172208.6</v>
      </c>
      <c r="BI219" s="166">
        <f t="shared" si="54"/>
        <v>0</v>
      </c>
      <c r="BJ219" s="166">
        <f t="shared" si="54"/>
        <v>-86760.26999999999</v>
      </c>
      <c r="BK219" s="166">
        <f t="shared" si="54"/>
        <v>0</v>
      </c>
      <c r="BL219" s="166">
        <f t="shared" si="54"/>
        <v>805728</v>
      </c>
      <c r="BM219" s="166">
        <f>BM37+BM107+BM97+BM182+BM112+BM213+BM215+BM217</f>
        <v>0</v>
      </c>
      <c r="BN219" s="166">
        <f>BN37+BN107+BN97+BN182+BN112+BN213+BN215+BN217</f>
        <v>-273525</v>
      </c>
      <c r="BO219" s="166">
        <f t="shared" si="54"/>
        <v>0</v>
      </c>
      <c r="BP219" s="166">
        <f t="shared" si="54"/>
        <v>170485627.3536675</v>
      </c>
      <c r="BQ219" s="166">
        <f t="shared" si="54"/>
        <v>0</v>
      </c>
      <c r="BR219" s="166">
        <f t="shared" si="54"/>
        <v>2743085</v>
      </c>
      <c r="BS219" s="166">
        <f t="shared" si="54"/>
        <v>2030320</v>
      </c>
      <c r="BT219" s="166">
        <f t="shared" si="54"/>
        <v>6949683.8299999982</v>
      </c>
      <c r="BU219" s="166">
        <f t="shared" si="54"/>
        <v>2030320</v>
      </c>
      <c r="BV219" s="166">
        <f t="shared" si="54"/>
        <v>177435311.18366748</v>
      </c>
      <c r="BW219" s="166">
        <f t="shared" si="54"/>
        <v>2030320</v>
      </c>
      <c r="BX219" s="166">
        <f t="shared" si="54"/>
        <v>-6860301.1836674828</v>
      </c>
      <c r="BY219" s="171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</row>
    <row r="220" spans="1:126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10"/>
      <c r="BS220" s="9"/>
      <c r="BT220" s="276"/>
      <c r="BU220" s="9"/>
      <c r="BV220" s="10"/>
      <c r="BW220" s="9"/>
      <c r="BX220" s="10"/>
      <c r="BY220" s="9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</row>
    <row r="221" spans="1:126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 s="10"/>
      <c r="BY221" s="9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</row>
    <row r="222" spans="1:126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 t="s">
        <v>83</v>
      </c>
      <c r="BO222" s="9"/>
      <c r="BP222" s="10">
        <f>-BP142</f>
        <v>-33710</v>
      </c>
      <c r="BQ222" s="9"/>
      <c r="BR222" s="10"/>
      <c r="BS222" s="9"/>
      <c r="BT222" s="10"/>
      <c r="BU222" s="9"/>
      <c r="BV222" s="10"/>
      <c r="BW222" s="9"/>
      <c r="BX222" s="10"/>
      <c r="BY222" s="9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</row>
    <row r="223" spans="1:126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 t="s">
        <v>440</v>
      </c>
      <c r="BO223" s="9"/>
      <c r="BP223" s="10">
        <f>-BP134</f>
        <v>-1083386.1600000001</v>
      </c>
      <c r="BQ223" s="9"/>
      <c r="BR223" s="10"/>
      <c r="BS223" s="9"/>
      <c r="BT223" s="10"/>
      <c r="BU223" s="9"/>
      <c r="BV223" s="10"/>
      <c r="BW223" s="9"/>
      <c r="BX223" s="10"/>
      <c r="BY223" s="9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</row>
    <row r="224" spans="1:126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 t="s">
        <v>444</v>
      </c>
      <c r="BO224" s="9"/>
      <c r="BP224" s="10">
        <f>-BP140</f>
        <v>0</v>
      </c>
      <c r="BQ224" s="9"/>
      <c r="BR224" s="10"/>
      <c r="BS224" s="9"/>
      <c r="BT224" s="10"/>
      <c r="BU224" s="9"/>
      <c r="BV224" s="10"/>
      <c r="BW224" s="9"/>
      <c r="BX224" s="10"/>
      <c r="BY224" s="9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</row>
    <row r="225" spans="1:126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 t="s">
        <v>442</v>
      </c>
      <c r="BO225" s="9"/>
      <c r="BP225" s="10">
        <v>-22627</v>
      </c>
      <c r="BQ225" s="9"/>
      <c r="BR225" s="10"/>
      <c r="BS225" s="9"/>
      <c r="BT225" s="10"/>
      <c r="BU225" s="9"/>
      <c r="BV225" s="10"/>
      <c r="BW225" s="9"/>
      <c r="BX225" s="10"/>
      <c r="BY225" s="9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</row>
    <row r="226" spans="1:126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/>
      <c r="BO226" s="9"/>
      <c r="BP226" s="10">
        <f>SUM(BP219:BP225)</f>
        <v>169345904.1936675</v>
      </c>
      <c r="BQ226" s="9"/>
      <c r="BR226" s="10"/>
      <c r="BS226" s="9"/>
      <c r="BT226" s="10"/>
      <c r="BU226" s="9"/>
      <c r="BV226" s="10"/>
      <c r="BW226" s="9"/>
      <c r="BX226" s="10"/>
      <c r="BY226" s="9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</row>
    <row r="227" spans="1:126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 s="10"/>
      <c r="BY227" s="9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</row>
    <row r="228" spans="1:126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 t="s">
        <v>443</v>
      </c>
      <c r="BO228" s="9"/>
      <c r="BP228" s="10">
        <v>168942454.84</v>
      </c>
      <c r="BQ228" s="9"/>
      <c r="BR228" s="10"/>
      <c r="BS228" s="9"/>
      <c r="BT228" s="10"/>
      <c r="BU228" s="9"/>
      <c r="BV228" s="10"/>
      <c r="BW228" s="9"/>
      <c r="BX228" s="10"/>
      <c r="BY228" s="9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</row>
    <row r="229" spans="1:126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/>
      <c r="BO229" s="9"/>
      <c r="BP229" s="10">
        <f>BP226-BP228</f>
        <v>403449.35366749763</v>
      </c>
      <c r="BQ229" s="9"/>
      <c r="BR229" s="10"/>
      <c r="BS229" s="9"/>
      <c r="BT229" s="10"/>
      <c r="BU229" s="9"/>
      <c r="BV229" s="10"/>
      <c r="BW229" s="9"/>
      <c r="BX229" s="10"/>
      <c r="BY229" s="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</row>
    <row r="230" spans="1:126" s="21" customFormat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 s="10"/>
      <c r="BY230" s="9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</row>
    <row r="231" spans="1:126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Q231" s="6"/>
      <c r="BR231" s="6"/>
      <c r="BS231" s="6"/>
      <c r="BY231" s="6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</row>
    <row r="232" spans="1:126" customFormat="1" ht="15">
      <c r="A232" s="290" t="s">
        <v>403</v>
      </c>
      <c r="BP232" s="251"/>
    </row>
    <row r="233" spans="1:126" customFormat="1">
      <c r="A233" s="58" t="s">
        <v>284</v>
      </c>
      <c r="BP233" s="251"/>
    </row>
    <row r="234" spans="1:126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N234" s="6">
        <v>327840</v>
      </c>
      <c r="BP234" s="10">
        <f>SUM(T234:BO234)</f>
        <v>2230840</v>
      </c>
    </row>
    <row r="235" spans="1:126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10">
        <f>SUM(S235:BL235)</f>
        <v>442611.19</v>
      </c>
      <c r="BQ235" s="9"/>
      <c r="BR235" s="10">
        <v>0</v>
      </c>
      <c r="BS235" s="9"/>
      <c r="BT235" s="6">
        <f>IF(+R235-BP235+BR235&gt;0,R235-BP235+BR235,0)</f>
        <v>25075933.809999999</v>
      </c>
      <c r="BU235" s="9"/>
      <c r="BV235" s="9">
        <f>+BP235+BT235</f>
        <v>25518545</v>
      </c>
      <c r="BW235" s="9"/>
      <c r="BX235" s="6">
        <f>+R235-BV235</f>
        <v>0</v>
      </c>
      <c r="BY235" s="9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</row>
    <row r="236" spans="1:126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10">
        <f>SUM(T236:BO236)</f>
        <v>2270</v>
      </c>
      <c r="BQ236" s="9"/>
      <c r="BR236" s="10">
        <v>0</v>
      </c>
      <c r="BS236" s="9"/>
      <c r="BT236" s="6">
        <f>IF(+R236-BP236+BR236&gt;0,R236-BP236+BR236,0)</f>
        <v>973086</v>
      </c>
      <c r="BU236" s="9"/>
      <c r="BV236" s="9">
        <f>+BP236+BT236</f>
        <v>975356</v>
      </c>
      <c r="BW236" s="9"/>
      <c r="BX236" s="6">
        <f>+R236-BV236</f>
        <v>0</v>
      </c>
      <c r="BY236" s="9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</row>
    <row r="237" spans="1:126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3"/>
      <c r="BK237" s="35"/>
      <c r="BL237" s="36">
        <v>142809</v>
      </c>
      <c r="BM237" s="35"/>
      <c r="BN237" s="36"/>
      <c r="BO237" s="35"/>
      <c r="BP237" s="262">
        <f>SUM(T237:BO237)</f>
        <v>167636.20000000001</v>
      </c>
      <c r="BQ237" s="9"/>
      <c r="BR237" s="10">
        <v>0</v>
      </c>
      <c r="BS237" s="9"/>
      <c r="BT237" s="263">
        <f>IF(+R237-BP237+BR237&gt;0,R237-BP237+BR237,0)</f>
        <v>0</v>
      </c>
      <c r="BU237" s="9"/>
      <c r="BV237" s="262">
        <f>+BP237+BT237</f>
        <v>167636.20000000001</v>
      </c>
      <c r="BW237" s="9"/>
      <c r="BX237" s="263">
        <f>+R237-BV237</f>
        <v>-34894.200000000012</v>
      </c>
      <c r="BY237" s="9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</row>
    <row r="238" spans="1:126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Y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0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1532004</v>
      </c>
      <c r="BM238" s="35">
        <f t="shared" si="55"/>
        <v>0</v>
      </c>
      <c r="BN238" s="35">
        <f>SUM(BN234:BN237)</f>
        <v>327840</v>
      </c>
      <c r="BO238" s="35">
        <f t="shared" si="55"/>
        <v>0</v>
      </c>
      <c r="BP238" s="9">
        <f t="shared" si="55"/>
        <v>2843357.39</v>
      </c>
      <c r="BQ238" s="35">
        <f t="shared" si="55"/>
        <v>0</v>
      </c>
      <c r="BR238" s="35">
        <f t="shared" si="55"/>
        <v>0</v>
      </c>
      <c r="BS238" s="35">
        <f t="shared" si="55"/>
        <v>0</v>
      </c>
      <c r="BT238" s="9">
        <f t="shared" si="55"/>
        <v>26049019.809999999</v>
      </c>
      <c r="BU238" s="9">
        <f t="shared" si="55"/>
        <v>0</v>
      </c>
      <c r="BV238" s="9">
        <f t="shared" si="55"/>
        <v>26661537.199999999</v>
      </c>
      <c r="BW238" s="9">
        <f t="shared" si="55"/>
        <v>0</v>
      </c>
      <c r="BX238" s="9">
        <f t="shared" si="55"/>
        <v>-34894.200000000012</v>
      </c>
      <c r="BY238" s="9">
        <f t="shared" si="55"/>
        <v>0</v>
      </c>
      <c r="BZ238" s="9"/>
      <c r="CA238" s="9"/>
      <c r="CB238" s="9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</row>
    <row r="239" spans="1:126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</row>
    <row r="240" spans="1:126" customFormat="1">
      <c r="A240" s="3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</row>
    <row r="241" spans="1:126" s="105" customFormat="1" ht="15.75" thickBot="1">
      <c r="A241" s="291" t="s">
        <v>404</v>
      </c>
      <c r="B241" s="264"/>
      <c r="C241" s="265"/>
      <c r="D241" s="265"/>
      <c r="E241" s="265"/>
      <c r="F241" s="265"/>
      <c r="G241" s="265"/>
      <c r="H241" s="265"/>
      <c r="I241" s="265"/>
      <c r="J241" s="266"/>
      <c r="K241" s="265"/>
      <c r="L241" s="267"/>
      <c r="M241" s="268"/>
      <c r="N241" s="269"/>
      <c r="O241" s="268"/>
      <c r="P241" s="269"/>
      <c r="Q241" s="268"/>
      <c r="R241" s="270">
        <f t="shared" ref="R241:BI241" si="56">R219+R238</f>
        <v>197201653</v>
      </c>
      <c r="S241" s="270">
        <f t="shared" si="56"/>
        <v>0</v>
      </c>
      <c r="T241" s="270">
        <f t="shared" si="56"/>
        <v>0</v>
      </c>
      <c r="U241" s="270">
        <f t="shared" si="56"/>
        <v>0</v>
      </c>
      <c r="V241" s="270">
        <f t="shared" si="56"/>
        <v>0</v>
      </c>
      <c r="W241" s="270">
        <f t="shared" si="56"/>
        <v>0</v>
      </c>
      <c r="X241" s="270">
        <f t="shared" si="56"/>
        <v>0</v>
      </c>
      <c r="Y241" s="270">
        <f t="shared" si="56"/>
        <v>0</v>
      </c>
      <c r="Z241" s="270">
        <f t="shared" si="56"/>
        <v>0</v>
      </c>
      <c r="AA241" s="270">
        <f t="shared" si="56"/>
        <v>0</v>
      </c>
      <c r="AB241" s="270">
        <f t="shared" si="56"/>
        <v>0</v>
      </c>
      <c r="AC241" s="270">
        <f t="shared" si="56"/>
        <v>0</v>
      </c>
      <c r="AD241" s="270">
        <f t="shared" si="56"/>
        <v>0</v>
      </c>
      <c r="AE241" s="270">
        <f t="shared" si="56"/>
        <v>0</v>
      </c>
      <c r="AF241" s="270">
        <f t="shared" si="56"/>
        <v>0</v>
      </c>
      <c r="AG241" s="270">
        <f t="shared" si="56"/>
        <v>0</v>
      </c>
      <c r="AH241" s="270">
        <f t="shared" si="56"/>
        <v>0</v>
      </c>
      <c r="AI241" s="270">
        <f t="shared" si="56"/>
        <v>0</v>
      </c>
      <c r="AJ241" s="270">
        <f t="shared" si="56"/>
        <v>13005.809999999998</v>
      </c>
      <c r="AK241" s="270">
        <f t="shared" si="56"/>
        <v>0</v>
      </c>
      <c r="AL241" s="270">
        <f t="shared" si="56"/>
        <v>93158714.489999995</v>
      </c>
      <c r="AM241" s="270">
        <f t="shared" si="56"/>
        <v>0</v>
      </c>
      <c r="AN241" s="270">
        <f t="shared" si="56"/>
        <v>715387.53999999992</v>
      </c>
      <c r="AO241" s="270">
        <f t="shared" si="56"/>
        <v>0</v>
      </c>
      <c r="AP241" s="270">
        <f t="shared" si="56"/>
        <v>2178269.8126763888</v>
      </c>
      <c r="AQ241" s="270">
        <f t="shared" si="56"/>
        <v>0</v>
      </c>
      <c r="AR241" s="270">
        <f t="shared" si="56"/>
        <v>7520808.7532297745</v>
      </c>
      <c r="AS241" s="270">
        <f t="shared" si="56"/>
        <v>0</v>
      </c>
      <c r="AT241" s="270">
        <f t="shared" si="56"/>
        <v>3026267.3252736586</v>
      </c>
      <c r="AU241" s="270">
        <f t="shared" si="56"/>
        <v>0</v>
      </c>
      <c r="AV241" s="270">
        <f t="shared" si="56"/>
        <v>8287387.2469411138</v>
      </c>
      <c r="AW241" s="270">
        <f t="shared" si="56"/>
        <v>0</v>
      </c>
      <c r="AX241" s="270">
        <f t="shared" si="56"/>
        <v>7624290.748063433</v>
      </c>
      <c r="AY241" s="270">
        <f t="shared" si="56"/>
        <v>0</v>
      </c>
      <c r="AZ241" s="270">
        <f t="shared" si="56"/>
        <v>11403531.526154332</v>
      </c>
      <c r="BA241" s="270">
        <f t="shared" si="56"/>
        <v>0</v>
      </c>
      <c r="BB241" s="270">
        <f t="shared" si="56"/>
        <v>12538176.930035932</v>
      </c>
      <c r="BC241" s="270">
        <f t="shared" si="56"/>
        <v>0</v>
      </c>
      <c r="BD241" s="270">
        <f t="shared" si="56"/>
        <v>5023594.6500000004</v>
      </c>
      <c r="BE241" s="270">
        <f t="shared" si="56"/>
        <v>0</v>
      </c>
      <c r="BF241" s="270">
        <f t="shared" si="56"/>
        <v>17362054.581292856</v>
      </c>
      <c r="BG241" s="270">
        <f t="shared" si="56"/>
        <v>0</v>
      </c>
      <c r="BH241" s="270">
        <f t="shared" si="56"/>
        <v>2172208.6</v>
      </c>
      <c r="BI241" s="270">
        <f t="shared" si="56"/>
        <v>0</v>
      </c>
      <c r="BJ241" s="270">
        <f>BJ219+BJ238</f>
        <v>-86760.26999999999</v>
      </c>
      <c r="BK241" s="270">
        <f t="shared" ref="BK241:BX241" si="57">BK219+BK238</f>
        <v>0</v>
      </c>
      <c r="BL241" s="270">
        <f t="shared" si="57"/>
        <v>2337732</v>
      </c>
      <c r="BM241" s="270">
        <f>BM219+BM238</f>
        <v>0</v>
      </c>
      <c r="BN241" s="270">
        <f>BN219+BN238</f>
        <v>54315</v>
      </c>
      <c r="BO241" s="270">
        <f t="shared" si="57"/>
        <v>0</v>
      </c>
      <c r="BP241" s="270">
        <f t="shared" si="57"/>
        <v>173328984.74366748</v>
      </c>
      <c r="BQ241" s="270">
        <f t="shared" si="57"/>
        <v>0</v>
      </c>
      <c r="BR241" s="270">
        <f t="shared" si="57"/>
        <v>2743085</v>
      </c>
      <c r="BS241" s="270">
        <f t="shared" si="57"/>
        <v>2030320</v>
      </c>
      <c r="BT241" s="270">
        <f t="shared" si="57"/>
        <v>32998703.639999997</v>
      </c>
      <c r="BU241" s="270">
        <f t="shared" si="57"/>
        <v>2030320</v>
      </c>
      <c r="BV241" s="270">
        <f t="shared" si="57"/>
        <v>204096848.38366747</v>
      </c>
      <c r="BW241" s="270">
        <f t="shared" si="57"/>
        <v>2030320</v>
      </c>
      <c r="BX241" s="270">
        <f t="shared" si="57"/>
        <v>-6895195.383667483</v>
      </c>
      <c r="BY241" s="270">
        <f>BY235+BY238</f>
        <v>0</v>
      </c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</row>
    <row r="242" spans="1:126" customFormat="1" ht="13.5" thickTop="1">
      <c r="A242" s="30"/>
      <c r="L242" s="49"/>
      <c r="BB242" s="35"/>
      <c r="BP242" s="251"/>
    </row>
    <row r="243" spans="1:126" customFormat="1">
      <c r="A243" s="30"/>
      <c r="L243" s="49"/>
      <c r="BB243" s="35"/>
      <c r="BP243" s="251"/>
    </row>
    <row r="244" spans="1:126" customFormat="1" hidden="1">
      <c r="A244" s="30"/>
      <c r="L244" s="49"/>
      <c r="BB244" s="35"/>
      <c r="BP244" s="251"/>
    </row>
    <row r="245" spans="1:126" customFormat="1" hidden="1">
      <c r="A245" s="30"/>
      <c r="L245" s="49"/>
      <c r="BB245" s="35"/>
      <c r="BF245" t="s">
        <v>421</v>
      </c>
      <c r="BN245" t="s">
        <v>451</v>
      </c>
      <c r="BP245" s="251">
        <v>169284873.69999999</v>
      </c>
    </row>
    <row r="246" spans="1:126" customFormat="1" hidden="1">
      <c r="A246" s="30"/>
      <c r="L246" s="49"/>
      <c r="AT246" s="250"/>
      <c r="BB246" s="35"/>
      <c r="BF246" t="s">
        <v>422</v>
      </c>
      <c r="BN246" t="s">
        <v>450</v>
      </c>
      <c r="BP246" s="251">
        <f>BP134</f>
        <v>1083386.1600000001</v>
      </c>
    </row>
    <row r="247" spans="1:126" customFormat="1" hidden="1">
      <c r="A247" s="30"/>
      <c r="AT247" s="250"/>
      <c r="BB247" s="35"/>
      <c r="BF247" t="s">
        <v>423</v>
      </c>
      <c r="BN247" t="s">
        <v>452</v>
      </c>
      <c r="BP247" s="251">
        <f>BP238</f>
        <v>2843357.39</v>
      </c>
    </row>
    <row r="248" spans="1:126" customFormat="1" hidden="1">
      <c r="A248" s="30"/>
      <c r="AT248" s="250"/>
      <c r="BB248" s="35"/>
      <c r="BF248" t="s">
        <v>423</v>
      </c>
      <c r="BN248" t="s">
        <v>83</v>
      </c>
      <c r="BP248" s="251">
        <f>BP142</f>
        <v>33710</v>
      </c>
      <c r="BR248" s="252"/>
    </row>
    <row r="249" spans="1:126" customFormat="1" hidden="1">
      <c r="A249" s="30"/>
      <c r="AT249" s="250"/>
      <c r="BB249" s="35"/>
      <c r="BF249" t="s">
        <v>424</v>
      </c>
      <c r="BN249" t="s">
        <v>455</v>
      </c>
      <c r="BP249" s="250">
        <f>BN241</f>
        <v>54315</v>
      </c>
    </row>
    <row r="250" spans="1:126" customFormat="1" hidden="1">
      <c r="A250" s="30"/>
      <c r="AT250" s="250"/>
      <c r="BB250" s="35"/>
      <c r="BN250" t="s">
        <v>457</v>
      </c>
      <c r="BP250" s="250">
        <v>6715</v>
      </c>
    </row>
    <row r="251" spans="1:126" customFormat="1" hidden="1">
      <c r="A251" s="30"/>
      <c r="BB251" s="35"/>
      <c r="BF251" t="s">
        <v>425</v>
      </c>
      <c r="BN251" t="s">
        <v>456</v>
      </c>
      <c r="BP251" s="250">
        <v>22627</v>
      </c>
    </row>
    <row r="252" spans="1:126" customFormat="1" hidden="1">
      <c r="A252" s="30"/>
      <c r="BF252" t="s">
        <v>266</v>
      </c>
      <c r="BP252" s="252"/>
    </row>
    <row r="253" spans="1:126" customFormat="1" hidden="1">
      <c r="A253" s="30"/>
      <c r="BF253" t="s">
        <v>429</v>
      </c>
      <c r="BN253" t="s">
        <v>75</v>
      </c>
      <c r="BP253" s="252">
        <f>SUM(BP245:BP252)</f>
        <v>173328984.24999997</v>
      </c>
    </row>
    <row r="254" spans="1:126" customFormat="1" hidden="1">
      <c r="A254" s="30"/>
      <c r="BF254" t="s">
        <v>426</v>
      </c>
      <c r="BP254" s="250"/>
    </row>
    <row r="255" spans="1:126" customFormat="1" hidden="1">
      <c r="A255" s="30"/>
      <c r="BF255" t="s">
        <v>427</v>
      </c>
      <c r="BN255" t="s">
        <v>453</v>
      </c>
      <c r="BP255" s="250">
        <f>BP241</f>
        <v>173328984.74366748</v>
      </c>
    </row>
    <row r="256" spans="1:126" customFormat="1" hidden="1">
      <c r="A256" s="30"/>
      <c r="BP256" s="250"/>
    </row>
    <row r="257" spans="1:68" customFormat="1" hidden="1">
      <c r="A257" s="30"/>
      <c r="BN257" t="s">
        <v>454</v>
      </c>
      <c r="BP257" s="252">
        <f>BP253-BP255</f>
        <v>-0.49366751313209534</v>
      </c>
    </row>
    <row r="258" spans="1:68" customFormat="1" hidden="1">
      <c r="A258" s="30"/>
      <c r="BF258" t="s">
        <v>420</v>
      </c>
      <c r="BP258" s="38"/>
    </row>
    <row r="259" spans="1:68" customFormat="1" hidden="1">
      <c r="A259" s="30"/>
      <c r="BP259" s="35"/>
    </row>
    <row r="260" spans="1:68" customFormat="1" hidden="1">
      <c r="A260" s="30"/>
    </row>
    <row r="261" spans="1:68" customFormat="1">
      <c r="A261" s="30"/>
      <c r="BP261" s="252"/>
    </row>
    <row r="262" spans="1:68" customFormat="1">
      <c r="A262" s="30"/>
    </row>
    <row r="263" spans="1:68" customFormat="1">
      <c r="A263" s="30"/>
    </row>
    <row r="264" spans="1:68" customFormat="1">
      <c r="A264" s="30"/>
    </row>
    <row r="265" spans="1:68" customFormat="1">
      <c r="A265" s="30"/>
    </row>
    <row r="266" spans="1:68" customFormat="1">
      <c r="A266" s="30"/>
    </row>
    <row r="267" spans="1:68" customFormat="1">
      <c r="A267" s="30"/>
    </row>
    <row r="268" spans="1:68" customFormat="1">
      <c r="A268" s="30"/>
    </row>
    <row r="269" spans="1:68" customFormat="1">
      <c r="A269" s="30"/>
    </row>
    <row r="270" spans="1:68" customFormat="1">
      <c r="A270" s="30"/>
    </row>
    <row r="271" spans="1:68" customFormat="1">
      <c r="A271" s="30"/>
    </row>
    <row r="272" spans="1:68" customFormat="1">
      <c r="A272" s="30"/>
    </row>
    <row r="273" spans="1:68" customFormat="1">
      <c r="A273" s="30"/>
    </row>
    <row r="274" spans="1:68" customFormat="1">
      <c r="A274" s="30"/>
    </row>
    <row r="275" spans="1:68" customFormat="1">
      <c r="A275" s="30"/>
    </row>
    <row r="276" spans="1:68" customFormat="1">
      <c r="A276" s="30"/>
    </row>
    <row r="277" spans="1:68" customFormat="1">
      <c r="A277" s="30"/>
    </row>
    <row r="278" spans="1:68" customFormat="1">
      <c r="A278" s="30"/>
    </row>
    <row r="279" spans="1:68" customFormat="1">
      <c r="A279" s="30"/>
    </row>
    <row r="280" spans="1:68">
      <c r="BP280" s="22"/>
    </row>
    <row r="281" spans="1:68">
      <c r="BP281" s="22"/>
    </row>
    <row r="282" spans="1:68">
      <c r="BP282" s="22"/>
    </row>
    <row r="283" spans="1:68">
      <c r="BP283" s="22"/>
    </row>
    <row r="284" spans="1:68">
      <c r="BP284" s="22"/>
    </row>
    <row r="285" spans="1:68">
      <c r="BP285" s="22"/>
    </row>
    <row r="286" spans="1:68">
      <c r="BP286" s="22"/>
    </row>
    <row r="287" spans="1:68">
      <c r="BP287" s="22"/>
    </row>
    <row r="288" spans="1:68">
      <c r="BP288" s="22"/>
    </row>
    <row r="289" spans="68:68">
      <c r="BP289" s="22"/>
    </row>
    <row r="290" spans="68:68">
      <c r="BP290" s="22"/>
    </row>
    <row r="291" spans="68:68">
      <c r="BP291" s="22"/>
    </row>
    <row r="292" spans="68:68">
      <c r="BP292" s="22"/>
    </row>
    <row r="293" spans="68:68">
      <c r="BP293" s="22"/>
    </row>
    <row r="294" spans="68:68">
      <c r="BP294" s="22"/>
    </row>
    <row r="295" spans="68:68">
      <c r="BP295" s="22"/>
    </row>
    <row r="296" spans="68:68">
      <c r="BP296" s="22"/>
    </row>
    <row r="297" spans="68:68">
      <c r="BP297" s="22"/>
    </row>
    <row r="298" spans="68:68">
      <c r="BP298" s="22"/>
    </row>
    <row r="299" spans="68:68">
      <c r="BP299" s="22"/>
    </row>
  </sheetData>
  <printOptions horizontalCentered="1"/>
  <pageMargins left="0.18" right="0" top="0.42" bottom="0.33" header="0.4" footer="0.19"/>
  <pageSetup scale="40" fitToHeight="2" orientation="landscape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189"/>
  <sheetViews>
    <sheetView topLeftCell="A91" zoomScale="80" zoomScaleNormal="66" workbookViewId="0">
      <selection activeCell="BN105" sqref="BN105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" style="148" hidden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5.5703125" style="4" hidden="1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71093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0.140625" style="6" hidden="1" customWidth="1"/>
    <col min="61" max="61" width="5.5703125" style="6" hidden="1" customWidth="1"/>
    <col min="62" max="62" width="18.5703125" style="65" hidden="1" customWidth="1"/>
    <col min="63" max="63" width="1.5703125" style="6" hidden="1" customWidth="1"/>
    <col min="64" max="64" width="18.5703125" style="65" hidden="1" customWidth="1"/>
    <col min="65" max="65" width="2.140625" style="4" hidden="1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4.710937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- 101000.xls]Summary</v>
      </c>
    </row>
    <row r="3" spans="1:76" s="18" customFormat="1" ht="15.75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N3" s="23"/>
      <c r="BP3" s="81"/>
      <c r="BR3" s="23">
        <f ca="1">NOW()</f>
        <v>36808.563191203706</v>
      </c>
      <c r="BT3" s="23"/>
      <c r="BV3" s="78" t="str">
        <f>Summary!A5</f>
        <v>Revision # 65</v>
      </c>
      <c r="BX3" s="18" t="str">
        <f>Summary!A5</f>
        <v>Revision # 65</v>
      </c>
    </row>
    <row r="4" spans="1:76" s="18" customFormat="1" ht="15.75">
      <c r="A4" s="94"/>
      <c r="B4" s="19">
        <f>Summary!C15</f>
        <v>470</v>
      </c>
      <c r="C4"/>
      <c r="G4" s="67"/>
      <c r="J4" s="271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 t="str">
        <f>Summary!A5</f>
        <v>Revision # 65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3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10/09/00</v>
      </c>
      <c r="U7" s="96"/>
      <c r="V7" s="82" t="str">
        <f>+Summary!$O$4</f>
        <v xml:space="preserve"> As of 10/09/00</v>
      </c>
      <c r="W7" s="69"/>
      <c r="X7" s="82" t="str">
        <f>+Summary!$O$4</f>
        <v xml:space="preserve"> As of 10/09/00</v>
      </c>
      <c r="Y7" s="69"/>
      <c r="Z7" s="82" t="str">
        <f>+Summary!$O$4</f>
        <v xml:space="preserve"> As of 10/09/00</v>
      </c>
      <c r="AA7" s="69"/>
      <c r="AB7" s="82" t="str">
        <f>+Summary!$O$4</f>
        <v xml:space="preserve"> As of 10/09/00</v>
      </c>
      <c r="AC7" s="69"/>
      <c r="AD7" s="82" t="str">
        <f>+Summary!$O$4</f>
        <v xml:space="preserve"> As of 10/09/00</v>
      </c>
      <c r="AE7" s="69"/>
      <c r="AF7" s="82" t="str">
        <f>+Summary!$O$4</f>
        <v xml:space="preserve"> As of 10/09/00</v>
      </c>
      <c r="AG7" s="69"/>
      <c r="AH7" s="82" t="str">
        <f>+Summary!$O$4</f>
        <v xml:space="preserve"> As of 10/09/00</v>
      </c>
      <c r="AI7" s="69"/>
      <c r="AJ7" s="82" t="str">
        <f>+Summary!$O$4</f>
        <v xml:space="preserve"> As of 10/09/00</v>
      </c>
      <c r="AK7" s="69"/>
      <c r="AL7" s="82" t="str">
        <f>+Summary!$O$4</f>
        <v xml:space="preserve"> As of 10/09/00</v>
      </c>
      <c r="AM7" s="69"/>
      <c r="AN7" s="82" t="str">
        <f>+Summary!$O$4</f>
        <v xml:space="preserve"> As of 10/09/00</v>
      </c>
      <c r="AO7" s="69"/>
      <c r="AP7" s="82" t="str">
        <f>+Summary!$O$4</f>
        <v xml:space="preserve"> As of 10/09/00</v>
      </c>
      <c r="AQ7" s="69"/>
      <c r="AR7" s="82" t="str">
        <f>+Summary!$O$4</f>
        <v xml:space="preserve"> As of 10/09/00</v>
      </c>
      <c r="AS7" s="69"/>
      <c r="AT7" s="82" t="str">
        <f>+Summary!$O$4</f>
        <v xml:space="preserve"> As of 10/09/00</v>
      </c>
      <c r="AU7" s="82"/>
      <c r="AV7" s="82" t="str">
        <f>+Summary!$O$4</f>
        <v xml:space="preserve"> As of 10/09/00</v>
      </c>
      <c r="AW7" s="82"/>
      <c r="AX7" s="82" t="str">
        <f>+Summary!$O$4</f>
        <v xml:space="preserve"> As of 10/09/00</v>
      </c>
      <c r="AY7" s="82"/>
      <c r="AZ7" s="82" t="str">
        <f>+Summary!$O$4</f>
        <v xml:space="preserve"> As of 10/09/00</v>
      </c>
      <c r="BA7" s="82"/>
      <c r="BB7" s="82" t="str">
        <f>+Summary!$O$4</f>
        <v xml:space="preserve"> As of 10/09/00</v>
      </c>
      <c r="BC7" s="82"/>
      <c r="BD7" s="82" t="str">
        <f>+Summary!$O$4</f>
        <v xml:space="preserve"> As of 10/09/00</v>
      </c>
      <c r="BE7" s="82"/>
      <c r="BF7" s="82" t="str">
        <f>+Summary!$O$4</f>
        <v xml:space="preserve"> As of 10/09/00</v>
      </c>
      <c r="BG7" s="82"/>
      <c r="BH7" s="82" t="str">
        <f>+Summary!$O$4</f>
        <v xml:space="preserve"> As of 10/09/00</v>
      </c>
      <c r="BI7" s="82"/>
      <c r="BJ7" s="82" t="str">
        <f>+Summary!$O$4</f>
        <v xml:space="preserve"> As of 10/09/00</v>
      </c>
      <c r="BK7" s="82"/>
      <c r="BL7" s="82" t="str">
        <f>+Summary!$O$4</f>
        <v xml:space="preserve"> As of 10/09/00</v>
      </c>
      <c r="BN7" s="71" t="str">
        <f>+Summary!$O$4</f>
        <v xml:space="preserve"> As of 10/09/00</v>
      </c>
      <c r="BP7" s="64" t="str">
        <f>+Summary!$O$4</f>
        <v xml:space="preserve"> As of 10/09/00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>SUM(T9:BM9)</f>
        <v>85719300.840000018</v>
      </c>
      <c r="BO9" s="6"/>
      <c r="BP9" s="6">
        <f>353801-22200+66200</f>
        <v>397801</v>
      </c>
      <c r="BQ9" s="6"/>
      <c r="BR9" s="6">
        <f>IF(+R9-BN9+BP9&gt;0,R9-BN9+BP9,0)</f>
        <v>500000.15999998152</v>
      </c>
      <c r="BT9" s="6">
        <f>+BN9+BR9</f>
        <v>86219301</v>
      </c>
      <c r="BV9" s="6">
        <f>+R9-BT9</f>
        <v>-397801</v>
      </c>
      <c r="BW9" s="6"/>
    </row>
    <row r="10" spans="1:76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668688</v>
      </c>
      <c r="BO10" s="6"/>
      <c r="BP10" s="6">
        <f>35517+533171</f>
        <v>568688</v>
      </c>
      <c r="BQ10" s="6"/>
      <c r="BR10" s="6">
        <f>IF(+R10-BN10+BP10&gt;0,R10-BN10+BP10,0)</f>
        <v>0</v>
      </c>
      <c r="BT10" s="6">
        <f>+BN10+BR10</f>
        <v>668688</v>
      </c>
      <c r="BV10" s="6">
        <f>+R10-BT10</f>
        <v>-568688</v>
      </c>
      <c r="BW10" s="6"/>
    </row>
    <row r="11" spans="1:76">
      <c r="A11" s="93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6"/>
      <c r="BN11" s="12"/>
      <c r="BO11" s="6"/>
      <c r="BP11" s="12"/>
      <c r="BQ11" s="6"/>
      <c r="BR11" s="12"/>
      <c r="BT11" s="12"/>
      <c r="BV11" s="6">
        <f>+R11-BT11</f>
        <v>0</v>
      </c>
      <c r="BW11" s="6"/>
    </row>
    <row r="12" spans="1:76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6"/>
      <c r="BN12" s="101">
        <f>SUM(BN9:BN11)</f>
        <v>86387988.840000018</v>
      </c>
      <c r="BO12" s="6"/>
      <c r="BP12" s="101">
        <f>SUM(BP9:BP11)</f>
        <v>966489</v>
      </c>
      <c r="BQ12" s="6"/>
      <c r="BR12" s="101">
        <f>SUM(BR9:BR11)</f>
        <v>500000.15999998152</v>
      </c>
      <c r="BT12" s="101">
        <f>SUM(BT9:BT11)</f>
        <v>86887989</v>
      </c>
      <c r="BV12" s="101">
        <f>SUM(BV9:BV11)</f>
        <v>-966489</v>
      </c>
      <c r="BW12" s="6"/>
    </row>
    <row r="13" spans="1:76">
      <c r="A13" s="93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O13" s="6"/>
      <c r="BP13" s="6"/>
      <c r="BQ13" s="6"/>
      <c r="BW13" s="6"/>
    </row>
    <row r="14" spans="1:76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>SUM(T14:BM14)</f>
        <v>0</v>
      </c>
      <c r="BO14" s="6"/>
      <c r="BP14" s="6">
        <v>0</v>
      </c>
      <c r="BQ14" s="6"/>
      <c r="BR14" s="6">
        <f>+R14-BN14+BP14</f>
        <v>0</v>
      </c>
      <c r="BT14" s="6">
        <f t="shared" ref="BT14:BT31" si="0">+BN14+BR14</f>
        <v>0</v>
      </c>
      <c r="BV14" s="6">
        <f t="shared" ref="BV14:BV31" si="1">+R14-BT14</f>
        <v>0</v>
      </c>
      <c r="BW14" s="6"/>
    </row>
    <row r="15" spans="1:76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f>SUM(T15:BM15)</f>
        <v>4318354.6000000006</v>
      </c>
      <c r="BO15" s="6"/>
      <c r="BP15" s="6">
        <f>3968354-3949654+215500</f>
        <v>234200</v>
      </c>
      <c r="BQ15" s="6"/>
      <c r="BR15" s="6">
        <f t="shared" ref="BR15:BR31" si="2">IF(+R15-BN15+BP15&gt;0,R15-BN15+BP15,0)</f>
        <v>0</v>
      </c>
      <c r="BT15" s="6">
        <f t="shared" si="0"/>
        <v>4318354.6000000006</v>
      </c>
      <c r="BV15" s="6">
        <f t="shared" si="1"/>
        <v>-368700.60000000056</v>
      </c>
      <c r="BW15" s="6"/>
    </row>
    <row r="16" spans="1:76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>
        <f>SUM(T16:BM16)</f>
        <v>337680</v>
      </c>
      <c r="BO16" s="6"/>
      <c r="BP16" s="6">
        <v>59780</v>
      </c>
      <c r="BQ16" s="6"/>
      <c r="BR16" s="6">
        <f t="shared" si="2"/>
        <v>134500</v>
      </c>
      <c r="BT16" s="6">
        <f t="shared" si="0"/>
        <v>472180</v>
      </c>
      <c r="BV16" s="6">
        <f t="shared" si="1"/>
        <v>-59780</v>
      </c>
      <c r="BW16" s="6"/>
    </row>
    <row r="17" spans="1:75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>
        <f t="shared" ref="BN17:BN30" si="3">SUM(T17:BM17)</f>
        <v>0</v>
      </c>
      <c r="BO17" s="6"/>
      <c r="BP17" s="6"/>
      <c r="BQ17" s="6"/>
      <c r="BR17" s="6">
        <f t="shared" si="2"/>
        <v>0</v>
      </c>
      <c r="BT17" s="6">
        <f t="shared" si="0"/>
        <v>0</v>
      </c>
      <c r="BV17" s="6">
        <f t="shared" si="1"/>
        <v>0</v>
      </c>
      <c r="BW17" s="6"/>
    </row>
    <row r="18" spans="1:75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>
        <f t="shared" si="3"/>
        <v>0</v>
      </c>
      <c r="BO18" s="6"/>
      <c r="BP18" s="6"/>
      <c r="BQ18" s="6"/>
      <c r="BR18" s="6">
        <f t="shared" si="2"/>
        <v>0</v>
      </c>
      <c r="BT18" s="6">
        <f t="shared" si="0"/>
        <v>0</v>
      </c>
      <c r="BV18" s="6">
        <f t="shared" si="1"/>
        <v>0</v>
      </c>
      <c r="BW18" s="6"/>
    </row>
    <row r="19" spans="1:75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>
        <f t="shared" si="3"/>
        <v>0</v>
      </c>
      <c r="BO19" s="6"/>
      <c r="BP19" s="6"/>
      <c r="BQ19" s="6"/>
      <c r="BR19" s="6">
        <f t="shared" si="2"/>
        <v>0</v>
      </c>
      <c r="BT19" s="6">
        <f t="shared" si="0"/>
        <v>0</v>
      </c>
      <c r="BV19" s="6">
        <f t="shared" si="1"/>
        <v>0</v>
      </c>
      <c r="BW19" s="6"/>
    </row>
    <row r="20" spans="1:75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>
        <f t="shared" si="3"/>
        <v>0</v>
      </c>
      <c r="BO20" s="6"/>
      <c r="BP20" s="6"/>
      <c r="BQ20" s="6"/>
      <c r="BR20" s="6">
        <f t="shared" si="2"/>
        <v>0</v>
      </c>
      <c r="BT20" s="6">
        <f t="shared" si="0"/>
        <v>0</v>
      </c>
      <c r="BV20" s="6">
        <f t="shared" si="1"/>
        <v>0</v>
      </c>
      <c r="BW20" s="6"/>
    </row>
    <row r="21" spans="1:75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>
        <f t="shared" si="3"/>
        <v>0</v>
      </c>
      <c r="BO21" s="6"/>
      <c r="BP21" s="6"/>
      <c r="BQ21" s="6"/>
      <c r="BR21" s="6">
        <f t="shared" si="2"/>
        <v>0</v>
      </c>
      <c r="BT21" s="6">
        <f t="shared" si="0"/>
        <v>0</v>
      </c>
      <c r="BV21" s="6">
        <f t="shared" si="1"/>
        <v>0</v>
      </c>
      <c r="BW21" s="6"/>
    </row>
    <row r="22" spans="1:75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f t="shared" si="3"/>
        <v>0</v>
      </c>
      <c r="BO22" s="6"/>
      <c r="BP22" s="6">
        <v>0</v>
      </c>
      <c r="BQ22" s="6"/>
      <c r="BR22" s="6">
        <f t="shared" si="2"/>
        <v>0</v>
      </c>
      <c r="BT22" s="6">
        <f t="shared" si="0"/>
        <v>0</v>
      </c>
      <c r="BV22" s="6">
        <f t="shared" si="1"/>
        <v>0</v>
      </c>
      <c r="BW22" s="6"/>
    </row>
    <row r="23" spans="1:75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f t="shared" si="3"/>
        <v>0</v>
      </c>
      <c r="BO23" s="6"/>
      <c r="BP23" s="6">
        <v>0</v>
      </c>
      <c r="BQ23" s="6"/>
      <c r="BR23" s="6">
        <f t="shared" si="2"/>
        <v>0</v>
      </c>
      <c r="BT23" s="6">
        <f t="shared" si="0"/>
        <v>0</v>
      </c>
      <c r="BV23" s="6">
        <f t="shared" si="1"/>
        <v>0</v>
      </c>
      <c r="BW23" s="6"/>
    </row>
    <row r="24" spans="1:75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f t="shared" si="3"/>
        <v>0</v>
      </c>
      <c r="BO24" s="6"/>
      <c r="BP24" s="6">
        <v>0</v>
      </c>
      <c r="BQ24" s="6"/>
      <c r="BR24" s="6">
        <f t="shared" si="2"/>
        <v>0</v>
      </c>
      <c r="BT24" s="6">
        <f t="shared" si="0"/>
        <v>0</v>
      </c>
      <c r="BV24" s="6">
        <f t="shared" si="1"/>
        <v>0</v>
      </c>
      <c r="BW24" s="6"/>
    </row>
    <row r="25" spans="1:75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3"/>
        <v>0</v>
      </c>
      <c r="BO25" s="6"/>
      <c r="BP25" s="6">
        <v>0</v>
      </c>
      <c r="BQ25" s="6"/>
      <c r="BR25" s="6">
        <f t="shared" si="2"/>
        <v>0</v>
      </c>
      <c r="BT25" s="6">
        <f t="shared" si="0"/>
        <v>0</v>
      </c>
      <c r="BV25" s="6">
        <f t="shared" si="1"/>
        <v>0</v>
      </c>
      <c r="BW25" s="6"/>
    </row>
    <row r="26" spans="1:75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3"/>
        <v>0</v>
      </c>
      <c r="BO26" s="6"/>
      <c r="BP26" s="6">
        <v>0</v>
      </c>
      <c r="BQ26" s="6"/>
      <c r="BR26" s="6">
        <f t="shared" si="2"/>
        <v>0</v>
      </c>
      <c r="BT26" s="6">
        <f t="shared" si="0"/>
        <v>0</v>
      </c>
      <c r="BV26" s="6">
        <f t="shared" si="1"/>
        <v>0</v>
      </c>
      <c r="BW26" s="6"/>
    </row>
    <row r="27" spans="1:75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3"/>
        <v>0</v>
      </c>
      <c r="BO27" s="6"/>
      <c r="BP27" s="6">
        <v>0</v>
      </c>
      <c r="BQ27" s="6"/>
      <c r="BR27" s="6">
        <f t="shared" si="2"/>
        <v>0</v>
      </c>
      <c r="BT27" s="6">
        <f t="shared" si="0"/>
        <v>0</v>
      </c>
      <c r="BV27" s="6">
        <f t="shared" si="1"/>
        <v>0</v>
      </c>
      <c r="BW27" s="6"/>
    </row>
    <row r="28" spans="1:75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3"/>
        <v>0</v>
      </c>
      <c r="BO28" s="6"/>
      <c r="BP28" s="6">
        <v>0</v>
      </c>
      <c r="BQ28" s="6"/>
      <c r="BR28" s="6">
        <f t="shared" si="2"/>
        <v>0</v>
      </c>
      <c r="BT28" s="6">
        <f t="shared" si="0"/>
        <v>0</v>
      </c>
      <c r="BV28" s="6">
        <f t="shared" si="1"/>
        <v>0</v>
      </c>
      <c r="BW28" s="6"/>
    </row>
    <row r="29" spans="1:75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6">
        <f t="shared" si="3"/>
        <v>0</v>
      </c>
      <c r="BO29" s="12"/>
      <c r="BP29" s="12">
        <v>0</v>
      </c>
      <c r="BQ29" s="12"/>
      <c r="BR29" s="6">
        <f t="shared" si="2"/>
        <v>0</v>
      </c>
      <c r="BS29" s="12"/>
      <c r="BT29" s="6">
        <f t="shared" si="0"/>
        <v>0</v>
      </c>
      <c r="BU29" s="12"/>
      <c r="BV29" s="6">
        <f t="shared" si="1"/>
        <v>0</v>
      </c>
      <c r="BW29" s="12"/>
    </row>
    <row r="30" spans="1:75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6"/>
      <c r="BN30" s="6">
        <f t="shared" si="3"/>
        <v>0</v>
      </c>
      <c r="BO30" s="6"/>
      <c r="BP30" s="12">
        <v>0</v>
      </c>
      <c r="BQ30" s="6"/>
      <c r="BR30" s="6">
        <f t="shared" si="2"/>
        <v>0</v>
      </c>
      <c r="BT30" s="6">
        <f t="shared" si="0"/>
        <v>0</v>
      </c>
      <c r="BV30" s="6">
        <f t="shared" si="1"/>
        <v>0</v>
      </c>
      <c r="BW30" s="12"/>
    </row>
    <row r="31" spans="1:75">
      <c r="A31" s="57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6"/>
      <c r="BN31" s="12"/>
      <c r="BO31" s="6"/>
      <c r="BP31" s="12"/>
      <c r="BQ31" s="6"/>
      <c r="BR31" s="6">
        <f t="shared" si="2"/>
        <v>0</v>
      </c>
      <c r="BT31" s="6">
        <f t="shared" si="0"/>
        <v>0</v>
      </c>
      <c r="BV31" s="6">
        <f t="shared" si="1"/>
        <v>0</v>
      </c>
      <c r="BW31" s="12"/>
    </row>
    <row r="32" spans="1:75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6"/>
      <c r="BN32" s="101">
        <f>SUM(BN14:BN31)</f>
        <v>4656034.6000000006</v>
      </c>
      <c r="BO32" s="6"/>
      <c r="BP32" s="101">
        <f>SUM(BP14:BP31)</f>
        <v>293980</v>
      </c>
      <c r="BQ32" s="6"/>
      <c r="BR32" s="101">
        <f>SUM(BR14:BR31)</f>
        <v>134500</v>
      </c>
      <c r="BT32" s="101">
        <f>SUM(BT14:BT31)</f>
        <v>4790534.6000000006</v>
      </c>
      <c r="BV32" s="101">
        <f>SUM(BV14:BV31)</f>
        <v>-428480.60000000056</v>
      </c>
      <c r="BW32" s="12"/>
    </row>
    <row r="33" spans="1:75">
      <c r="A33" s="57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6"/>
      <c r="BN33" s="12"/>
      <c r="BO33" s="6"/>
      <c r="BP33" s="12"/>
      <c r="BQ33" s="6"/>
      <c r="BR33" s="12"/>
      <c r="BT33" s="12"/>
      <c r="BV33" s="12"/>
      <c r="BW33" s="12"/>
    </row>
    <row r="34" spans="1:75" s="114" customFormat="1">
      <c r="A34" s="112"/>
      <c r="B34" s="113" t="s">
        <v>15</v>
      </c>
      <c r="J34" s="155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91044023.440000013</v>
      </c>
      <c r="BO34" s="115"/>
      <c r="BP34" s="115">
        <f>+BP32+BP12</f>
        <v>1260469</v>
      </c>
      <c r="BQ34" s="115"/>
      <c r="BR34" s="115">
        <f>+BR32+BR12</f>
        <v>634500.15999998152</v>
      </c>
      <c r="BS34" s="115"/>
      <c r="BT34" s="115">
        <f>+BT32+BT12</f>
        <v>91678523.599999994</v>
      </c>
      <c r="BU34" s="115"/>
      <c r="BV34" s="115">
        <f>+BV32+BV12</f>
        <v>-1394969.6000000006</v>
      </c>
      <c r="BW34" s="115"/>
    </row>
    <row r="35" spans="1:75">
      <c r="A35" s="57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O35" s="6"/>
      <c r="BP35" s="6"/>
      <c r="BQ35" s="6"/>
      <c r="BW35" s="6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O36" s="6"/>
      <c r="BP36" s="6"/>
      <c r="BQ36" s="6"/>
      <c r="BW36" s="6"/>
    </row>
    <row r="37" spans="1:75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O37" s="6"/>
      <c r="BP37" s="6"/>
      <c r="BQ37" s="6"/>
      <c r="BW37" s="6"/>
    </row>
    <row r="38" spans="1:75">
      <c r="A38" s="57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O38" s="6"/>
      <c r="BP38" s="6"/>
      <c r="BQ38" s="6"/>
      <c r="BW38" s="6"/>
    </row>
    <row r="39" spans="1:75">
      <c r="A39" s="57"/>
      <c r="B39" s="230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O39" s="6"/>
      <c r="BP39" s="6"/>
      <c r="BQ39" s="6"/>
      <c r="BW39" s="6"/>
    </row>
    <row r="40" spans="1:75">
      <c r="A40" s="57"/>
      <c r="B40" s="231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3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>
        <f t="shared" ref="BN40:BN47" si="5">SUM(T40:BM40)</f>
        <v>434961</v>
      </c>
      <c r="BO40" s="6"/>
      <c r="BP40" s="6">
        <f>1164271-1132835</f>
        <v>31436</v>
      </c>
      <c r="BQ40" s="6"/>
      <c r="BR40" s="6">
        <f t="shared" ref="BR40:BR47" si="6">IF(+R40-BN40+BP40&gt;0,R40-BN40+BP40,0)</f>
        <v>729329</v>
      </c>
      <c r="BT40" s="6">
        <f t="shared" ref="BT40:BT47" si="7">+BN40+BR40</f>
        <v>1164290</v>
      </c>
      <c r="BV40" s="6">
        <f>+R40-BT40</f>
        <v>-31436</v>
      </c>
      <c r="BW40" s="6"/>
    </row>
    <row r="41" spans="1:75">
      <c r="A41" s="57"/>
      <c r="B41" s="231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3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>
        <f t="shared" si="5"/>
        <v>717041</v>
      </c>
      <c r="BO41" s="6"/>
      <c r="BP41" s="6">
        <f>2003210-1580972</f>
        <v>422238</v>
      </c>
      <c r="BQ41" s="6"/>
      <c r="BR41" s="6">
        <f t="shared" si="6"/>
        <v>1286169</v>
      </c>
      <c r="BT41" s="6">
        <f t="shared" si="7"/>
        <v>2003210</v>
      </c>
      <c r="BV41" s="6">
        <f t="shared" ref="BV41:BV46" si="8">+R41-BT41</f>
        <v>-422238</v>
      </c>
      <c r="BW41" s="6"/>
    </row>
    <row r="42" spans="1:75">
      <c r="A42" s="57"/>
      <c r="B42" s="231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3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>
        <f t="shared" si="5"/>
        <v>3988889</v>
      </c>
      <c r="BO42" s="6"/>
      <c r="BP42" s="6">
        <f>9627760-8636947</f>
        <v>990813</v>
      </c>
      <c r="BQ42" s="6"/>
      <c r="BR42" s="6">
        <f t="shared" si="6"/>
        <v>5638872</v>
      </c>
      <c r="BT42" s="6">
        <f t="shared" si="7"/>
        <v>9627761</v>
      </c>
      <c r="BV42" s="6">
        <f t="shared" si="8"/>
        <v>-990813</v>
      </c>
      <c r="BW42" s="6"/>
    </row>
    <row r="43" spans="1:75">
      <c r="A43" s="57"/>
      <c r="B43" s="231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3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f t="shared" si="5"/>
        <v>421749</v>
      </c>
      <c r="BO43" s="6"/>
      <c r="BP43" s="6">
        <f>465690-384721</f>
        <v>80969</v>
      </c>
      <c r="BQ43" s="6"/>
      <c r="BR43" s="6">
        <f t="shared" si="6"/>
        <v>43941</v>
      </c>
      <c r="BT43" s="6">
        <f t="shared" si="7"/>
        <v>465690</v>
      </c>
      <c r="BV43" s="6">
        <f t="shared" si="8"/>
        <v>-80969</v>
      </c>
      <c r="BW43" s="6"/>
    </row>
    <row r="44" spans="1:75">
      <c r="A44" s="57"/>
      <c r="B44" s="231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3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f t="shared" si="5"/>
        <v>33294</v>
      </c>
      <c r="BO44" s="6"/>
      <c r="BP44" s="6">
        <v>0</v>
      </c>
      <c r="BQ44" s="6"/>
      <c r="BR44" s="6">
        <f t="shared" si="6"/>
        <v>116706</v>
      </c>
      <c r="BT44" s="6">
        <f t="shared" si="7"/>
        <v>150000</v>
      </c>
      <c r="BV44" s="6">
        <f t="shared" si="8"/>
        <v>0</v>
      </c>
      <c r="BW44" s="6"/>
    </row>
    <row r="45" spans="1:75">
      <c r="A45" s="57"/>
      <c r="B45" s="231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3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f t="shared" si="5"/>
        <v>0</v>
      </c>
      <c r="BO45" s="6"/>
      <c r="BP45" s="6">
        <v>-547484</v>
      </c>
      <c r="BQ45" s="6"/>
      <c r="BR45" s="6">
        <f t="shared" si="6"/>
        <v>0</v>
      </c>
      <c r="BT45" s="6">
        <f t="shared" si="7"/>
        <v>0</v>
      </c>
      <c r="BV45" s="6">
        <f t="shared" si="8"/>
        <v>547484</v>
      </c>
      <c r="BW45" s="6"/>
    </row>
    <row r="46" spans="1:75">
      <c r="A46" s="57"/>
      <c r="B46" s="231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3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f t="shared" si="5"/>
        <v>0</v>
      </c>
      <c r="BO46" s="6"/>
      <c r="BP46" s="6">
        <v>-485</v>
      </c>
      <c r="BQ46" s="6"/>
      <c r="BR46" s="6">
        <f t="shared" si="6"/>
        <v>0</v>
      </c>
      <c r="BT46" s="6">
        <f t="shared" si="7"/>
        <v>0</v>
      </c>
      <c r="BV46" s="6">
        <f t="shared" si="8"/>
        <v>-231</v>
      </c>
      <c r="BW46" s="6"/>
    </row>
    <row r="47" spans="1:75">
      <c r="A47" s="57"/>
      <c r="B47" s="231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f t="shared" si="5"/>
        <v>0</v>
      </c>
      <c r="BO47" s="6"/>
      <c r="BP47" s="6">
        <v>0</v>
      </c>
      <c r="BQ47" s="6"/>
      <c r="BR47" s="6">
        <f t="shared" si="6"/>
        <v>0</v>
      </c>
      <c r="BT47" s="6">
        <f t="shared" si="7"/>
        <v>0</v>
      </c>
      <c r="BW47" s="6"/>
    </row>
    <row r="48" spans="1:75" s="21" customFormat="1">
      <c r="A48" s="118"/>
      <c r="B48" s="234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V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>
        <f t="shared" si="10"/>
        <v>0</v>
      </c>
      <c r="BN48" s="9">
        <f t="shared" si="10"/>
        <v>5595934</v>
      </c>
      <c r="BO48" s="9">
        <f t="shared" si="10"/>
        <v>0</v>
      </c>
      <c r="BP48" s="9">
        <f t="shared" si="10"/>
        <v>977487</v>
      </c>
      <c r="BQ48" s="9">
        <f t="shared" si="10"/>
        <v>0</v>
      </c>
      <c r="BR48" s="9">
        <f t="shared" si="10"/>
        <v>7815017</v>
      </c>
      <c r="BS48" s="9">
        <f t="shared" si="10"/>
        <v>0</v>
      </c>
      <c r="BT48" s="9">
        <f t="shared" si="10"/>
        <v>13410951</v>
      </c>
      <c r="BU48" s="9">
        <f t="shared" si="10"/>
        <v>0</v>
      </c>
      <c r="BV48" s="9">
        <f t="shared" si="10"/>
        <v>-978203</v>
      </c>
      <c r="BW48" s="9"/>
    </row>
    <row r="49" spans="1:75">
      <c r="A49" s="57"/>
      <c r="B49" s="232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O49" s="6"/>
      <c r="BP49" s="6"/>
      <c r="BQ49" s="6"/>
      <c r="BW49" s="6"/>
    </row>
    <row r="50" spans="1:75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>
        <f>SUM(T50:BM50)</f>
        <v>0</v>
      </c>
      <c r="BO50" s="6"/>
      <c r="BP50" s="6"/>
      <c r="BQ50" s="6"/>
      <c r="BW50" s="6"/>
    </row>
    <row r="51" spans="1:75">
      <c r="A51"/>
      <c r="B51" s="231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3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>
        <f>SUM(T51:BM51)</f>
        <v>124742</v>
      </c>
      <c r="BO51" s="6"/>
      <c r="BP51" s="6"/>
      <c r="BQ51" s="6"/>
      <c r="BR51" s="6">
        <f>IF(+R51-BN51+BP51&gt;0,R51-BN51+BP51,0)</f>
        <v>212418</v>
      </c>
      <c r="BT51" s="6">
        <f>+BN51+BR51</f>
        <v>337160</v>
      </c>
      <c r="BV51" s="6">
        <f>+R51-BT51</f>
        <v>0</v>
      </c>
      <c r="BW51" s="6"/>
    </row>
    <row r="52" spans="1:75">
      <c r="A52"/>
      <c r="B52" s="231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3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>
        <f>SUM(T52:BM52)</f>
        <v>1125407</v>
      </c>
      <c r="BO52" s="6"/>
      <c r="BP52" s="6">
        <f>3268613-3526570</f>
        <v>-257957</v>
      </c>
      <c r="BQ52" s="6"/>
      <c r="BR52" s="6">
        <f>IF(+R52-BN52+BP52&gt;0,R52-BN52+BP52,0)</f>
        <v>2143206</v>
      </c>
      <c r="BT52" s="6">
        <f>+BN52+BR52</f>
        <v>3268613</v>
      </c>
      <c r="BV52" s="6">
        <f>+R52-BT52</f>
        <v>257957</v>
      </c>
      <c r="BW52" s="6"/>
    </row>
    <row r="53" spans="1:75">
      <c r="A53"/>
      <c r="B53" s="231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3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>
        <f>SUM(T53:BM53)</f>
        <v>7369</v>
      </c>
      <c r="BO53" s="6"/>
      <c r="BP53" s="6">
        <f>877394-967394</f>
        <v>-90000</v>
      </c>
      <c r="BQ53" s="6"/>
      <c r="BR53" s="6">
        <f>IF(+R53-BN53+BP53&gt;0,R53-BN53+BP53,0)</f>
        <v>870025</v>
      </c>
      <c r="BT53" s="6">
        <f>+BN53+BR53</f>
        <v>877394</v>
      </c>
      <c r="BV53" s="6">
        <f>+R53-BT53</f>
        <v>90000</v>
      </c>
      <c r="BW53" s="6"/>
    </row>
    <row r="54" spans="1:75">
      <c r="A54"/>
      <c r="B54" s="231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3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>
        <f>SUM(T54:BM54)</f>
        <v>4953</v>
      </c>
      <c r="BO54" s="6"/>
      <c r="BP54" s="6">
        <f>466609-577625</f>
        <v>-111016</v>
      </c>
      <c r="BQ54" s="6"/>
      <c r="BR54" s="6">
        <f>IF(+R54-BN54+BP54&gt;0,R54-BN54+BP54,0)</f>
        <v>461656</v>
      </c>
      <c r="BT54" s="6">
        <f>+BN54+BR54</f>
        <v>466609</v>
      </c>
      <c r="BV54" s="6">
        <f>+R54-BT54</f>
        <v>111016</v>
      </c>
      <c r="BW54" s="6"/>
    </row>
    <row r="55" spans="1:75" s="21" customFormat="1">
      <c r="B55" s="234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V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>
        <f t="shared" si="12"/>
        <v>0</v>
      </c>
      <c r="BN55" s="9">
        <f t="shared" si="12"/>
        <v>1262471</v>
      </c>
      <c r="BO55" s="9">
        <f t="shared" si="12"/>
        <v>0</v>
      </c>
      <c r="BP55" s="9">
        <f t="shared" si="12"/>
        <v>-458973</v>
      </c>
      <c r="BQ55" s="9">
        <f t="shared" si="12"/>
        <v>0</v>
      </c>
      <c r="BR55" s="9">
        <f t="shared" si="12"/>
        <v>3687305</v>
      </c>
      <c r="BS55" s="9">
        <f t="shared" si="12"/>
        <v>0</v>
      </c>
      <c r="BT55" s="9">
        <f t="shared" si="12"/>
        <v>4949776</v>
      </c>
      <c r="BU55" s="9">
        <f t="shared" si="12"/>
        <v>0</v>
      </c>
      <c r="BV55" s="9">
        <f t="shared" si="12"/>
        <v>458973</v>
      </c>
      <c r="BW55" s="9"/>
    </row>
    <row r="56" spans="1:75" s="21" customFormat="1">
      <c r="B56" s="234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</row>
    <row r="57" spans="1:75" s="21" customFormat="1">
      <c r="B57" s="235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</row>
    <row r="58" spans="1:75" s="21" customFormat="1">
      <c r="B58" s="236" t="s">
        <v>299</v>
      </c>
      <c r="J58" s="8"/>
      <c r="L58" s="141"/>
      <c r="M58" s="9"/>
      <c r="N58" s="9"/>
      <c r="O58" s="9"/>
      <c r="P58" s="9"/>
      <c r="Q58" s="9"/>
      <c r="R58" s="233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6">
        <f t="shared" ref="BN58:BN78" si="13">SUM(T58:BM58)</f>
        <v>708372</v>
      </c>
      <c r="BO58" s="9"/>
      <c r="BP58" s="6">
        <f>431043+930942-1021325</f>
        <v>340660</v>
      </c>
      <c r="BQ58" s="9"/>
      <c r="BR58" s="6">
        <f>IF(+R58-BN58+BP58&gt;0,R58-BN58+BP58,0)</f>
        <v>653613</v>
      </c>
      <c r="BS58" s="6"/>
      <c r="BT58" s="6">
        <f>+BN58+BR58</f>
        <v>1361985</v>
      </c>
      <c r="BU58" s="6"/>
      <c r="BV58" s="6">
        <f>+R58-BT58</f>
        <v>-340660</v>
      </c>
      <c r="BW58" s="9"/>
    </row>
    <row r="59" spans="1:75" s="21" customFormat="1">
      <c r="B59" s="236" t="s">
        <v>365</v>
      </c>
      <c r="J59" s="8"/>
      <c r="L59" s="141"/>
      <c r="M59" s="9"/>
      <c r="N59" s="9"/>
      <c r="O59" s="9"/>
      <c r="P59" s="9"/>
      <c r="Q59" s="9"/>
      <c r="R59" s="233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6">
        <f>SUM(T59:BM59)</f>
        <v>56319</v>
      </c>
      <c r="BO59" s="6">
        <f>SUM(U59:BN59)</f>
        <v>112638</v>
      </c>
      <c r="BP59" s="6">
        <v>2535</v>
      </c>
      <c r="BQ59" s="6">
        <f>SUM(W59:BP59)</f>
        <v>227811</v>
      </c>
      <c r="BR59" s="6">
        <f>IF(+R59-BN59+BP59&gt;0,R59-BN59+BP59,0)</f>
        <v>0</v>
      </c>
      <c r="BS59" s="6">
        <f>SUM(Y59:BR59)</f>
        <v>455622</v>
      </c>
      <c r="BT59" s="6">
        <f>+BN59+BR59</f>
        <v>56319</v>
      </c>
      <c r="BU59" s="6">
        <f>SUM(AA59:BT59)</f>
        <v>967563</v>
      </c>
      <c r="BV59" s="6">
        <f>+R59-BT59</f>
        <v>-56319</v>
      </c>
      <c r="BW59" s="9"/>
    </row>
    <row r="60" spans="1:75" s="21" customFormat="1">
      <c r="B60" s="236" t="s">
        <v>387</v>
      </c>
      <c r="J60" s="8"/>
      <c r="L60" s="141"/>
      <c r="M60" s="9"/>
      <c r="N60" s="9"/>
      <c r="O60" s="9"/>
      <c r="P60" s="9"/>
      <c r="Q60" s="9"/>
      <c r="R60" s="233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6">
        <f t="shared" si="13"/>
        <v>518815</v>
      </c>
      <c r="BO60" s="6">
        <f>SUM(U60:BN60)</f>
        <v>1037630</v>
      </c>
      <c r="BP60" s="6">
        <f>763505-520119</f>
        <v>243386</v>
      </c>
      <c r="BQ60" s="6">
        <f>SUM(W60:BP60)</f>
        <v>2318646</v>
      </c>
      <c r="BR60" s="6">
        <f>IF(+R60-BN60+BP60&gt;0,R60-BN60+BP60,0)</f>
        <v>244690</v>
      </c>
      <c r="BS60" s="6">
        <f>SUM(Y60:BR60)</f>
        <v>4881982</v>
      </c>
      <c r="BT60" s="6">
        <f>+BN60+BR60</f>
        <v>763505</v>
      </c>
      <c r="BU60" s="6">
        <f>SUM(AA60:BT60)</f>
        <v>10527469</v>
      </c>
      <c r="BV60" s="6">
        <f>+R60-BT60</f>
        <v>-243386</v>
      </c>
      <c r="BW60" s="9"/>
    </row>
    <row r="61" spans="1:75" s="21" customFormat="1">
      <c r="B61" s="236" t="s">
        <v>300</v>
      </c>
      <c r="J61" s="8"/>
      <c r="L61" s="141"/>
      <c r="M61" s="9"/>
      <c r="N61" s="9"/>
      <c r="O61" s="9"/>
      <c r="P61" s="9"/>
      <c r="Q61" s="9"/>
      <c r="R61" s="233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6">
        <f t="shared" si="13"/>
        <v>146856</v>
      </c>
      <c r="BO61" s="9"/>
      <c r="BP61" s="9"/>
      <c r="BQ61" s="9"/>
      <c r="BR61" s="6">
        <f t="shared" ref="BR61:BR77" si="14">IF(+R61-BN61+BP61&gt;0,R61-BN61+BP61,0)</f>
        <v>228272</v>
      </c>
      <c r="BS61" s="6"/>
      <c r="BT61" s="6">
        <f t="shared" ref="BT61:BT78" si="15">+BN61+BR61</f>
        <v>375128</v>
      </c>
      <c r="BU61" s="6"/>
      <c r="BV61" s="6">
        <f t="shared" ref="BV61:BV78" si="16">+R61-BT61</f>
        <v>0</v>
      </c>
      <c r="BW61" s="9"/>
    </row>
    <row r="62" spans="1:75" s="21" customFormat="1">
      <c r="B62" s="236" t="s">
        <v>388</v>
      </c>
      <c r="J62" s="8"/>
      <c r="L62" s="141"/>
      <c r="M62" s="9"/>
      <c r="N62" s="9"/>
      <c r="O62" s="9"/>
      <c r="P62" s="9"/>
      <c r="Q62" s="9"/>
      <c r="R62" s="233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6">
        <f t="shared" si="13"/>
        <v>362820</v>
      </c>
      <c r="BO62" s="9"/>
      <c r="BP62" s="6">
        <f>678416-460629</f>
        <v>217787</v>
      </c>
      <c r="BQ62" s="9"/>
      <c r="BR62" s="6">
        <f t="shared" si="14"/>
        <v>315596</v>
      </c>
      <c r="BS62" s="6"/>
      <c r="BT62" s="6">
        <f t="shared" si="15"/>
        <v>678416</v>
      </c>
      <c r="BU62" s="6"/>
      <c r="BV62" s="6">
        <f t="shared" si="16"/>
        <v>-217787</v>
      </c>
      <c r="BW62" s="9"/>
    </row>
    <row r="63" spans="1:75" s="21" customFormat="1">
      <c r="B63" s="236" t="s">
        <v>301</v>
      </c>
      <c r="J63" s="8"/>
      <c r="L63" s="141"/>
      <c r="M63" s="9"/>
      <c r="N63" s="9"/>
      <c r="O63" s="9"/>
      <c r="P63" s="9"/>
      <c r="Q63" s="9"/>
      <c r="R63" s="233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6">
        <f t="shared" si="13"/>
        <v>123436</v>
      </c>
      <c r="BO63" s="9"/>
      <c r="BP63" s="9"/>
      <c r="BQ63" s="9"/>
      <c r="BR63" s="6">
        <f t="shared" si="14"/>
        <v>69714</v>
      </c>
      <c r="BS63" s="6"/>
      <c r="BT63" s="6">
        <f t="shared" si="15"/>
        <v>193150</v>
      </c>
      <c r="BU63" s="6"/>
      <c r="BV63" s="6">
        <f t="shared" si="16"/>
        <v>0</v>
      </c>
      <c r="BW63" s="9"/>
    </row>
    <row r="64" spans="1:75" s="21" customFormat="1">
      <c r="B64" s="236" t="s">
        <v>394</v>
      </c>
      <c r="J64" s="8"/>
      <c r="L64" s="141"/>
      <c r="M64" s="9"/>
      <c r="N64" s="9"/>
      <c r="O64" s="9"/>
      <c r="P64" s="9"/>
      <c r="Q64" s="9"/>
      <c r="R64" s="233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6">
        <f t="shared" si="13"/>
        <v>796722</v>
      </c>
      <c r="BO64" s="9"/>
      <c r="BP64" s="6">
        <f>1395362-896017</f>
        <v>499345</v>
      </c>
      <c r="BQ64" s="9"/>
      <c r="BR64" s="6">
        <f t="shared" si="14"/>
        <v>598640</v>
      </c>
      <c r="BS64" s="6"/>
      <c r="BT64" s="6">
        <f t="shared" si="15"/>
        <v>1395362</v>
      </c>
      <c r="BU64" s="6"/>
      <c r="BV64" s="6">
        <f t="shared" si="16"/>
        <v>-499345</v>
      </c>
      <c r="BW64" s="9"/>
    </row>
    <row r="65" spans="2:77" s="21" customFormat="1">
      <c r="B65" s="236" t="s">
        <v>302</v>
      </c>
      <c r="J65" s="8"/>
      <c r="L65" s="141"/>
      <c r="M65" s="9"/>
      <c r="N65" s="9"/>
      <c r="O65" s="9"/>
      <c r="P65" s="9"/>
      <c r="Q65" s="9"/>
      <c r="R65" s="233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6">
        <f t="shared" si="13"/>
        <v>520612</v>
      </c>
      <c r="BO65" s="9"/>
      <c r="BP65" s="9"/>
      <c r="BQ65" s="9"/>
      <c r="BR65" s="6">
        <f t="shared" si="14"/>
        <v>144254</v>
      </c>
      <c r="BS65" s="6"/>
      <c r="BT65" s="6">
        <f t="shared" si="15"/>
        <v>664866</v>
      </c>
      <c r="BU65" s="6"/>
      <c r="BV65" s="6">
        <f t="shared" si="16"/>
        <v>0</v>
      </c>
      <c r="BW65" s="9"/>
    </row>
    <row r="66" spans="2:77" s="21" customFormat="1">
      <c r="B66" s="236" t="s">
        <v>399</v>
      </c>
      <c r="J66" s="8"/>
      <c r="L66" s="141"/>
      <c r="M66" s="9"/>
      <c r="N66" s="9"/>
      <c r="O66" s="9"/>
      <c r="P66" s="9"/>
      <c r="Q66" s="9"/>
      <c r="R66" s="233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6">
        <f t="shared" si="13"/>
        <v>10758</v>
      </c>
      <c r="BO66" s="6">
        <f>SUM(U66:BN66)</f>
        <v>21516</v>
      </c>
      <c r="BP66" s="6">
        <f>148255-94449</f>
        <v>53806</v>
      </c>
      <c r="BQ66" s="6">
        <f>SUM(W66:BP66)</f>
        <v>96838</v>
      </c>
      <c r="BR66" s="6">
        <f t="shared" si="14"/>
        <v>137497</v>
      </c>
      <c r="BS66" s="6">
        <f>SUM(Y66:BR66)</f>
        <v>331173</v>
      </c>
      <c r="BT66" s="6">
        <f t="shared" si="15"/>
        <v>148255</v>
      </c>
      <c r="BU66" s="6">
        <f>SUM(AA66:BT66)</f>
        <v>810601</v>
      </c>
      <c r="BV66" s="6">
        <f t="shared" si="16"/>
        <v>-53806</v>
      </c>
      <c r="BW66" s="6">
        <f>SUM(AC66:BV66)</f>
        <v>1567396</v>
      </c>
      <c r="BX66" s="6">
        <f>SUM(AD66:BW66)</f>
        <v>3134792</v>
      </c>
      <c r="BY66" s="6">
        <f>SUM(AE66:BX66)</f>
        <v>6269584</v>
      </c>
    </row>
    <row r="67" spans="2:77" s="21" customFormat="1">
      <c r="B67" s="236" t="s">
        <v>393</v>
      </c>
      <c r="J67" s="8"/>
      <c r="L67" s="141"/>
      <c r="M67" s="9"/>
      <c r="N67" s="9"/>
      <c r="O67" s="9"/>
      <c r="P67" s="9"/>
      <c r="Q67" s="9"/>
      <c r="R67" s="233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6">
        <f t="shared" si="13"/>
        <v>7700</v>
      </c>
      <c r="BO67" s="9"/>
      <c r="BP67" s="9"/>
      <c r="BQ67" s="9"/>
      <c r="BR67" s="6">
        <f t="shared" si="14"/>
        <v>39181</v>
      </c>
      <c r="BS67" s="6"/>
      <c r="BT67" s="6">
        <f t="shared" si="15"/>
        <v>46881</v>
      </c>
      <c r="BU67" s="6"/>
      <c r="BV67" s="6">
        <f t="shared" si="16"/>
        <v>0</v>
      </c>
      <c r="BW67" s="9"/>
    </row>
    <row r="68" spans="2:77" s="21" customFormat="1">
      <c r="B68" s="236" t="s">
        <v>303</v>
      </c>
      <c r="J68" s="8"/>
      <c r="L68" s="141"/>
      <c r="M68" s="9"/>
      <c r="N68" s="9"/>
      <c r="O68" s="9"/>
      <c r="P68" s="9"/>
      <c r="Q68" s="9"/>
      <c r="R68" s="233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6">
        <f t="shared" si="13"/>
        <v>2197</v>
      </c>
      <c r="BO68" s="9"/>
      <c r="BP68" s="6">
        <f>41160-26528</f>
        <v>14632</v>
      </c>
      <c r="BQ68" s="9"/>
      <c r="BR68" s="6">
        <f t="shared" si="14"/>
        <v>38963</v>
      </c>
      <c r="BS68" s="6"/>
      <c r="BT68" s="6">
        <f t="shared" si="15"/>
        <v>41160</v>
      </c>
      <c r="BU68" s="6"/>
      <c r="BV68" s="6">
        <f t="shared" si="16"/>
        <v>-14632</v>
      </c>
      <c r="BW68" s="9"/>
    </row>
    <row r="69" spans="2:77" s="21" customFormat="1">
      <c r="B69" s="236" t="s">
        <v>304</v>
      </c>
      <c r="J69" s="8"/>
      <c r="L69" s="141"/>
      <c r="M69" s="9"/>
      <c r="N69" s="9"/>
      <c r="O69" s="9"/>
      <c r="P69" s="9"/>
      <c r="Q69" s="9"/>
      <c r="R69" s="233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6">
        <f t="shared" si="13"/>
        <v>41858</v>
      </c>
      <c r="BO69" s="9"/>
      <c r="BP69" s="9"/>
      <c r="BQ69" s="9"/>
      <c r="BR69" s="6">
        <f t="shared" si="14"/>
        <v>52842</v>
      </c>
      <c r="BS69" s="6"/>
      <c r="BT69" s="6">
        <f t="shared" si="15"/>
        <v>94700</v>
      </c>
      <c r="BU69" s="6"/>
      <c r="BV69" s="6">
        <f t="shared" si="16"/>
        <v>0</v>
      </c>
      <c r="BW69" s="9"/>
    </row>
    <row r="70" spans="2:77" s="21" customFormat="1">
      <c r="B70" s="236" t="s">
        <v>305</v>
      </c>
      <c r="J70" s="8"/>
      <c r="L70" s="141"/>
      <c r="M70" s="9"/>
      <c r="N70" s="9"/>
      <c r="O70" s="9"/>
      <c r="P70" s="9"/>
      <c r="Q70" s="9"/>
      <c r="R70" s="233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6">
        <f t="shared" si="13"/>
        <v>6824</v>
      </c>
      <c r="BO70" s="9"/>
      <c r="BP70" s="9">
        <v>0</v>
      </c>
      <c r="BQ70" s="9"/>
      <c r="BR70" s="6">
        <f t="shared" si="14"/>
        <v>64104</v>
      </c>
      <c r="BS70" s="6"/>
      <c r="BT70" s="6">
        <f t="shared" si="15"/>
        <v>70928</v>
      </c>
      <c r="BU70" s="6"/>
      <c r="BV70" s="6">
        <f t="shared" si="16"/>
        <v>0</v>
      </c>
      <c r="BW70" s="9"/>
    </row>
    <row r="71" spans="2:77" s="21" customFormat="1">
      <c r="B71" s="236" t="s">
        <v>306</v>
      </c>
      <c r="J71" s="8"/>
      <c r="L71" s="141"/>
      <c r="M71" s="9"/>
      <c r="N71" s="9"/>
      <c r="O71" s="9"/>
      <c r="P71" s="9"/>
      <c r="Q71" s="9"/>
      <c r="R71" s="233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6">
        <f t="shared" si="13"/>
        <v>130320</v>
      </c>
      <c r="BO71" s="9"/>
      <c r="BP71" s="9"/>
      <c r="BQ71" s="9"/>
      <c r="BR71" s="6">
        <f t="shared" si="14"/>
        <v>494898</v>
      </c>
      <c r="BS71" s="6"/>
      <c r="BT71" s="6">
        <f t="shared" si="15"/>
        <v>625218</v>
      </c>
      <c r="BU71" s="6"/>
      <c r="BV71" s="6">
        <f t="shared" si="16"/>
        <v>0</v>
      </c>
      <c r="BW71" s="9"/>
    </row>
    <row r="72" spans="2:77" s="21" customFormat="1">
      <c r="B72" s="236" t="s">
        <v>391</v>
      </c>
      <c r="J72" s="8"/>
      <c r="L72" s="141"/>
      <c r="M72" s="9"/>
      <c r="N72" s="9"/>
      <c r="O72" s="9"/>
      <c r="P72" s="9"/>
      <c r="Q72" s="9"/>
      <c r="R72" s="233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6">
        <f t="shared" si="13"/>
        <v>4374</v>
      </c>
      <c r="BO72" s="9"/>
      <c r="BP72" s="6">
        <f>521832-351660</f>
        <v>170172</v>
      </c>
      <c r="BQ72" s="9"/>
      <c r="BR72" s="6">
        <f t="shared" si="14"/>
        <v>517458</v>
      </c>
      <c r="BS72" s="6"/>
      <c r="BT72" s="6">
        <f t="shared" si="15"/>
        <v>521832</v>
      </c>
      <c r="BU72" s="6"/>
      <c r="BV72" s="6">
        <f t="shared" si="16"/>
        <v>-170172</v>
      </c>
      <c r="BW72" s="9"/>
    </row>
    <row r="73" spans="2:77" s="21" customFormat="1">
      <c r="B73" s="236" t="s">
        <v>392</v>
      </c>
      <c r="J73" s="8"/>
      <c r="L73" s="141"/>
      <c r="M73" s="9"/>
      <c r="N73" s="9"/>
      <c r="O73" s="9"/>
      <c r="P73" s="9"/>
      <c r="Q73" s="9"/>
      <c r="R73" s="233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6">
        <f t="shared" si="13"/>
        <v>48259</v>
      </c>
      <c r="BO73" s="9"/>
      <c r="BP73" s="6">
        <f>2693778-1672316</f>
        <v>1021462</v>
      </c>
      <c r="BQ73" s="9"/>
      <c r="BR73" s="6">
        <f t="shared" si="14"/>
        <v>2645519</v>
      </c>
      <c r="BS73" s="6"/>
      <c r="BT73" s="6">
        <f t="shared" si="15"/>
        <v>2693778</v>
      </c>
      <c r="BU73" s="6"/>
      <c r="BV73" s="6">
        <f t="shared" si="16"/>
        <v>-1021462</v>
      </c>
      <c r="BW73" s="9"/>
    </row>
    <row r="74" spans="2:77" s="21" customFormat="1">
      <c r="B74" s="236" t="s">
        <v>397</v>
      </c>
      <c r="J74" s="8"/>
      <c r="L74" s="141"/>
      <c r="M74" s="9"/>
      <c r="N74" s="9"/>
      <c r="O74" s="9"/>
      <c r="P74" s="9"/>
      <c r="Q74" s="9"/>
      <c r="R74" s="233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6">
        <f t="shared" si="13"/>
        <v>15157</v>
      </c>
      <c r="BO74" s="9"/>
      <c r="BP74" s="6">
        <f>510525-373497</f>
        <v>137028</v>
      </c>
      <c r="BQ74" s="9"/>
      <c r="BR74" s="6">
        <f t="shared" si="14"/>
        <v>495368</v>
      </c>
      <c r="BS74" s="6"/>
      <c r="BT74" s="6">
        <f t="shared" si="15"/>
        <v>510525</v>
      </c>
      <c r="BU74" s="6"/>
      <c r="BV74" s="6">
        <f t="shared" si="16"/>
        <v>-137028</v>
      </c>
      <c r="BW74" s="9"/>
    </row>
    <row r="75" spans="2:77" s="21" customFormat="1">
      <c r="B75" s="236" t="s">
        <v>308</v>
      </c>
      <c r="J75" s="8"/>
      <c r="L75" s="141"/>
      <c r="M75" s="9"/>
      <c r="N75" s="9"/>
      <c r="O75" s="9"/>
      <c r="P75" s="9"/>
      <c r="Q75" s="9"/>
      <c r="R75" s="233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6">
        <f t="shared" si="13"/>
        <v>0</v>
      </c>
      <c r="BO75" s="9"/>
      <c r="BP75" s="9"/>
      <c r="BQ75" s="9"/>
      <c r="BR75" s="6">
        <f t="shared" si="14"/>
        <v>587792</v>
      </c>
      <c r="BS75" s="6"/>
      <c r="BT75" s="6">
        <f t="shared" si="15"/>
        <v>587792</v>
      </c>
      <c r="BU75" s="6"/>
      <c r="BV75" s="6">
        <f t="shared" si="16"/>
        <v>0</v>
      </c>
      <c r="BW75" s="9"/>
    </row>
    <row r="76" spans="2:77" s="21" customFormat="1">
      <c r="B76" s="236" t="s">
        <v>396</v>
      </c>
      <c r="J76" s="8"/>
      <c r="L76" s="141"/>
      <c r="M76" s="9"/>
      <c r="N76" s="9"/>
      <c r="O76" s="9"/>
      <c r="P76" s="9"/>
      <c r="Q76" s="9"/>
      <c r="R76" s="233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6">
        <f t="shared" si="13"/>
        <v>519279</v>
      </c>
      <c r="BO76" s="9"/>
      <c r="BP76" s="6">
        <f>4266355-3449390</f>
        <v>816965</v>
      </c>
      <c r="BQ76" s="9"/>
      <c r="BR76" s="6">
        <f t="shared" si="14"/>
        <v>3747076</v>
      </c>
      <c r="BS76" s="6"/>
      <c r="BT76" s="6">
        <f t="shared" si="15"/>
        <v>4266355</v>
      </c>
      <c r="BU76" s="6"/>
      <c r="BV76" s="6">
        <f t="shared" si="16"/>
        <v>-816965</v>
      </c>
      <c r="BW76" s="9"/>
    </row>
    <row r="77" spans="2:77" s="21" customFormat="1">
      <c r="B77" s="236" t="s">
        <v>398</v>
      </c>
      <c r="J77" s="8"/>
      <c r="L77" s="141"/>
      <c r="M77" s="9"/>
      <c r="N77" s="9"/>
      <c r="O77" s="9"/>
      <c r="P77" s="9"/>
      <c r="Q77" s="9"/>
      <c r="R77" s="233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6">
        <f t="shared" si="13"/>
        <v>46182</v>
      </c>
      <c r="BO77" s="9"/>
      <c r="BP77" s="6">
        <f>1011805-752310</f>
        <v>259495</v>
      </c>
      <c r="BQ77" s="9"/>
      <c r="BR77" s="6">
        <f t="shared" si="14"/>
        <v>965623</v>
      </c>
      <c r="BS77" s="6"/>
      <c r="BT77" s="6">
        <f t="shared" si="15"/>
        <v>1011805</v>
      </c>
      <c r="BU77" s="6"/>
      <c r="BV77" s="6">
        <f t="shared" si="16"/>
        <v>-259495</v>
      </c>
      <c r="BW77" s="9"/>
    </row>
    <row r="78" spans="2:77" s="21" customFormat="1">
      <c r="B78" s="236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6">
        <f t="shared" si="13"/>
        <v>1551987</v>
      </c>
      <c r="BO78" s="9"/>
      <c r="BP78" s="6">
        <v>0</v>
      </c>
      <c r="BQ78" s="9"/>
      <c r="BR78" s="6">
        <f>IF(+R78-BN78+BP78&gt;0,R78-BN78+BP78,0)</f>
        <v>0</v>
      </c>
      <c r="BS78" s="6"/>
      <c r="BT78" s="6">
        <f t="shared" si="15"/>
        <v>1551987</v>
      </c>
      <c r="BU78" s="6"/>
      <c r="BV78" s="6">
        <f t="shared" si="16"/>
        <v>-1551987</v>
      </c>
      <c r="BW78" s="9"/>
    </row>
    <row r="79" spans="2:77" s="21" customFormat="1">
      <c r="B79" s="237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2:77" s="21" customFormat="1">
      <c r="B80" s="234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>
        <f t="shared" ref="S80:BW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>
        <f t="shared" si="17"/>
        <v>0</v>
      </c>
      <c r="BN80" s="9">
        <f t="shared" si="17"/>
        <v>5618847</v>
      </c>
      <c r="BO80" s="9">
        <f t="shared" si="17"/>
        <v>1171784</v>
      </c>
      <c r="BP80" s="9">
        <f t="shared" si="17"/>
        <v>3777273</v>
      </c>
      <c r="BQ80" s="9">
        <f t="shared" si="17"/>
        <v>2643295</v>
      </c>
      <c r="BR80" s="9">
        <f t="shared" si="17"/>
        <v>12041100</v>
      </c>
      <c r="BS80" s="9">
        <f t="shared" si="17"/>
        <v>5668777</v>
      </c>
      <c r="BT80" s="9">
        <f t="shared" si="17"/>
        <v>17659947</v>
      </c>
      <c r="BU80" s="9">
        <f t="shared" si="17"/>
        <v>12305633</v>
      </c>
      <c r="BV80" s="9">
        <f t="shared" si="17"/>
        <v>-5383044</v>
      </c>
      <c r="BW80" s="9">
        <f t="shared" si="17"/>
        <v>1567396</v>
      </c>
    </row>
    <row r="81" spans="1:75" s="21" customFormat="1">
      <c r="B81" s="234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1:75" s="21" customFormat="1">
      <c r="B82" s="239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1:75" s="21" customFormat="1">
      <c r="B83" s="238" t="s">
        <v>67</v>
      </c>
      <c r="J83" s="8"/>
      <c r="L83" s="141"/>
      <c r="M83" s="9"/>
      <c r="N83" s="9"/>
      <c r="O83" s="9"/>
      <c r="P83" s="9"/>
      <c r="Q83" s="9"/>
      <c r="R83" s="233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6">
        <f>SUM(T83:BM83)</f>
        <v>2255645</v>
      </c>
      <c r="BO83" s="9"/>
      <c r="BP83" s="6">
        <f>10145929-7824800</f>
        <v>2321129</v>
      </c>
      <c r="BQ83" s="9"/>
      <c r="BR83" s="6">
        <f>IF(+R83-BN83+BP83&gt;0,R83-BN83+BP83,0)</f>
        <v>7890284</v>
      </c>
      <c r="BS83" s="6"/>
      <c r="BT83" s="6">
        <f>+BN83+BR83</f>
        <v>10145929</v>
      </c>
      <c r="BU83" s="6"/>
      <c r="BV83" s="6">
        <f>+R83-BT83</f>
        <v>-2321129</v>
      </c>
      <c r="BW83" s="9"/>
    </row>
    <row r="84" spans="1:75" s="21" customFormat="1">
      <c r="B84" s="231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1:75" s="21" customFormat="1"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V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>
        <f t="shared" si="19"/>
        <v>0</v>
      </c>
      <c r="BN85" s="9">
        <f t="shared" si="19"/>
        <v>2255645</v>
      </c>
      <c r="BO85" s="9">
        <f t="shared" si="19"/>
        <v>0</v>
      </c>
      <c r="BP85" s="9">
        <f t="shared" si="19"/>
        <v>2321129</v>
      </c>
      <c r="BQ85" s="9">
        <f t="shared" si="19"/>
        <v>0</v>
      </c>
      <c r="BR85" s="9">
        <f t="shared" si="19"/>
        <v>7890284</v>
      </c>
      <c r="BS85" s="9">
        <f t="shared" si="19"/>
        <v>0</v>
      </c>
      <c r="BT85" s="9">
        <f t="shared" si="19"/>
        <v>10145929</v>
      </c>
      <c r="BU85" s="9">
        <f t="shared" si="19"/>
        <v>0</v>
      </c>
      <c r="BV85" s="9">
        <f t="shared" si="19"/>
        <v>-2321129</v>
      </c>
      <c r="BW85" s="9"/>
    </row>
    <row r="86" spans="1:75" s="21" customFormat="1">
      <c r="B86" s="232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1:75" s="21" customFormat="1">
      <c r="B87" s="239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6">
        <f>SUM(T87:BM87)</f>
        <v>-943865</v>
      </c>
      <c r="BO87" s="9"/>
      <c r="BP87" s="9"/>
      <c r="BQ87" s="9"/>
      <c r="BR87" s="9">
        <v>0</v>
      </c>
      <c r="BS87" s="9"/>
      <c r="BT87" s="6"/>
      <c r="BU87" s="9"/>
      <c r="BV87" s="6">
        <f>+R87-BT87</f>
        <v>0</v>
      </c>
      <c r="BW87" s="9"/>
    </row>
    <row r="88" spans="1:75" s="21" customFormat="1">
      <c r="B88" s="232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1:75" s="21" customFormat="1">
      <c r="B89" s="239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6">
        <f>SUM(T89:BM89)</f>
        <v>28604967.620000001</v>
      </c>
      <c r="BO89" s="9"/>
      <c r="BP89" s="9">
        <f>43494000-40678250</f>
        <v>2815750</v>
      </c>
      <c r="BQ89" s="9"/>
      <c r="BR89" s="6">
        <f>-31433706+2634960.45</f>
        <v>-28798745.550000001</v>
      </c>
      <c r="BS89" s="9"/>
      <c r="BT89" s="6">
        <f>-46166603+43494000</f>
        <v>-2672603</v>
      </c>
      <c r="BU89" s="6"/>
      <c r="BV89" s="6">
        <f>+R89-BT89</f>
        <v>2672603</v>
      </c>
      <c r="BW89" s="9"/>
    </row>
    <row r="90" spans="1:75" s="21" customFormat="1">
      <c r="B90" s="234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1:75" s="105" customFormat="1">
      <c r="A91" s="240"/>
      <c r="B91" s="241" t="s">
        <v>243</v>
      </c>
      <c r="J91" s="156"/>
      <c r="L91" s="142"/>
      <c r="M91" s="13"/>
      <c r="N91" s="242">
        <f>SUM(N38:N90)</f>
        <v>0</v>
      </c>
      <c r="O91" s="13"/>
      <c r="P91" s="242">
        <f>SUM(P38:P90)</f>
        <v>0</v>
      </c>
      <c r="Q91" s="13"/>
      <c r="R91" s="242">
        <f t="shared" ref="R91:AS91" si="20">R85+R80+R55+R48+R89</f>
        <v>37943200</v>
      </c>
      <c r="S91" s="242">
        <f t="shared" si="20"/>
        <v>0</v>
      </c>
      <c r="T91" s="242">
        <f t="shared" si="20"/>
        <v>0</v>
      </c>
      <c r="U91" s="242">
        <f t="shared" si="20"/>
        <v>0</v>
      </c>
      <c r="V91" s="242">
        <f t="shared" si="20"/>
        <v>0</v>
      </c>
      <c r="W91" s="242">
        <f t="shared" si="20"/>
        <v>0</v>
      </c>
      <c r="X91" s="242">
        <f t="shared" si="20"/>
        <v>0</v>
      </c>
      <c r="Y91" s="242">
        <f t="shared" si="20"/>
        <v>0</v>
      </c>
      <c r="Z91" s="242">
        <f t="shared" si="20"/>
        <v>0</v>
      </c>
      <c r="AA91" s="242">
        <f t="shared" si="20"/>
        <v>0</v>
      </c>
      <c r="AB91" s="242">
        <f t="shared" si="20"/>
        <v>0</v>
      </c>
      <c r="AC91" s="242">
        <f t="shared" si="20"/>
        <v>0</v>
      </c>
      <c r="AD91" s="242">
        <f t="shared" si="20"/>
        <v>0</v>
      </c>
      <c r="AE91" s="242">
        <f t="shared" si="20"/>
        <v>0</v>
      </c>
      <c r="AF91" s="242">
        <f t="shared" si="20"/>
        <v>0</v>
      </c>
      <c r="AG91" s="242">
        <f t="shared" si="20"/>
        <v>0</v>
      </c>
      <c r="AH91" s="242">
        <f t="shared" si="20"/>
        <v>0</v>
      </c>
      <c r="AI91" s="242">
        <f t="shared" si="20"/>
        <v>0</v>
      </c>
      <c r="AJ91" s="242">
        <f t="shared" si="20"/>
        <v>0</v>
      </c>
      <c r="AK91" s="242">
        <f t="shared" si="20"/>
        <v>0</v>
      </c>
      <c r="AL91" s="242">
        <f t="shared" si="20"/>
        <v>0</v>
      </c>
      <c r="AM91" s="242">
        <f t="shared" si="20"/>
        <v>0</v>
      </c>
      <c r="AN91" s="242">
        <f t="shared" si="20"/>
        <v>0</v>
      </c>
      <c r="AO91" s="242">
        <f t="shared" si="20"/>
        <v>0</v>
      </c>
      <c r="AP91" s="242">
        <f t="shared" si="20"/>
        <v>4455378.55</v>
      </c>
      <c r="AQ91" s="242"/>
      <c r="AR91" s="242">
        <f t="shared" si="20"/>
        <v>0</v>
      </c>
      <c r="AS91" s="242">
        <f t="shared" si="20"/>
        <v>0</v>
      </c>
      <c r="AT91" s="242">
        <f t="shared" ref="AT91:BV91" si="21">AT85+AT80+AT55+AT48+AT89+AT87</f>
        <v>5237440.57</v>
      </c>
      <c r="AU91" s="242">
        <f t="shared" si="21"/>
        <v>0</v>
      </c>
      <c r="AV91" s="242">
        <f t="shared" si="21"/>
        <v>5993551</v>
      </c>
      <c r="AW91" s="242">
        <f t="shared" si="21"/>
        <v>0</v>
      </c>
      <c r="AX91" s="242">
        <f t="shared" si="21"/>
        <v>7520360</v>
      </c>
      <c r="AY91" s="242">
        <f t="shared" si="21"/>
        <v>0</v>
      </c>
      <c r="AZ91" s="242">
        <f t="shared" si="21"/>
        <v>6627016.5</v>
      </c>
      <c r="BA91" s="242">
        <f t="shared" si="21"/>
        <v>0</v>
      </c>
      <c r="BB91" s="242">
        <f t="shared" si="21"/>
        <v>0</v>
      </c>
      <c r="BC91" s="242">
        <f t="shared" si="21"/>
        <v>0</v>
      </c>
      <c r="BD91" s="242">
        <f t="shared" si="21"/>
        <v>11025293</v>
      </c>
      <c r="BE91" s="242">
        <f t="shared" si="21"/>
        <v>0</v>
      </c>
      <c r="BF91" s="242">
        <f t="shared" si="21"/>
        <v>1534960</v>
      </c>
      <c r="BG91" s="242">
        <f t="shared" si="21"/>
        <v>0</v>
      </c>
      <c r="BH91" s="242">
        <f t="shared" si="21"/>
        <v>0</v>
      </c>
      <c r="BI91" s="242">
        <f t="shared" si="21"/>
        <v>0</v>
      </c>
      <c r="BJ91" s="242">
        <f t="shared" si="21"/>
        <v>0</v>
      </c>
      <c r="BK91" s="242">
        <f>BK85+BK80+BK55+BK48+BK89+BK87</f>
        <v>0</v>
      </c>
      <c r="BL91" s="242">
        <f>BL85+BL80+BL55+BL48+BL89+BL87</f>
        <v>0</v>
      </c>
      <c r="BM91" s="242">
        <f t="shared" si="21"/>
        <v>0</v>
      </c>
      <c r="BN91" s="242">
        <f t="shared" si="21"/>
        <v>42393999.620000005</v>
      </c>
      <c r="BO91" s="242">
        <f t="shared" si="21"/>
        <v>1171784</v>
      </c>
      <c r="BP91" s="242">
        <f t="shared" si="21"/>
        <v>9432666</v>
      </c>
      <c r="BQ91" s="242">
        <f t="shared" si="21"/>
        <v>2643295</v>
      </c>
      <c r="BR91" s="242">
        <f t="shared" si="21"/>
        <v>2634960.4499999993</v>
      </c>
      <c r="BS91" s="242">
        <f t="shared" si="21"/>
        <v>5668777</v>
      </c>
      <c r="BT91" s="242">
        <f t="shared" si="21"/>
        <v>43494000</v>
      </c>
      <c r="BU91" s="242">
        <f t="shared" si="21"/>
        <v>12305633</v>
      </c>
      <c r="BV91" s="242">
        <f t="shared" si="21"/>
        <v>-5550800</v>
      </c>
      <c r="BW91" s="242">
        <f>BW85+BW80+BW55+BW48+BW89</f>
        <v>1567396</v>
      </c>
    </row>
    <row r="92" spans="1:75">
      <c r="A92" s="57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O92" s="6"/>
      <c r="BP92" s="6"/>
      <c r="BQ92" s="6"/>
      <c r="BW92" s="6"/>
    </row>
    <row r="93" spans="1:75">
      <c r="A93" s="57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O93" s="6"/>
      <c r="BP93" s="6"/>
      <c r="BQ93" s="6"/>
      <c r="BW93" s="6"/>
    </row>
    <row r="94" spans="1:75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O94" s="6"/>
      <c r="BP94" s="6"/>
      <c r="BQ94" s="6"/>
      <c r="BW94" s="6"/>
    </row>
    <row r="95" spans="1:75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f t="shared" ref="BN95:BN100" si="22">SUM(T95:BM95)</f>
        <v>936540.66333333321</v>
      </c>
      <c r="BO95" s="6"/>
      <c r="BP95" s="6">
        <v>0</v>
      </c>
      <c r="BQ95" s="6"/>
      <c r="BR95" s="6">
        <f t="shared" ref="BR95:BR101" si="23">IF(+R95-BN95+BP95&gt;0,R95-BN95+BP95,0)</f>
        <v>0</v>
      </c>
      <c r="BT95" s="6">
        <f t="shared" ref="BT95:BT100" si="24">+BN95+BR95</f>
        <v>936540.66333333321</v>
      </c>
      <c r="BV95" s="6">
        <f t="shared" ref="BV95:BV101" si="25">+R95-BT95</f>
        <v>-6740.6633333332138</v>
      </c>
      <c r="BW95" s="6"/>
    </row>
    <row r="96" spans="1:75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f t="shared" si="22"/>
        <v>2386682.3466666667</v>
      </c>
      <c r="BO96" s="6"/>
      <c r="BP96" s="6">
        <v>0</v>
      </c>
      <c r="BQ96" s="6"/>
      <c r="BR96" s="6">
        <f t="shared" si="23"/>
        <v>17.653333333320916</v>
      </c>
      <c r="BT96" s="6">
        <f t="shared" si="24"/>
        <v>2386700</v>
      </c>
      <c r="BV96" s="6">
        <f t="shared" si="25"/>
        <v>0</v>
      </c>
      <c r="BW96" s="6"/>
    </row>
    <row r="97" spans="1:75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f t="shared" si="22"/>
        <v>0</v>
      </c>
      <c r="BO97" s="6"/>
      <c r="BP97" s="6">
        <v>0</v>
      </c>
      <c r="BQ97" s="6"/>
      <c r="BR97" s="6">
        <f t="shared" si="23"/>
        <v>0</v>
      </c>
      <c r="BT97" s="6">
        <f t="shared" si="24"/>
        <v>0</v>
      </c>
      <c r="BV97" s="6">
        <f t="shared" si="25"/>
        <v>0</v>
      </c>
      <c r="BW97" s="6"/>
    </row>
    <row r="98" spans="1:75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f t="shared" si="22"/>
        <v>0</v>
      </c>
      <c r="BO98" s="6"/>
      <c r="BP98" s="12">
        <v>0</v>
      </c>
      <c r="BQ98" s="6"/>
      <c r="BR98" s="6">
        <f t="shared" si="23"/>
        <v>0</v>
      </c>
      <c r="BS98" s="12"/>
      <c r="BT98" s="6">
        <f t="shared" si="24"/>
        <v>0</v>
      </c>
      <c r="BU98" s="12"/>
      <c r="BV98" s="6">
        <f t="shared" si="25"/>
        <v>0</v>
      </c>
      <c r="BW98" s="12"/>
    </row>
    <row r="99" spans="1:75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4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f t="shared" si="22"/>
        <v>0</v>
      </c>
      <c r="BO99" s="12"/>
      <c r="BP99" s="12">
        <v>0</v>
      </c>
      <c r="BQ99" s="12"/>
      <c r="BR99" s="6">
        <f t="shared" si="23"/>
        <v>0</v>
      </c>
      <c r="BS99" s="12"/>
      <c r="BT99" s="6">
        <f t="shared" si="24"/>
        <v>0</v>
      </c>
      <c r="BU99" s="12"/>
      <c r="BV99" s="6">
        <f t="shared" si="25"/>
        <v>0</v>
      </c>
      <c r="BW99" s="12"/>
    </row>
    <row r="100" spans="1:75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f t="shared" si="22"/>
        <v>0</v>
      </c>
      <c r="BO100" s="6"/>
      <c r="BP100" s="12">
        <v>0</v>
      </c>
      <c r="BQ100" s="6"/>
      <c r="BR100" s="6">
        <f t="shared" si="23"/>
        <v>0</v>
      </c>
      <c r="BS100" s="12"/>
      <c r="BT100" s="6">
        <f t="shared" si="24"/>
        <v>0</v>
      </c>
      <c r="BU100" s="12"/>
      <c r="BV100" s="6">
        <f t="shared" si="25"/>
        <v>0</v>
      </c>
      <c r="BW100" s="12"/>
    </row>
    <row r="101" spans="1:75">
      <c r="A101" s="61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6"/>
      <c r="BP101" s="12"/>
      <c r="BQ101" s="6"/>
      <c r="BR101" s="6">
        <f t="shared" si="23"/>
        <v>0</v>
      </c>
      <c r="BS101" s="12"/>
      <c r="BT101" s="12"/>
      <c r="BU101" s="12"/>
      <c r="BV101" s="6">
        <f t="shared" si="25"/>
        <v>0</v>
      </c>
      <c r="BW101" s="12"/>
    </row>
    <row r="102" spans="1:75" s="114" customFormat="1">
      <c r="A102" s="112"/>
      <c r="B102" s="113" t="s">
        <v>244</v>
      </c>
      <c r="J102" s="155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5"/>
      <c r="BN102" s="116">
        <f>SUM(BN95:BN101)</f>
        <v>3323223.01</v>
      </c>
      <c r="BO102" s="115"/>
      <c r="BP102" s="116">
        <f>SUM(BP95:BP101)</f>
        <v>0</v>
      </c>
      <c r="BQ102" s="115"/>
      <c r="BR102" s="116">
        <f>SUM(BR95:BR101)</f>
        <v>17.653333333320916</v>
      </c>
      <c r="BS102" s="115"/>
      <c r="BT102" s="116">
        <f>SUM(BT95:BT101)</f>
        <v>3323240.6633333331</v>
      </c>
      <c r="BU102" s="115"/>
      <c r="BV102" s="116">
        <f>SUM(BV95:BV101)</f>
        <v>-6740.6633333332138</v>
      </c>
      <c r="BW102" s="117"/>
    </row>
    <row r="103" spans="1:75" customFormat="1"/>
    <row r="104" spans="1:75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</row>
    <row r="105" spans="1:75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f>SUM(T105:BM105)</f>
        <v>0</v>
      </c>
      <c r="BO105" s="22"/>
      <c r="BP105" s="22">
        <v>0</v>
      </c>
      <c r="BQ105" s="22"/>
      <c r="BR105" s="6">
        <f>IF(+R105-BN105+BP105&gt;0,R105-BN105+BP105,0)</f>
        <v>0</v>
      </c>
      <c r="BS105" s="22"/>
      <c r="BT105" s="6">
        <f>+BN105+BR105</f>
        <v>0</v>
      </c>
      <c r="BU105" s="22"/>
      <c r="BV105" s="6">
        <f>+R105-BT105</f>
        <v>0</v>
      </c>
      <c r="BW105" s="22"/>
    </row>
    <row r="106" spans="1:75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22"/>
      <c r="BN106" s="80"/>
      <c r="BO106" s="22"/>
      <c r="BP106" s="80"/>
      <c r="BQ106" s="22"/>
      <c r="BR106" s="80"/>
      <c r="BS106" s="22"/>
      <c r="BT106" s="80"/>
      <c r="BU106" s="22"/>
      <c r="BV106" s="6">
        <f>+R106-BT106</f>
        <v>0</v>
      </c>
      <c r="BW106" s="80"/>
    </row>
    <row r="107" spans="1:75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</row>
    <row r="108" spans="1:75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</row>
    <row r="109" spans="1:75" s="105" customFormat="1">
      <c r="A109" s="160" t="s">
        <v>246</v>
      </c>
      <c r="B109" s="63"/>
      <c r="J109" s="156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</row>
    <row r="110" spans="1:75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</row>
    <row r="111" spans="1:75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O111" s="6"/>
      <c r="BP111" s="6"/>
      <c r="BQ111" s="6"/>
      <c r="BS111" s="22"/>
      <c r="BU111" s="22"/>
      <c r="BW111" s="6"/>
    </row>
    <row r="112" spans="1:75">
      <c r="A112" s="61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f>SUM(T112:BM112)</f>
        <v>185000</v>
      </c>
      <c r="BO112" s="6"/>
      <c r="BP112" s="6">
        <v>0</v>
      </c>
      <c r="BQ112" s="6"/>
      <c r="BR112" s="6">
        <f>IF(+R112-BN112+BP112&gt;0,R112-BN112+BP112,0)</f>
        <v>0</v>
      </c>
      <c r="BS112" s="22"/>
      <c r="BT112" s="6">
        <f>+BN112+BR112</f>
        <v>185000</v>
      </c>
      <c r="BU112" s="22"/>
      <c r="BV112" s="6">
        <f>+R112-BT112</f>
        <v>0</v>
      </c>
      <c r="BW112" s="6"/>
    </row>
    <row r="113" spans="1:75">
      <c r="A113" s="61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/>
      <c r="BM113" s="6"/>
      <c r="BN113" s="6">
        <f>SUM(T113:BM113)</f>
        <v>902110.13</v>
      </c>
      <c r="BO113" s="6"/>
      <c r="BP113" s="6">
        <v>0</v>
      </c>
      <c r="BQ113" s="6"/>
      <c r="BR113" s="6">
        <f>IF(+R113-BN113+BP113&gt;0,R113-BN113+BP113,0)</f>
        <v>0</v>
      </c>
      <c r="BS113" s="22"/>
      <c r="BT113" s="6">
        <f>+BN113+BR113</f>
        <v>902110.13</v>
      </c>
      <c r="BU113" s="22"/>
      <c r="BV113" s="6">
        <f>+R113-BT113</f>
        <v>-178324.13</v>
      </c>
      <c r="BW113" s="6"/>
    </row>
    <row r="114" spans="1:75" hidden="1">
      <c r="A114" s="61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f>SUM(T114:BM114)</f>
        <v>0</v>
      </c>
      <c r="BO114" s="6"/>
      <c r="BP114" s="6">
        <v>0</v>
      </c>
      <c r="BQ114" s="6"/>
      <c r="BR114" s="6">
        <f>+R114-BN114+BP114</f>
        <v>0</v>
      </c>
      <c r="BS114" s="22"/>
      <c r="BT114" s="6">
        <f>+BN114+BR114</f>
        <v>0</v>
      </c>
      <c r="BU114" s="22"/>
      <c r="BV114" s="6">
        <f>+R114-BT114</f>
        <v>0</v>
      </c>
      <c r="BW114" s="6"/>
    </row>
    <row r="115" spans="1:75" s="21" customFormat="1">
      <c r="A115" s="56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0</v>
      </c>
      <c r="BM115" s="9"/>
      <c r="BN115" s="102">
        <f>SUM(BN112:BN114)</f>
        <v>1087110.1299999999</v>
      </c>
      <c r="BO115" s="9"/>
      <c r="BP115" s="102">
        <f>SUM(BP112:BP114)</f>
        <v>0</v>
      </c>
      <c r="BQ115" s="9"/>
      <c r="BR115" s="102">
        <f>SUM(BR112:BR114)</f>
        <v>0</v>
      </c>
      <c r="BS115" s="16"/>
      <c r="BT115" s="102">
        <f>SUM(BT112:BT114)</f>
        <v>1087110.1299999999</v>
      </c>
      <c r="BU115" s="16"/>
      <c r="BV115" s="102">
        <f>SUM(BV112:BV114)</f>
        <v>-178324.13</v>
      </c>
      <c r="BW115" s="9"/>
    </row>
    <row r="116" spans="1:75" s="21" customFormat="1">
      <c r="A116" s="56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9"/>
      <c r="BN116" s="10"/>
      <c r="BO116" s="9"/>
      <c r="BP116" s="10"/>
      <c r="BQ116" s="9"/>
      <c r="BR116" s="10"/>
      <c r="BS116" s="16"/>
      <c r="BT116" s="10"/>
      <c r="BU116" s="16"/>
      <c r="BV116" s="10"/>
      <c r="BW116" s="9"/>
    </row>
    <row r="117" spans="1:75" s="21" customFormat="1">
      <c r="A117" s="62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f>SUM(T117:BM117)</f>
        <v>0</v>
      </c>
      <c r="BO117" s="9"/>
      <c r="BP117" s="9">
        <v>0</v>
      </c>
      <c r="BQ117" s="9"/>
      <c r="BR117" s="6">
        <f>IF(+R117-BN117+BP117&gt;0,R117-BN117+BP117,0)</f>
        <v>0</v>
      </c>
      <c r="BS117" s="9"/>
      <c r="BT117" s="9">
        <f>+BN117+BR117</f>
        <v>0</v>
      </c>
      <c r="BU117" s="9"/>
      <c r="BV117" s="9">
        <f>+R117-BT117</f>
        <v>0</v>
      </c>
      <c r="BW117" s="9"/>
    </row>
    <row r="118" spans="1:75" s="21" customFormat="1">
      <c r="A118" s="62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</row>
    <row r="119" spans="1:75" s="21" customFormat="1">
      <c r="A119" s="56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f>SUM(T119:BM119)</f>
        <v>99110</v>
      </c>
      <c r="BO119" s="9"/>
      <c r="BP119" s="9">
        <v>0</v>
      </c>
      <c r="BQ119" s="9"/>
      <c r="BR119" s="6">
        <f>IF(+R119-BN119+BP119&gt;0,R119-BN119+BP119,0)</f>
        <v>1400890</v>
      </c>
      <c r="BS119" s="9"/>
      <c r="BT119" s="9">
        <f>+BN119+BR119</f>
        <v>1500000</v>
      </c>
      <c r="BU119" s="9"/>
      <c r="BV119" s="9">
        <f>+R119-BT119</f>
        <v>0</v>
      </c>
      <c r="BW119" s="9"/>
    </row>
    <row r="120" spans="1:75" s="21" customFormat="1">
      <c r="A120" s="56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</row>
    <row r="121" spans="1:75" s="31" customFormat="1">
      <c r="A121" s="58" t="s">
        <v>30</v>
      </c>
      <c r="J121" s="157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f>SUM(T121:BM121)</f>
        <v>13668.55</v>
      </c>
      <c r="BO121" s="10"/>
      <c r="BP121" s="10">
        <v>0</v>
      </c>
      <c r="BQ121" s="10"/>
      <c r="BR121" s="6">
        <f>IF(+R121-BN121+BP121&gt;0,R121-BN121+BP121,0)</f>
        <v>36331.449999999997</v>
      </c>
      <c r="BS121" s="10"/>
      <c r="BT121" s="9">
        <f>+BN121+BR121</f>
        <v>50000</v>
      </c>
      <c r="BU121" s="10"/>
      <c r="BV121" s="9">
        <f>+R121-BT121</f>
        <v>0</v>
      </c>
      <c r="BW121" s="10"/>
    </row>
    <row r="122" spans="1:75" s="21" customFormat="1">
      <c r="A122" s="56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</row>
    <row r="123" spans="1:75" s="21" customFormat="1">
      <c r="A123" s="56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f>SUM(T123:BM123)</f>
        <v>42514.879999999997</v>
      </c>
      <c r="BO123" s="9"/>
      <c r="BP123" s="9">
        <v>0</v>
      </c>
      <c r="BQ123" s="9"/>
      <c r="BR123" s="6">
        <f>IF(+R123-BN123+BP123&gt;0,R123-BN123+BP123,0)</f>
        <v>1130216.1200000001</v>
      </c>
      <c r="BS123" s="16"/>
      <c r="BT123" s="9">
        <f>+BN123+BR123</f>
        <v>1172731</v>
      </c>
      <c r="BU123" s="16"/>
      <c r="BV123" s="9">
        <f>+R123-BT123</f>
        <v>0</v>
      </c>
      <c r="BW123" s="9"/>
    </row>
    <row r="124" spans="1:75" s="21" customFormat="1">
      <c r="A124" s="56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</row>
    <row r="125" spans="1:75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O125" s="6"/>
      <c r="BP125" s="6"/>
      <c r="BQ125" s="6"/>
      <c r="BW125" s="6"/>
    </row>
    <row r="126" spans="1:75">
      <c r="A126" s="61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f>SUM(T126:BM126)</f>
        <v>75420.61</v>
      </c>
      <c r="BO126" s="6"/>
      <c r="BP126" s="6">
        <v>1000</v>
      </c>
      <c r="BQ126" s="6"/>
      <c r="BR126" s="6">
        <f>IF(+R126-BN126+BP126&gt;0,R126-BN126+BP126,0)</f>
        <v>0</v>
      </c>
      <c r="BT126" s="6">
        <f>+BN126+BR126</f>
        <v>75420.61</v>
      </c>
      <c r="BV126" s="6">
        <f>+R126-BT126</f>
        <v>-32920.61</v>
      </c>
      <c r="BW126" s="6"/>
    </row>
    <row r="127" spans="1:75">
      <c r="A127" s="61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f>SUM(T127:BM127)</f>
        <v>0</v>
      </c>
      <c r="BO127" s="6"/>
      <c r="BP127" s="6">
        <v>0</v>
      </c>
      <c r="BQ127" s="6"/>
      <c r="BR127" s="6">
        <f>IF(+R127-BN127+BP127&gt;0,R127-BN127+BP127,0)</f>
        <v>0</v>
      </c>
      <c r="BT127" s="6">
        <f>+BN127+BR127</f>
        <v>0</v>
      </c>
      <c r="BV127" s="6">
        <f>+R127-BT127</f>
        <v>0</v>
      </c>
      <c r="BW127" s="6"/>
    </row>
    <row r="128" spans="1:75">
      <c r="A128" s="61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/>
      <c r="BM128" s="6"/>
      <c r="BN128" s="6">
        <f>SUM(T128:BM128)</f>
        <v>1860594.96</v>
      </c>
      <c r="BO128" s="6"/>
      <c r="BP128" s="6">
        <f>341944+23213</f>
        <v>365157</v>
      </c>
      <c r="BQ128" s="6"/>
      <c r="BR128" s="6">
        <f>IF(+R128-BN128+BP128&gt;0,R128-BN128+BP128,0)</f>
        <v>0</v>
      </c>
      <c r="BT128" s="6">
        <f>+BN128+BR128</f>
        <v>1860594.96</v>
      </c>
      <c r="BV128" s="6">
        <f>+R128-BT128</f>
        <v>-1133094.96</v>
      </c>
      <c r="BW128" s="6"/>
    </row>
    <row r="129" spans="1:75">
      <c r="A129" s="61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O129" s="6"/>
      <c r="BP129" s="6"/>
      <c r="BQ129" s="6"/>
      <c r="BR129" s="6">
        <f>IF(+R129-BN129+BP129&gt;0,R129-BN129+BP129,0)</f>
        <v>0</v>
      </c>
      <c r="BT129" s="6">
        <f>+BN129+BR129</f>
        <v>0</v>
      </c>
      <c r="BV129" s="6">
        <f>+R129-BT129</f>
        <v>0</v>
      </c>
      <c r="BW129" s="6"/>
    </row>
    <row r="130" spans="1:75" s="21" customFormat="1">
      <c r="A130" s="56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0</v>
      </c>
      <c r="BM130" s="9"/>
      <c r="BN130" s="102">
        <f>SUM(BN126:BN129)</f>
        <v>1936015.57</v>
      </c>
      <c r="BO130" s="9"/>
      <c r="BP130" s="102">
        <f>SUM(BP126:BP129)</f>
        <v>366157</v>
      </c>
      <c r="BQ130" s="9"/>
      <c r="BR130" s="102">
        <f>SUM(BR126:BR129)</f>
        <v>0</v>
      </c>
      <c r="BS130" s="9"/>
      <c r="BT130" s="102">
        <f>SUM(BT126:BT129)</f>
        <v>1936015.57</v>
      </c>
      <c r="BU130" s="9"/>
      <c r="BV130" s="102">
        <f>SUM(BV126:BV129)</f>
        <v>-1166015.57</v>
      </c>
      <c r="BW130" s="9"/>
    </row>
    <row r="131" spans="1:75" s="21" customFormat="1">
      <c r="A131" s="56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</row>
    <row r="132" spans="1:75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O132" s="6"/>
      <c r="BP132" s="6"/>
      <c r="BQ132" s="6"/>
      <c r="BW132" s="6"/>
    </row>
    <row r="133" spans="1:75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IF(+R133-BN133+BP133&gt;0,R133-BN133+BP133,0)</f>
        <v>0</v>
      </c>
      <c r="BT133" s="6">
        <f>+BN133+BR133</f>
        <v>0</v>
      </c>
      <c r="BV133" s="6">
        <f>+R133-BT133</f>
        <v>0</v>
      </c>
      <c r="BW133" s="6"/>
    </row>
    <row r="134" spans="1:75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f>SUM(T134:BM134)</f>
        <v>0</v>
      </c>
      <c r="BO134" s="6"/>
      <c r="BP134" s="6">
        <v>0</v>
      </c>
      <c r="BQ134" s="6"/>
      <c r="BR134" s="6">
        <f>IF(+R134-BN134+BP134&gt;0,R134-BN134+BP134,0)</f>
        <v>0</v>
      </c>
      <c r="BT134" s="6">
        <f>+BN134+BR134</f>
        <v>0</v>
      </c>
      <c r="BV134" s="6">
        <f>+R134-BT134</f>
        <v>0</v>
      </c>
      <c r="BW134" s="6"/>
    </row>
    <row r="135" spans="1:75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>
        <f>SUM(T135:BM135)</f>
        <v>472616.27999999991</v>
      </c>
      <c r="BO135" s="6"/>
      <c r="BP135" s="6">
        <v>0</v>
      </c>
      <c r="BQ135" s="6"/>
      <c r="BR135" s="6">
        <f>IF(+R135-BN135+BP135&gt;0,R135-BN135+BP135,0)</f>
        <v>0</v>
      </c>
      <c r="BT135" s="6">
        <f>+BN135+BR135</f>
        <v>472616.27999999991</v>
      </c>
      <c r="BV135" s="6">
        <f>+R135-BT135</f>
        <v>-22616.279999999912</v>
      </c>
      <c r="BW135" s="6"/>
    </row>
    <row r="136" spans="1:75">
      <c r="A136" s="57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O136" s="6"/>
      <c r="BP136" s="6"/>
      <c r="BQ136" s="6"/>
      <c r="BW136" s="6"/>
    </row>
    <row r="137" spans="1:75" s="21" customFormat="1">
      <c r="A137" s="118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9"/>
      <c r="BN137" s="102">
        <f>SUM(BN133:BN136)</f>
        <v>472616.27999999991</v>
      </c>
      <c r="BO137" s="9"/>
      <c r="BP137" s="102">
        <f>SUM(BP133:BP136)</f>
        <v>0</v>
      </c>
      <c r="BQ137" s="9"/>
      <c r="BR137" s="102">
        <f>SUM(BR133:BR136)</f>
        <v>0</v>
      </c>
      <c r="BS137" s="9"/>
      <c r="BT137" s="102">
        <f>SUM(BT133:BT136)</f>
        <v>472616.27999999991</v>
      </c>
      <c r="BU137" s="9"/>
      <c r="BV137" s="102">
        <f>SUM(BV133:BV136)</f>
        <v>-22616.279999999912</v>
      </c>
      <c r="BW137" s="9"/>
    </row>
    <row r="138" spans="1:75" s="21" customFormat="1">
      <c r="A138" s="118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  <c r="BV138" s="10"/>
      <c r="BW138" s="9"/>
    </row>
    <row r="139" spans="1:75" s="21" customFormat="1">
      <c r="A139" s="56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/>
      <c r="BM139" s="9"/>
      <c r="BN139" s="9">
        <f>SUM(T139:BM139)</f>
        <v>424599.79</v>
      </c>
      <c r="BO139" s="9"/>
      <c r="BP139" s="9">
        <v>-4000000</v>
      </c>
      <c r="BQ139" s="9"/>
      <c r="BR139" s="6">
        <v>400000</v>
      </c>
      <c r="BS139" s="9"/>
      <c r="BT139" s="9">
        <f>+BN139+BR139</f>
        <v>824599.79</v>
      </c>
      <c r="BU139" s="9"/>
      <c r="BV139" s="9">
        <f>+R139-BT139</f>
        <v>4175400.21</v>
      </c>
      <c r="BW139" s="9"/>
    </row>
    <row r="140" spans="1:75" s="21" customFormat="1">
      <c r="A140" s="118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  <c r="BV140" s="10"/>
      <c r="BW140" s="9"/>
    </row>
    <row r="141" spans="1:75" s="21" customFormat="1">
      <c r="A141" s="56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f>SUM(T141:BM141)</f>
        <v>1331500</v>
      </c>
      <c r="BO141" s="9"/>
      <c r="BP141" s="9">
        <v>0</v>
      </c>
      <c r="BQ141" s="9"/>
      <c r="BR141" s="6">
        <f>IF(+R141-BN141+BP141&gt;0,R141-BN141+BP141,0)</f>
        <v>168500</v>
      </c>
      <c r="BS141" s="9"/>
      <c r="BT141" s="9">
        <f>+BN141+BR141</f>
        <v>1500000</v>
      </c>
      <c r="BU141" s="9"/>
      <c r="BV141" s="9">
        <f>+R141-BT141</f>
        <v>0</v>
      </c>
      <c r="BW141" s="9"/>
    </row>
    <row r="142" spans="1:75" s="21" customFormat="1">
      <c r="A142" s="118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  <c r="BV142" s="10"/>
      <c r="BW142" s="9"/>
    </row>
    <row r="143" spans="1:75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</row>
    <row r="144" spans="1:75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f>SUM(T144:BM144)</f>
        <v>0</v>
      </c>
      <c r="BO144" s="22"/>
      <c r="BP144" s="22">
        <v>0</v>
      </c>
      <c r="BQ144" s="22"/>
      <c r="BR144" s="22">
        <f>+R144-BN144+BP144</f>
        <v>0</v>
      </c>
      <c r="BS144" s="22"/>
      <c r="BT144" s="6">
        <f>+BN144+BR144</f>
        <v>0</v>
      </c>
      <c r="BU144" s="22"/>
      <c r="BV144" s="6">
        <f>+R144-BT144</f>
        <v>0</v>
      </c>
      <c r="BW144" s="22"/>
    </row>
    <row r="145" spans="1:124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f>SUM(T145:BM145)</f>
        <v>793190.69</v>
      </c>
      <c r="BO145" s="22"/>
      <c r="BP145" s="22">
        <v>0</v>
      </c>
      <c r="BQ145" s="22"/>
      <c r="BR145" s="6">
        <f>IF(+R145-BN145+BP145&gt;0,R145-BN145+BP145,0)</f>
        <v>206809.31000000006</v>
      </c>
      <c r="BS145" s="22"/>
      <c r="BT145" s="6">
        <f>+BN145+BR145</f>
        <v>1000000</v>
      </c>
      <c r="BU145" s="22"/>
      <c r="BV145" s="6">
        <f>+R145-BT145</f>
        <v>0</v>
      </c>
      <c r="BW145" s="22"/>
    </row>
    <row r="146" spans="1:124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f>SUM(T146:BM146)</f>
        <v>0</v>
      </c>
      <c r="BO146" s="22"/>
      <c r="BP146" s="22">
        <v>0</v>
      </c>
      <c r="BQ146" s="22"/>
      <c r="BR146" s="22">
        <f>+R146-BN146+BP146</f>
        <v>0</v>
      </c>
      <c r="BS146" s="22"/>
      <c r="BT146" s="6">
        <f>+BN146+BR146</f>
        <v>0</v>
      </c>
      <c r="BU146" s="22"/>
      <c r="BV146" s="6">
        <f>+R146-BT146</f>
        <v>0</v>
      </c>
      <c r="BW146" s="22"/>
    </row>
    <row r="147" spans="1:124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6"/>
      <c r="BN147" s="108">
        <f>SUM(BN144:BN146)</f>
        <v>793190.69</v>
      </c>
      <c r="BO147" s="16"/>
      <c r="BP147" s="108">
        <f>SUM(BP144:BP146)</f>
        <v>0</v>
      </c>
      <c r="BQ147" s="16"/>
      <c r="BR147" s="108">
        <f>SUM(BR144:BR146)</f>
        <v>206809.31000000006</v>
      </c>
      <c r="BS147" s="16"/>
      <c r="BT147" s="108">
        <f>SUM(BT144:BT146)</f>
        <v>1000000</v>
      </c>
      <c r="BU147" s="16"/>
      <c r="BV147" s="108">
        <f>SUM(BV144:BV146)</f>
        <v>0</v>
      </c>
      <c r="BW147" s="16"/>
    </row>
    <row r="148" spans="1:124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  <c r="BV148" s="103"/>
      <c r="BW148" s="16"/>
    </row>
    <row r="149" spans="1:124" s="31" customFormat="1">
      <c r="A149" s="58" t="s">
        <v>31</v>
      </c>
      <c r="J149" s="157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f>SUM(T149:BM149)</f>
        <v>175875</v>
      </c>
      <c r="BO149" s="10"/>
      <c r="BP149" s="10">
        <v>0</v>
      </c>
      <c r="BQ149" s="10"/>
      <c r="BR149" s="6">
        <f>IF(+R149-BN149+BP149&gt;0,R149-BN149+BP149,0)</f>
        <v>24125</v>
      </c>
      <c r="BS149" s="10"/>
      <c r="BT149" s="9">
        <f>+BN149+BR149</f>
        <v>200000</v>
      </c>
      <c r="BU149" s="10"/>
      <c r="BV149" s="9">
        <f>+R149-BT149</f>
        <v>0</v>
      </c>
      <c r="BW149" s="10"/>
    </row>
    <row r="150" spans="1:124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</row>
    <row r="151" spans="1:124" s="31" customFormat="1">
      <c r="A151" s="58" t="s">
        <v>32</v>
      </c>
      <c r="J151" s="157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f>SUM(T151:BM151)</f>
        <v>115431.41</v>
      </c>
      <c r="BO151" s="10"/>
      <c r="BP151" s="10">
        <v>-84569</v>
      </c>
      <c r="BQ151" s="10"/>
      <c r="BR151" s="6">
        <f>IF(+R151-BN151+BP151&gt;0,R151-BN151+BP151,0)</f>
        <v>0</v>
      </c>
      <c r="BS151" s="10"/>
      <c r="BT151" s="9">
        <f>+BN151+BR151</f>
        <v>115431.41</v>
      </c>
      <c r="BU151" s="10"/>
      <c r="BV151" s="9">
        <f>+R151-BT151</f>
        <v>84568.59</v>
      </c>
      <c r="BW151" s="10"/>
    </row>
    <row r="152" spans="1:124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</row>
    <row r="153" spans="1:124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O153" s="6"/>
      <c r="BP153" s="6"/>
      <c r="BQ153" s="6"/>
      <c r="BW153" s="6"/>
    </row>
    <row r="154" spans="1:124" s="11" customFormat="1">
      <c r="A154" s="17"/>
      <c r="B154" s="11" t="s">
        <v>184</v>
      </c>
      <c r="J154" s="158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f t="shared" ref="BN154:BN159" si="26">SUM(T154:BM154)</f>
        <v>14497.18</v>
      </c>
      <c r="BO154" s="12"/>
      <c r="BP154" s="12">
        <v>0</v>
      </c>
      <c r="BQ154" s="12"/>
      <c r="BR154" s="6">
        <f t="shared" ref="BR154:BR159" si="27">IF(+R154-BN154+BP154&gt;0,R154-BN154+BP154,0)</f>
        <v>15502.82</v>
      </c>
      <c r="BS154" s="12"/>
      <c r="BT154" s="6">
        <f t="shared" ref="BT154:BT159" si="28">+BN154+BR154</f>
        <v>30000</v>
      </c>
      <c r="BU154" s="12"/>
      <c r="BV154" s="6">
        <f t="shared" ref="BV154:BV159" si="29">+R154-BT154</f>
        <v>0</v>
      </c>
      <c r="BW154" s="12"/>
    </row>
    <row r="155" spans="1:124" s="11" customFormat="1">
      <c r="A155" s="17"/>
      <c r="B155" s="11" t="s">
        <v>34</v>
      </c>
      <c r="J155" s="158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>
        <f t="shared" si="26"/>
        <v>79163.12</v>
      </c>
      <c r="BO155" s="12"/>
      <c r="BP155" s="12">
        <v>0</v>
      </c>
      <c r="BQ155" s="12"/>
      <c r="BR155" s="6">
        <f t="shared" si="27"/>
        <v>70836.88</v>
      </c>
      <c r="BS155" s="12"/>
      <c r="BT155" s="6">
        <f t="shared" si="28"/>
        <v>150000</v>
      </c>
      <c r="BU155" s="12"/>
      <c r="BV155" s="6">
        <f t="shared" si="29"/>
        <v>0</v>
      </c>
      <c r="BW155" s="12"/>
    </row>
    <row r="156" spans="1:124" s="11" customFormat="1">
      <c r="A156" s="17"/>
      <c r="B156" s="11" t="s">
        <v>217</v>
      </c>
      <c r="J156" s="158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f t="shared" si="26"/>
        <v>0</v>
      </c>
      <c r="BO156" s="12"/>
      <c r="BP156" s="12">
        <v>0</v>
      </c>
      <c r="BQ156" s="12"/>
      <c r="BR156" s="6">
        <f t="shared" si="27"/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</row>
    <row r="157" spans="1:124" s="11" customFormat="1">
      <c r="A157" s="17"/>
      <c r="B157" s="11" t="s">
        <v>121</v>
      </c>
      <c r="J157" s="158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/>
      <c r="BM157" s="12"/>
      <c r="BN157" s="12">
        <f t="shared" si="26"/>
        <v>554159.17999999993</v>
      </c>
      <c r="BO157" s="12"/>
      <c r="BP157" s="12">
        <v>0</v>
      </c>
      <c r="BQ157" s="12"/>
      <c r="BR157" s="6">
        <f t="shared" si="27"/>
        <v>0</v>
      </c>
      <c r="BS157" s="12"/>
      <c r="BT157" s="6">
        <f t="shared" si="28"/>
        <v>554159.17999999993</v>
      </c>
      <c r="BU157" s="12"/>
      <c r="BV157" s="6">
        <f t="shared" si="29"/>
        <v>-334159.17999999993</v>
      </c>
      <c r="BW157" s="12"/>
    </row>
    <row r="158" spans="1:124" s="11" customFormat="1">
      <c r="A158" s="17"/>
      <c r="B158" s="11" t="s">
        <v>333</v>
      </c>
      <c r="J158" s="158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>
        <f t="shared" si="26"/>
        <v>195040.81</v>
      </c>
      <c r="BO158" s="12"/>
      <c r="BP158" s="12">
        <v>0</v>
      </c>
      <c r="BQ158" s="12"/>
      <c r="BR158" s="6">
        <f t="shared" si="27"/>
        <v>0</v>
      </c>
      <c r="BS158" s="12"/>
      <c r="BT158" s="6">
        <f t="shared" si="28"/>
        <v>195040.81</v>
      </c>
      <c r="BU158" s="12"/>
      <c r="BV158" s="6">
        <f t="shared" si="29"/>
        <v>-195040.81</v>
      </c>
      <c r="BW158" s="12"/>
    </row>
    <row r="159" spans="1:124" s="11" customFormat="1">
      <c r="A159" s="17"/>
      <c r="B159" s="11" t="s">
        <v>278</v>
      </c>
      <c r="J159" s="158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>
        <f t="shared" si="26"/>
        <v>168356.08</v>
      </c>
      <c r="BO159" s="12"/>
      <c r="BP159" s="12">
        <v>159233</v>
      </c>
      <c r="BQ159" s="12"/>
      <c r="BR159" s="6">
        <f t="shared" si="27"/>
        <v>0</v>
      </c>
      <c r="BS159" s="12"/>
      <c r="BT159" s="6">
        <f t="shared" si="28"/>
        <v>168356.08</v>
      </c>
      <c r="BU159" s="12"/>
      <c r="BV159" s="6">
        <f t="shared" si="29"/>
        <v>-168356.08</v>
      </c>
      <c r="BW159" s="12"/>
    </row>
    <row r="160" spans="1:124" s="21" customFormat="1">
      <c r="A160" s="56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V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44363</v>
      </c>
      <c r="BK160" s="102">
        <f>SUM(BK154:BK159)</f>
        <v>0</v>
      </c>
      <c r="BL160" s="102">
        <f>SUM(BL154:BL159)</f>
        <v>0</v>
      </c>
      <c r="BM160" s="102">
        <f t="shared" si="30"/>
        <v>0</v>
      </c>
      <c r="BN160" s="102">
        <f t="shared" si="30"/>
        <v>1011216.37</v>
      </c>
      <c r="BO160" s="102">
        <f t="shared" si="30"/>
        <v>0</v>
      </c>
      <c r="BP160" s="102">
        <f t="shared" si="30"/>
        <v>159233</v>
      </c>
      <c r="BQ160" s="102">
        <f t="shared" si="30"/>
        <v>0</v>
      </c>
      <c r="BR160" s="102">
        <f t="shared" si="30"/>
        <v>86339.700000000012</v>
      </c>
      <c r="BS160" s="102">
        <f t="shared" si="30"/>
        <v>0</v>
      </c>
      <c r="BT160" s="102">
        <f t="shared" si="30"/>
        <v>1097556.07</v>
      </c>
      <c r="BU160" s="102">
        <f t="shared" si="30"/>
        <v>0</v>
      </c>
      <c r="BV160" s="102">
        <f t="shared" si="30"/>
        <v>-697556.07</v>
      </c>
      <c r="BW160" s="9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</row>
    <row r="161" spans="1:124" s="21" customFormat="1">
      <c r="A161" s="56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 s="10"/>
      <c r="BW161" s="9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</row>
    <row r="162" spans="1:124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O162" s="6"/>
      <c r="BP162" s="6"/>
      <c r="BQ162" s="6"/>
      <c r="BW162" s="1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</row>
    <row r="163" spans="1:124" s="11" customFormat="1">
      <c r="A163" s="17"/>
      <c r="B163" s="11" t="s">
        <v>37</v>
      </c>
      <c r="J163" s="158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f>SUM(T163:BM163)</f>
        <v>0</v>
      </c>
      <c r="BO163" s="12"/>
      <c r="BP163" s="12">
        <v>0</v>
      </c>
      <c r="BQ163" s="12"/>
      <c r="BR163" s="6">
        <f>IF(+R163-BN163+BP163&gt;0,R163-BN163+BP163,0)</f>
        <v>0</v>
      </c>
      <c r="BS163" s="12"/>
      <c r="BT163" s="6">
        <f>+BN163+BR163</f>
        <v>0</v>
      </c>
      <c r="BU163" s="12"/>
      <c r="BV163" s="6">
        <f>+R163-BT163</f>
        <v>0</v>
      </c>
      <c r="BW163" s="12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</row>
    <row r="164" spans="1:124" s="11" customFormat="1">
      <c r="A164" s="17"/>
      <c r="B164" s="11" t="s">
        <v>341</v>
      </c>
      <c r="J164" s="158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>
        <f>SUM(T164:BM164)</f>
        <v>301672.13</v>
      </c>
      <c r="BO164" s="12"/>
      <c r="BP164" s="12">
        <v>0</v>
      </c>
      <c r="BQ164" s="12"/>
      <c r="BR164" s="6">
        <f>IF(+R164-BN164+BP164&gt;0,R164-BN164+BP164,0)</f>
        <v>0</v>
      </c>
      <c r="BS164" s="12"/>
      <c r="BT164" s="6">
        <f>+BN164+BR164</f>
        <v>301672.13</v>
      </c>
      <c r="BU164" s="12"/>
      <c r="BV164" s="6">
        <f>+R164-BT164</f>
        <v>-301672.13</v>
      </c>
      <c r="BW164" s="12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</row>
    <row r="165" spans="1:124" s="11" customFormat="1">
      <c r="A165" s="17"/>
      <c r="B165" s="11" t="s">
        <v>121</v>
      </c>
      <c r="J165" s="158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/>
      <c r="BM165" s="12"/>
      <c r="BN165" s="12">
        <f>SUM(T165:BM165)</f>
        <v>353562.9</v>
      </c>
      <c r="BO165" s="12"/>
      <c r="BP165" s="12"/>
      <c r="BQ165" s="12"/>
      <c r="BR165" s="6">
        <f>IF(+R165-BN165+BP165&gt;0,R165-BN165+BP165,0)</f>
        <v>46437.099999999977</v>
      </c>
      <c r="BS165" s="12"/>
      <c r="BT165" s="6">
        <f>+BN165+BR165</f>
        <v>400000</v>
      </c>
      <c r="BU165" s="12"/>
      <c r="BV165" s="6">
        <f>+R165-BT165</f>
        <v>0</v>
      </c>
      <c r="BW165" s="12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</row>
    <row r="166" spans="1:124" s="11" customFormat="1">
      <c r="A166" s="17"/>
      <c r="J166" s="158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>
        <f>SUM(T166:BM166)</f>
        <v>0</v>
      </c>
      <c r="BO166" s="12"/>
      <c r="BP166" s="12">
        <v>0</v>
      </c>
      <c r="BQ166" s="12"/>
      <c r="BR166" s="6">
        <f>IF(+R166-BN166+BP166&gt;0,R166-BN166+BP166,0)</f>
        <v>0</v>
      </c>
      <c r="BS166" s="12"/>
      <c r="BT166" s="6">
        <f>+BN166+BR166</f>
        <v>0</v>
      </c>
      <c r="BU166" s="12"/>
      <c r="BV166" s="6">
        <f>+R166-BT166</f>
        <v>0</v>
      </c>
      <c r="BW166" s="12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</row>
    <row r="167" spans="1:124" s="21" customFormat="1">
      <c r="A167" s="56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0</v>
      </c>
      <c r="BM167" s="9"/>
      <c r="BN167" s="102">
        <f>SUM(BN163:BN166)</f>
        <v>655235.03</v>
      </c>
      <c r="BO167" s="9"/>
      <c r="BP167" s="102">
        <f>SUM(BP163:BP166)</f>
        <v>0</v>
      </c>
      <c r="BQ167" s="9"/>
      <c r="BR167" s="102">
        <f>SUM(BR163:BR166)</f>
        <v>46437.099999999977</v>
      </c>
      <c r="BS167" s="9"/>
      <c r="BT167" s="102">
        <f>SUM(BT163:BT166)</f>
        <v>701672.13</v>
      </c>
      <c r="BU167" s="9"/>
      <c r="BV167" s="102">
        <f>SUM(BV163:BV166)</f>
        <v>-301672.13</v>
      </c>
      <c r="BW167" s="9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</row>
    <row r="168" spans="1:124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 s="10"/>
      <c r="BW168" s="9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</row>
    <row r="169" spans="1:124" s="31" customFormat="1">
      <c r="A169" s="58" t="s">
        <v>249</v>
      </c>
      <c r="J169" s="157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f>SUM(T169:BM169)</f>
        <v>9000564.070295183</v>
      </c>
      <c r="BO169" s="10"/>
      <c r="BP169" s="10">
        <v>-984592</v>
      </c>
      <c r="BQ169" s="10"/>
      <c r="BR169" s="6"/>
      <c r="BS169" s="10"/>
      <c r="BT169" s="9">
        <f>+BN169+BR169</f>
        <v>9000564.070295183</v>
      </c>
      <c r="BU169" s="10"/>
      <c r="BV169" s="9">
        <f>+R169-BT169</f>
        <v>1031760.929704817</v>
      </c>
      <c r="BW169" s="10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</row>
    <row r="170" spans="1:124" s="21" customFormat="1">
      <c r="A170" s="56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 s="10"/>
      <c r="BW170" s="9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</row>
    <row r="171" spans="1:124" s="105" customFormat="1">
      <c r="A171" s="84" t="s">
        <v>248</v>
      </c>
      <c r="B171" s="54"/>
      <c r="J171" s="156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W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0</v>
      </c>
      <c r="BM171" s="120">
        <f t="shared" si="31"/>
        <v>0</v>
      </c>
      <c r="BN171" s="120">
        <f t="shared" si="31"/>
        <v>17158647.770295184</v>
      </c>
      <c r="BO171" s="120">
        <f t="shared" si="31"/>
        <v>0</v>
      </c>
      <c r="BP171" s="120">
        <f t="shared" si="31"/>
        <v>-4543771</v>
      </c>
      <c r="BQ171" s="120">
        <f t="shared" si="31"/>
        <v>0</v>
      </c>
      <c r="BR171" s="120">
        <f t="shared" si="31"/>
        <v>3499648.68</v>
      </c>
      <c r="BS171" s="120">
        <f t="shared" si="31"/>
        <v>0</v>
      </c>
      <c r="BT171" s="120">
        <f t="shared" si="31"/>
        <v>20658296.45029518</v>
      </c>
      <c r="BU171" s="120">
        <f t="shared" si="31"/>
        <v>0</v>
      </c>
      <c r="BV171" s="120">
        <f t="shared" si="31"/>
        <v>2925545.5497048171</v>
      </c>
      <c r="BW171" s="120">
        <f t="shared" si="31"/>
        <v>0</v>
      </c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</row>
    <row r="172" spans="1:124" s="21" customFormat="1">
      <c r="A172" s="56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 s="10"/>
      <c r="BW172" s="9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</row>
    <row r="173" spans="1:124" s="21" customFormat="1">
      <c r="A173" s="56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10"/>
      <c r="BO173" s="9">
        <v>2030320</v>
      </c>
      <c r="BP173" s="9">
        <v>-3324152</v>
      </c>
      <c r="BQ173" s="9">
        <v>2030320</v>
      </c>
      <c r="BR173" s="6">
        <f>IF(+R173-BN173+BP173&gt;0,R173-BN173+BP173,0)</f>
        <v>0.10000000009313226</v>
      </c>
      <c r="BS173" s="9">
        <v>2030320</v>
      </c>
      <c r="BT173" s="9">
        <f>+BN173+BR173</f>
        <v>0.10000000009313226</v>
      </c>
      <c r="BU173" s="9">
        <v>2030320</v>
      </c>
      <c r="BV173" s="6">
        <f>+R173-BT173</f>
        <v>3324152</v>
      </c>
      <c r="BW173" s="9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</row>
    <row r="174" spans="1:124" s="21" customFormat="1">
      <c r="A174" s="56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 s="10"/>
      <c r="BW174" s="9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</row>
    <row r="175" spans="1:124" s="21" customFormat="1">
      <c r="A175" s="56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 s="10"/>
      <c r="BW175" s="9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</row>
    <row r="176" spans="1:124" s="168" customFormat="1">
      <c r="A176" s="167" t="s">
        <v>253</v>
      </c>
      <c r="J176" s="169"/>
      <c r="L176" s="170"/>
      <c r="M176" s="171"/>
      <c r="N176" s="171"/>
      <c r="O176" s="171"/>
      <c r="P176" s="171"/>
      <c r="Q176" s="171"/>
      <c r="R176" s="166">
        <f t="shared" ref="R176:AW176" si="32">R34+R102+R91+R107+R171+R173</f>
        <v>158451248.09999999</v>
      </c>
      <c r="S176" s="166">
        <f t="shared" si="32"/>
        <v>0</v>
      </c>
      <c r="T176" s="166">
        <f t="shared" si="32"/>
        <v>17087218</v>
      </c>
      <c r="U176" s="166">
        <f t="shared" si="32"/>
        <v>0</v>
      </c>
      <c r="V176" s="166">
        <f t="shared" si="32"/>
        <v>43642668.530000001</v>
      </c>
      <c r="W176" s="166">
        <f t="shared" si="32"/>
        <v>0</v>
      </c>
      <c r="X176" s="166">
        <f t="shared" si="32"/>
        <v>4696471.93</v>
      </c>
      <c r="Y176" s="166">
        <f t="shared" si="32"/>
        <v>0</v>
      </c>
      <c r="Z176" s="166">
        <f t="shared" si="32"/>
        <v>440729.95</v>
      </c>
      <c r="AA176" s="166">
        <f t="shared" si="32"/>
        <v>0</v>
      </c>
      <c r="AB176" s="166">
        <f t="shared" si="32"/>
        <v>4762739.43</v>
      </c>
      <c r="AC176" s="166">
        <f t="shared" si="32"/>
        <v>0</v>
      </c>
      <c r="AD176" s="166">
        <f t="shared" si="32"/>
        <v>9136615.6799999997</v>
      </c>
      <c r="AE176" s="166">
        <f t="shared" si="32"/>
        <v>0</v>
      </c>
      <c r="AF176" s="166">
        <f t="shared" si="32"/>
        <v>573248.10862083337</v>
      </c>
      <c r="AG176" s="166">
        <f t="shared" si="32"/>
        <v>0</v>
      </c>
      <c r="AH176" s="166">
        <f t="shared" si="32"/>
        <v>1116780.7521383627</v>
      </c>
      <c r="AI176" s="166">
        <f t="shared" si="32"/>
        <v>0</v>
      </c>
      <c r="AJ176" s="166">
        <f t="shared" si="32"/>
        <v>1496281.3264166121</v>
      </c>
      <c r="AK176" s="166">
        <f t="shared" si="32"/>
        <v>0</v>
      </c>
      <c r="AL176" s="166">
        <f t="shared" si="32"/>
        <v>1780115.93</v>
      </c>
      <c r="AM176" s="166">
        <f t="shared" si="32"/>
        <v>0</v>
      </c>
      <c r="AN176" s="166">
        <f t="shared" si="32"/>
        <v>1566383.0055069246</v>
      </c>
      <c r="AO176" s="166">
        <f t="shared" si="32"/>
        <v>0</v>
      </c>
      <c r="AP176" s="166">
        <f t="shared" si="32"/>
        <v>5481999.3709659204</v>
      </c>
      <c r="AQ176" s="166"/>
      <c r="AR176" s="166">
        <f t="shared" si="32"/>
        <v>4677967.54</v>
      </c>
      <c r="AS176" s="166">
        <f t="shared" si="32"/>
        <v>0</v>
      </c>
      <c r="AT176" s="166">
        <f t="shared" si="32"/>
        <v>8750380.3051100411</v>
      </c>
      <c r="AU176" s="166">
        <f t="shared" si="32"/>
        <v>0</v>
      </c>
      <c r="AV176" s="166">
        <f t="shared" si="32"/>
        <v>9706071.6582599431</v>
      </c>
      <c r="AW176" s="166">
        <f t="shared" si="32"/>
        <v>0</v>
      </c>
      <c r="AX176" s="166">
        <f t="shared" ref="AX176:BV176" si="33">AX34+AX102+AX91+AX107+AX171+AX173</f>
        <v>9777060.1201588511</v>
      </c>
      <c r="AY176" s="166">
        <f t="shared" si="33"/>
        <v>0</v>
      </c>
      <c r="AZ176" s="166">
        <f t="shared" si="33"/>
        <v>8038836.5700000003</v>
      </c>
      <c r="BA176" s="166">
        <f t="shared" si="33"/>
        <v>0</v>
      </c>
      <c r="BB176" s="166">
        <f t="shared" si="33"/>
        <v>2610922.7399374889</v>
      </c>
      <c r="BC176" s="166">
        <f t="shared" si="33"/>
        <v>0</v>
      </c>
      <c r="BD176" s="166">
        <f t="shared" si="33"/>
        <v>16127168.373180207</v>
      </c>
      <c r="BE176" s="166">
        <f t="shared" si="33"/>
        <v>0</v>
      </c>
      <c r="BF176" s="166">
        <f t="shared" si="33"/>
        <v>2023191.44</v>
      </c>
      <c r="BG176" s="166">
        <f t="shared" si="33"/>
        <v>0</v>
      </c>
      <c r="BH176" s="166">
        <f t="shared" si="33"/>
        <v>249879.07999999996</v>
      </c>
      <c r="BI176" s="166">
        <f t="shared" si="33"/>
        <v>0</v>
      </c>
      <c r="BJ176" s="166">
        <f t="shared" si="33"/>
        <v>177164</v>
      </c>
      <c r="BK176" s="166">
        <f>BK34+BK102+BK91+BK107+BK171+BK173</f>
        <v>0</v>
      </c>
      <c r="BL176" s="166">
        <f>BL34+BL102+BL91+BL107+BL171+BL173</f>
        <v>0</v>
      </c>
      <c r="BM176" s="166">
        <f t="shared" si="33"/>
        <v>0</v>
      </c>
      <c r="BN176" s="166">
        <f t="shared" si="33"/>
        <v>153919893.8402952</v>
      </c>
      <c r="BO176" s="166">
        <f t="shared" si="33"/>
        <v>3202104</v>
      </c>
      <c r="BP176" s="166">
        <f t="shared" si="33"/>
        <v>2825212</v>
      </c>
      <c r="BQ176" s="166">
        <f t="shared" si="33"/>
        <v>4673615</v>
      </c>
      <c r="BR176" s="166">
        <f t="shared" si="33"/>
        <v>6769127.0433333144</v>
      </c>
      <c r="BS176" s="166">
        <f t="shared" si="33"/>
        <v>7699097</v>
      </c>
      <c r="BT176" s="166">
        <f t="shared" si="33"/>
        <v>159154060.81362849</v>
      </c>
      <c r="BU176" s="166">
        <f t="shared" si="33"/>
        <v>14335953</v>
      </c>
      <c r="BV176" s="166">
        <f t="shared" si="33"/>
        <v>-702812.71362851653</v>
      </c>
      <c r="BW176" s="171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</row>
    <row r="177" spans="1:124" s="21" customFormat="1">
      <c r="A177" s="56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9"/>
      <c r="BN177" s="10"/>
      <c r="BO177" s="9"/>
      <c r="BP177" s="10"/>
      <c r="BQ177" s="9"/>
      <c r="BR177" s="10"/>
      <c r="BS177" s="9"/>
      <c r="BT177" s="10">
        <f>BT176/B4</f>
        <v>338625.66130559257</v>
      </c>
      <c r="BU177" s="9"/>
      <c r="BV177" s="10"/>
      <c r="BW177" s="9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</row>
    <row r="178" spans="1:124" s="21" customFormat="1">
      <c r="A178" s="56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 s="10"/>
      <c r="BW178" s="9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</row>
    <row r="179" spans="1:124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9"/>
      <c r="BN179" s="10">
        <f>-BN123</f>
        <v>-42514.879999999997</v>
      </c>
      <c r="BO179" s="9"/>
      <c r="BP179" s="10"/>
      <c r="BQ179" s="9"/>
      <c r="BR179" s="10"/>
      <c r="BS179" s="9"/>
      <c r="BT179" s="10"/>
      <c r="BU179" s="9"/>
      <c r="BV179" s="10"/>
      <c r="BW179" s="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</row>
    <row r="180" spans="1:124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/>
      <c r="BK180" s="10"/>
      <c r="BL180" s="10" t="s">
        <v>440</v>
      </c>
      <c r="BM180" s="9"/>
      <c r="BN180" s="10">
        <f>-BN115</f>
        <v>-1087110.1299999999</v>
      </c>
      <c r="BO180" s="9"/>
      <c r="BP180" s="10"/>
      <c r="BQ180" s="9"/>
      <c r="BR180" s="10"/>
      <c r="BS180" s="9"/>
      <c r="BT180" s="10"/>
      <c r="BU180" s="9"/>
      <c r="BV180" s="10"/>
      <c r="BW180" s="9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</row>
    <row r="181" spans="1:124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444</v>
      </c>
      <c r="BM181" s="9"/>
      <c r="BN181" s="10">
        <f>-BN121</f>
        <v>-13668.55</v>
      </c>
      <c r="BO181" s="9"/>
      <c r="BP181" s="10"/>
      <c r="BQ181" s="9"/>
      <c r="BR181" s="10"/>
      <c r="BS181" s="9"/>
      <c r="BT181" s="10"/>
      <c r="BU181" s="9"/>
      <c r="BV181" s="10"/>
      <c r="BW181" s="9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</row>
    <row r="182" spans="1:124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BN182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442</v>
      </c>
      <c r="BM182" s="9"/>
      <c r="BN182" s="10">
        <v>-300697</v>
      </c>
      <c r="BO182" s="9"/>
      <c r="BP182" s="10"/>
      <c r="BQ182" s="9"/>
      <c r="BR182" s="10"/>
      <c r="BS182" s="9"/>
      <c r="BT182" s="10"/>
      <c r="BU182" s="9"/>
      <c r="BV182" s="10"/>
      <c r="BW182" s="9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</row>
    <row r="183" spans="1:124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10"/>
      <c r="BL183" s="10"/>
      <c r="BM183" s="9"/>
      <c r="BN183" s="10">
        <f>SUM(BN176:BN182)</f>
        <v>152475903.28029519</v>
      </c>
      <c r="BO183" s="9"/>
      <c r="BP183" s="10"/>
      <c r="BQ183" s="9"/>
      <c r="BR183" s="10"/>
      <c r="BS183" s="9"/>
      <c r="BT183" s="10"/>
      <c r="BU183" s="9"/>
      <c r="BV183" s="10"/>
      <c r="BW183" s="9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</row>
    <row r="184" spans="1:124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 s="10"/>
      <c r="BW184" s="9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</row>
    <row r="185" spans="1:124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443</v>
      </c>
      <c r="BM185" s="9"/>
      <c r="BN185" s="10">
        <v>152475904</v>
      </c>
      <c r="BO185" s="9"/>
      <c r="BP185" s="10"/>
      <c r="BQ185" s="9"/>
      <c r="BR185" s="10"/>
      <c r="BS185" s="9"/>
      <c r="BT185" s="10"/>
      <c r="BU185" s="9"/>
      <c r="BV185" s="10"/>
      <c r="BW185" s="9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</row>
    <row r="186" spans="1:124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9"/>
      <c r="BN186" s="10">
        <f>BN183-BN185</f>
        <v>-0.71970480680465698</v>
      </c>
      <c r="BO186" s="9"/>
      <c r="BP186" s="10"/>
      <c r="BQ186" s="9"/>
      <c r="BR186" s="10"/>
      <c r="BS186" s="9"/>
      <c r="BT186" s="10"/>
      <c r="BU186" s="9"/>
      <c r="BV186" s="10"/>
      <c r="BW186" s="9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</row>
    <row r="187" spans="1:124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 s="10"/>
      <c r="BW187" s="9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</row>
    <row r="188" spans="1:124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 s="10"/>
      <c r="BW188" s="9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</row>
    <row r="189" spans="1:124" hidden="1"/>
  </sheetData>
  <printOptions horizontalCentered="1"/>
  <pageMargins left="0.19" right="0.17" top="0.4" bottom="0.27" header="0.5" footer="0.23"/>
  <pageSetup scale="48" fitToHeight="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Jan Havlíček</cp:lastModifiedBy>
  <cp:lastPrinted>2000-10-09T18:32:51Z</cp:lastPrinted>
  <dcterms:created xsi:type="dcterms:W3CDTF">1998-11-04T14:40:39Z</dcterms:created>
  <dcterms:modified xsi:type="dcterms:W3CDTF">2023-09-13T21:27:32Z</dcterms:modified>
</cp:coreProperties>
</file>