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E948F1-01F5-42BA-B74D-14F907009FB2}" xr6:coauthVersionLast="47" xr6:coauthVersionMax="47" xr10:uidLastSave="{00000000-0000-0000-0000-000000000000}"/>
  <bookViews>
    <workbookView xWindow="-120" yWindow="-120" windowWidth="38640" windowHeight="15720" tabRatio="892" activeTab="10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</externalReferences>
  <definedNames>
    <definedName name="ASS">ASS!$A$3:$X$88</definedName>
    <definedName name="avail">ASS!$D$9</definedName>
    <definedName name="BLANK">ASS!$A$6</definedName>
    <definedName name="BS">BS_IS!$A$1:$L$86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CF!$A$1:$I$70</definedName>
    <definedName name="ch">#REF!</definedName>
    <definedName name="COST">ASS!$R$52</definedName>
    <definedName name="CPI">ASS!$E$39</definedName>
    <definedName name="CT_COMFEE">TAXES_FEES!$A$1:$AE$15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BS_IS!$A$1:$L$86</definedName>
    <definedName name="_xlnm.Print_Area" localSheetId="2">CF!$A$1:$I$70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RETURNS!$A$1:$M$66</definedName>
    <definedName name="_xlnm.Print_Area" localSheetId="7">TAXES_FEES!$A$1:$AE$15</definedName>
    <definedName name="_REF1">#REF!</definedName>
    <definedName name="_REF2">#REF!</definedName>
    <definedName name="_REF3">#REF!</definedName>
    <definedName name="_REF4">#REF!</definedName>
    <definedName name="RET_TABLE">RETURNS!$D$3:$L$53</definedName>
    <definedName name="RETURNS">RETURNS!$A$1:$M$66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G4" i="17"/>
  <c r="H4" i="17"/>
  <c r="I4" i="17"/>
  <c r="J4" i="17"/>
  <c r="K4" i="17"/>
  <c r="G6" i="17"/>
  <c r="H6" i="17"/>
  <c r="I6" i="17"/>
  <c r="J6" i="17"/>
  <c r="K6" i="17"/>
  <c r="L6" i="17"/>
  <c r="G7" i="17"/>
  <c r="H7" i="17"/>
  <c r="I7" i="17"/>
  <c r="J7" i="17"/>
  <c r="K7" i="17"/>
  <c r="F8" i="17"/>
  <c r="G8" i="17"/>
  <c r="H8" i="17"/>
  <c r="I8" i="17"/>
  <c r="J8" i="17"/>
  <c r="K8" i="17"/>
  <c r="L8" i="17"/>
  <c r="G9" i="17"/>
  <c r="H9" i="17"/>
  <c r="I9" i="17"/>
  <c r="J9" i="17"/>
  <c r="K9" i="17"/>
  <c r="L9" i="17"/>
  <c r="F10" i="17"/>
  <c r="G10" i="17"/>
  <c r="H10" i="17"/>
  <c r="I10" i="17"/>
  <c r="J10" i="17"/>
  <c r="K10" i="17"/>
  <c r="L10" i="17"/>
  <c r="G12" i="17"/>
  <c r="H12" i="17"/>
  <c r="I12" i="17"/>
  <c r="J12" i="17"/>
  <c r="K12" i="17"/>
  <c r="L12" i="17"/>
  <c r="G13" i="17"/>
  <c r="H13" i="17"/>
  <c r="I13" i="17"/>
  <c r="J13" i="17"/>
  <c r="K13" i="17"/>
  <c r="L13" i="17"/>
  <c r="G14" i="17"/>
  <c r="H14" i="17"/>
  <c r="I14" i="17"/>
  <c r="J14" i="17"/>
  <c r="K14" i="17"/>
  <c r="L14" i="17"/>
  <c r="F15" i="17"/>
  <c r="G15" i="17"/>
  <c r="H15" i="17"/>
  <c r="I15" i="17"/>
  <c r="J15" i="17"/>
  <c r="K15" i="17"/>
  <c r="L15" i="17"/>
  <c r="G17" i="17"/>
  <c r="H17" i="17"/>
  <c r="I17" i="17"/>
  <c r="J17" i="17"/>
  <c r="K17" i="17"/>
  <c r="L17" i="17"/>
  <c r="L20" i="17"/>
  <c r="L21" i="17"/>
  <c r="L22" i="17"/>
  <c r="G23" i="17"/>
  <c r="H23" i="17"/>
  <c r="I23" i="17"/>
  <c r="J23" i="17"/>
  <c r="K23" i="17"/>
  <c r="L23" i="17"/>
  <c r="G24" i="17"/>
  <c r="H24" i="17"/>
  <c r="I24" i="17"/>
  <c r="J24" i="17"/>
  <c r="K24" i="17"/>
  <c r="F25" i="17"/>
  <c r="G25" i="17"/>
  <c r="H25" i="17"/>
  <c r="I25" i="17"/>
  <c r="J25" i="17"/>
  <c r="K25" i="17"/>
  <c r="L25" i="17"/>
  <c r="G26" i="17"/>
  <c r="H26" i="17"/>
  <c r="I26" i="17"/>
  <c r="J26" i="17"/>
  <c r="K26" i="17"/>
  <c r="L26" i="17"/>
  <c r="G29" i="17"/>
  <c r="H29" i="17"/>
  <c r="I29" i="17"/>
  <c r="J29" i="17"/>
  <c r="K29" i="17"/>
  <c r="L29" i="17"/>
  <c r="G30" i="17"/>
  <c r="H30" i="17"/>
  <c r="I30" i="17"/>
  <c r="J30" i="17"/>
  <c r="K30" i="17"/>
  <c r="L30" i="17"/>
  <c r="G31" i="17"/>
  <c r="H31" i="17"/>
  <c r="I31" i="17"/>
  <c r="J31" i="17"/>
  <c r="K31" i="17"/>
  <c r="L31" i="17"/>
  <c r="G32" i="17"/>
  <c r="H32" i="17"/>
  <c r="I32" i="17"/>
  <c r="J32" i="17"/>
  <c r="K32" i="17"/>
  <c r="L32" i="17"/>
  <c r="L33" i="17"/>
  <c r="G34" i="17"/>
  <c r="H34" i="17"/>
  <c r="I34" i="17"/>
  <c r="J34" i="17"/>
  <c r="K34" i="17"/>
  <c r="L34" i="17"/>
  <c r="G36" i="17"/>
  <c r="H36" i="17"/>
  <c r="I36" i="17"/>
  <c r="J36" i="17"/>
  <c r="K36" i="17"/>
  <c r="L36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L42" i="17"/>
  <c r="G44" i="17"/>
  <c r="H44" i="17"/>
  <c r="I44" i="17"/>
  <c r="J44" i="17"/>
  <c r="K44" i="17"/>
  <c r="L44" i="17"/>
  <c r="G45" i="17"/>
  <c r="H45" i="17"/>
  <c r="I45" i="17"/>
  <c r="J45" i="17"/>
  <c r="K45" i="17"/>
  <c r="L45" i="17"/>
  <c r="G46" i="17"/>
  <c r="H46" i="17"/>
  <c r="I46" i="17"/>
  <c r="J46" i="17"/>
  <c r="K46" i="17"/>
  <c r="L46" i="17"/>
  <c r="G47" i="17"/>
  <c r="H47" i="17"/>
  <c r="I47" i="17"/>
  <c r="J47" i="17"/>
  <c r="K47" i="17"/>
  <c r="L47" i="17"/>
  <c r="G48" i="17"/>
  <c r="H48" i="17"/>
  <c r="I48" i="17"/>
  <c r="J48" i="17"/>
  <c r="K48" i="17"/>
  <c r="L48" i="17"/>
  <c r="L49" i="17"/>
  <c r="G50" i="17"/>
  <c r="H50" i="17"/>
  <c r="I50" i="17"/>
  <c r="J50" i="17"/>
  <c r="K50" i="17"/>
  <c r="L50" i="17"/>
  <c r="G51" i="17"/>
  <c r="H51" i="17"/>
  <c r="I51" i="17"/>
  <c r="J51" i="17"/>
  <c r="K51" i="17"/>
  <c r="L51" i="17"/>
  <c r="L52" i="17"/>
  <c r="G53" i="17"/>
  <c r="H53" i="17"/>
  <c r="I53" i="17"/>
  <c r="J53" i="17"/>
  <c r="K53" i="17"/>
  <c r="L53" i="17"/>
  <c r="G58" i="17"/>
  <c r="H58" i="17"/>
  <c r="I58" i="17"/>
  <c r="J58" i="17"/>
  <c r="K58" i="17"/>
  <c r="G59" i="17"/>
  <c r="H59" i="17"/>
  <c r="I59" i="17"/>
  <c r="J59" i="17"/>
  <c r="K59" i="17"/>
  <c r="G61" i="17"/>
  <c r="H61" i="17"/>
  <c r="I61" i="17"/>
  <c r="J61" i="17"/>
  <c r="K61" i="17"/>
  <c r="L61" i="17"/>
  <c r="G62" i="17"/>
  <c r="H62" i="17"/>
  <c r="I62" i="17"/>
  <c r="J62" i="17"/>
  <c r="K62" i="17"/>
  <c r="L62" i="17"/>
  <c r="G63" i="17"/>
  <c r="H63" i="17"/>
  <c r="I63" i="17"/>
  <c r="J63" i="17"/>
  <c r="K63" i="17"/>
  <c r="L63" i="17"/>
  <c r="G64" i="17"/>
  <c r="H64" i="17"/>
  <c r="I64" i="17"/>
  <c r="J64" i="17"/>
  <c r="K64" i="17"/>
  <c r="L64" i="17"/>
  <c r="G65" i="17"/>
  <c r="H65" i="17"/>
  <c r="I65" i="17"/>
  <c r="J65" i="17"/>
  <c r="K65" i="17"/>
  <c r="L65" i="17"/>
  <c r="G66" i="17"/>
  <c r="H66" i="17"/>
  <c r="I66" i="17"/>
  <c r="J66" i="17"/>
  <c r="K66" i="17"/>
  <c r="L66" i="17"/>
  <c r="G67" i="17"/>
  <c r="H67" i="17"/>
  <c r="I67" i="17"/>
  <c r="J67" i="17"/>
  <c r="K67" i="17"/>
  <c r="L67" i="17"/>
  <c r="G70" i="17"/>
  <c r="H70" i="17"/>
  <c r="I70" i="17"/>
  <c r="J70" i="17"/>
  <c r="K70" i="17"/>
  <c r="L70" i="17"/>
  <c r="G71" i="17"/>
  <c r="L71" i="17"/>
  <c r="L72" i="17"/>
  <c r="L73" i="17"/>
  <c r="L74" i="17"/>
  <c r="L75" i="17"/>
  <c r="L76" i="17"/>
  <c r="G77" i="17"/>
  <c r="L77" i="17"/>
  <c r="G78" i="17"/>
  <c r="H78" i="17"/>
  <c r="I78" i="17"/>
  <c r="J78" i="17"/>
  <c r="K78" i="17"/>
  <c r="L78" i="17"/>
  <c r="G79" i="17"/>
  <c r="H79" i="17"/>
  <c r="I79" i="17"/>
  <c r="J79" i="17"/>
  <c r="K79" i="17"/>
  <c r="L79" i="17"/>
  <c r="G80" i="17"/>
  <c r="H80" i="17"/>
  <c r="I80" i="17"/>
  <c r="J80" i="17"/>
  <c r="K80" i="17"/>
  <c r="L80" i="17"/>
  <c r="L81" i="17"/>
  <c r="G82" i="17"/>
  <c r="H82" i="17"/>
  <c r="I82" i="17"/>
  <c r="J82" i="17"/>
  <c r="K82" i="17"/>
  <c r="L82" i="17"/>
  <c r="L83" i="17"/>
  <c r="H84" i="17"/>
  <c r="I84" i="17"/>
  <c r="J84" i="17"/>
  <c r="K84" i="17"/>
  <c r="L84" i="17"/>
  <c r="L85" i="17"/>
  <c r="G86" i="17"/>
  <c r="H86" i="17"/>
  <c r="I86" i="17"/>
  <c r="J86" i="17"/>
  <c r="K86" i="17"/>
  <c r="L86" i="17"/>
  <c r="A2" i="7"/>
  <c r="E3" i="7"/>
  <c r="F3" i="7"/>
  <c r="G3" i="7"/>
  <c r="H3" i="7"/>
  <c r="D4" i="7"/>
  <c r="E4" i="7"/>
  <c r="F4" i="7"/>
  <c r="G4" i="7"/>
  <c r="H4" i="7"/>
  <c r="D5" i="7"/>
  <c r="E5" i="7"/>
  <c r="F5" i="7"/>
  <c r="G5" i="7"/>
  <c r="H5" i="7"/>
  <c r="D7" i="7"/>
  <c r="E7" i="7"/>
  <c r="F7" i="7"/>
  <c r="G7" i="7"/>
  <c r="H7" i="7"/>
  <c r="D8" i="7"/>
  <c r="E8" i="7"/>
  <c r="F8" i="7"/>
  <c r="G8" i="7"/>
  <c r="H8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I15" i="7"/>
  <c r="D16" i="7"/>
  <c r="E16" i="7"/>
  <c r="F16" i="7"/>
  <c r="G16" i="7"/>
  <c r="H16" i="7"/>
  <c r="I16" i="7"/>
  <c r="I17" i="7"/>
  <c r="D18" i="7"/>
  <c r="E18" i="7"/>
  <c r="F18" i="7"/>
  <c r="G18" i="7"/>
  <c r="H18" i="7"/>
  <c r="I18" i="7"/>
  <c r="A25" i="7"/>
  <c r="D25" i="7"/>
  <c r="E25" i="7"/>
  <c r="F25" i="7"/>
  <c r="G25" i="7"/>
  <c r="H25" i="7"/>
  <c r="I25" i="7"/>
  <c r="A26" i="7"/>
  <c r="D26" i="7"/>
  <c r="E26" i="7"/>
  <c r="F26" i="7"/>
  <c r="G26" i="7"/>
  <c r="H26" i="7"/>
  <c r="I26" i="7"/>
  <c r="A27" i="7"/>
  <c r="D27" i="7"/>
  <c r="E27" i="7"/>
  <c r="F27" i="7"/>
  <c r="G27" i="7"/>
  <c r="H27" i="7"/>
  <c r="I27" i="7"/>
  <c r="A28" i="7"/>
  <c r="D28" i="7"/>
  <c r="E28" i="7"/>
  <c r="F28" i="7"/>
  <c r="G28" i="7"/>
  <c r="H28" i="7"/>
  <c r="I28" i="7"/>
  <c r="A29" i="7"/>
  <c r="D29" i="7"/>
  <c r="E29" i="7"/>
  <c r="F29" i="7"/>
  <c r="G29" i="7"/>
  <c r="H29" i="7"/>
  <c r="I29" i="7"/>
  <c r="A30" i="7"/>
  <c r="D30" i="7"/>
  <c r="E30" i="7"/>
  <c r="F30" i="7"/>
  <c r="G30" i="7"/>
  <c r="H30" i="7"/>
  <c r="I30" i="7"/>
  <c r="A31" i="7"/>
  <c r="D31" i="7"/>
  <c r="E31" i="7"/>
  <c r="F31" i="7"/>
  <c r="G31" i="7"/>
  <c r="H31" i="7"/>
  <c r="I31" i="7"/>
  <c r="A32" i="7"/>
  <c r="D32" i="7"/>
  <c r="E32" i="7"/>
  <c r="F32" i="7"/>
  <c r="G32" i="7"/>
  <c r="H32" i="7"/>
  <c r="I32" i="7"/>
  <c r="A33" i="7"/>
  <c r="D33" i="7"/>
  <c r="E33" i="7"/>
  <c r="F33" i="7"/>
  <c r="G33" i="7"/>
  <c r="H33" i="7"/>
  <c r="I33" i="7"/>
  <c r="A34" i="7"/>
  <c r="D34" i="7"/>
  <c r="E34" i="7"/>
  <c r="F34" i="7"/>
  <c r="G34" i="7"/>
  <c r="H34" i="7"/>
  <c r="I34" i="7"/>
  <c r="A35" i="7"/>
  <c r="D35" i="7"/>
  <c r="E35" i="7"/>
  <c r="F35" i="7"/>
  <c r="G35" i="7"/>
  <c r="H35" i="7"/>
  <c r="I35" i="7"/>
  <c r="A36" i="7"/>
  <c r="D36" i="7"/>
  <c r="E36" i="7"/>
  <c r="F36" i="7"/>
  <c r="G36" i="7"/>
  <c r="H36" i="7"/>
  <c r="I36" i="7"/>
  <c r="D37" i="7"/>
  <c r="E37" i="7"/>
  <c r="F37" i="7"/>
  <c r="G37" i="7"/>
  <c r="H37" i="7"/>
  <c r="I37" i="7"/>
  <c r="A40" i="7"/>
  <c r="D40" i="7"/>
  <c r="E40" i="7"/>
  <c r="F40" i="7"/>
  <c r="G40" i="7"/>
  <c r="H40" i="7"/>
  <c r="I40" i="7"/>
  <c r="A41" i="7"/>
  <c r="D41" i="7"/>
  <c r="E41" i="7"/>
  <c r="F41" i="7"/>
  <c r="G41" i="7"/>
  <c r="H41" i="7"/>
  <c r="I41" i="7"/>
  <c r="A42" i="7"/>
  <c r="D42" i="7"/>
  <c r="E42" i="7"/>
  <c r="F42" i="7"/>
  <c r="G42" i="7"/>
  <c r="H42" i="7"/>
  <c r="I42" i="7"/>
  <c r="D43" i="7"/>
  <c r="E43" i="7"/>
  <c r="F43" i="7"/>
  <c r="G43" i="7"/>
  <c r="H43" i="7"/>
  <c r="I43" i="7"/>
  <c r="D45" i="7"/>
  <c r="E45" i="7"/>
  <c r="F45" i="7"/>
  <c r="G45" i="7"/>
  <c r="H45" i="7"/>
  <c r="I45" i="7"/>
  <c r="D47" i="7"/>
  <c r="E47" i="7"/>
  <c r="F47" i="7"/>
  <c r="G47" i="7"/>
  <c r="H47" i="7"/>
  <c r="I47" i="7"/>
  <c r="D49" i="7"/>
  <c r="E49" i="7"/>
  <c r="F49" i="7"/>
  <c r="G49" i="7"/>
  <c r="H49" i="7"/>
  <c r="I49" i="7"/>
  <c r="D50" i="7"/>
  <c r="E50" i="7"/>
  <c r="F50" i="7"/>
  <c r="G50" i="7"/>
  <c r="H50" i="7"/>
  <c r="I50" i="7"/>
  <c r="J50" i="7"/>
  <c r="D52" i="7"/>
  <c r="E52" i="7"/>
  <c r="F52" i="7"/>
  <c r="G52" i="7"/>
  <c r="H52" i="7"/>
  <c r="I52" i="7"/>
  <c r="D53" i="7"/>
  <c r="E53" i="7"/>
  <c r="F53" i="7"/>
  <c r="G53" i="7"/>
  <c r="H53" i="7"/>
  <c r="I53" i="7"/>
  <c r="D55" i="7"/>
  <c r="E55" i="7"/>
  <c r="F55" i="7"/>
  <c r="G55" i="7"/>
  <c r="H55" i="7"/>
  <c r="I55" i="7"/>
  <c r="D56" i="7"/>
  <c r="E56" i="7"/>
  <c r="F56" i="7"/>
  <c r="G56" i="7"/>
  <c r="H56" i="7"/>
  <c r="I56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D67" i="7"/>
  <c r="E67" i="7"/>
  <c r="F67" i="7"/>
  <c r="G67" i="7"/>
  <c r="H67" i="7"/>
  <c r="I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D4" i="8"/>
  <c r="E4" i="8"/>
  <c r="F4" i="8"/>
  <c r="G4" i="8"/>
  <c r="H4" i="8"/>
  <c r="I4" i="8"/>
  <c r="D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D10" i="8"/>
  <c r="E10" i="8"/>
  <c r="F10" i="8"/>
  <c r="G10" i="8"/>
  <c r="H10" i="8"/>
  <c r="I10" i="8"/>
  <c r="J10" i="8"/>
  <c r="D11" i="8"/>
  <c r="E11" i="8"/>
  <c r="F11" i="8"/>
  <c r="G11" i="8"/>
  <c r="H11" i="8"/>
  <c r="I11" i="8"/>
  <c r="J11" i="8"/>
  <c r="D13" i="8"/>
  <c r="D14" i="8"/>
  <c r="D15" i="8"/>
  <c r="D16" i="8"/>
  <c r="E16" i="8"/>
  <c r="F16" i="8"/>
  <c r="G16" i="8"/>
  <c r="H16" i="8"/>
  <c r="I16" i="8"/>
  <c r="J16" i="8"/>
  <c r="A20" i="8"/>
  <c r="D20" i="8"/>
  <c r="F20" i="8"/>
  <c r="G20" i="8"/>
  <c r="H20" i="8"/>
  <c r="I20" i="8"/>
  <c r="J20" i="8"/>
  <c r="A21" i="8"/>
  <c r="D21" i="8"/>
  <c r="E21" i="8"/>
  <c r="F21" i="8"/>
  <c r="G21" i="8"/>
  <c r="H21" i="8"/>
  <c r="I21" i="8"/>
  <c r="J21" i="8"/>
  <c r="D22" i="8"/>
  <c r="E22" i="8"/>
  <c r="F22" i="8"/>
  <c r="G22" i="8"/>
  <c r="H22" i="8"/>
  <c r="I22" i="8"/>
  <c r="J22" i="8"/>
  <c r="D23" i="8"/>
  <c r="E23" i="8"/>
  <c r="F23" i="8"/>
  <c r="G23" i="8"/>
  <c r="H23" i="8"/>
  <c r="I23" i="8"/>
  <c r="J23" i="8"/>
  <c r="D24" i="8"/>
  <c r="E24" i="8"/>
  <c r="F24" i="8"/>
  <c r="G24" i="8"/>
  <c r="H24" i="8"/>
  <c r="I24" i="8"/>
  <c r="J24" i="8"/>
  <c r="D26" i="8"/>
  <c r="D27" i="8"/>
  <c r="D28" i="8"/>
  <c r="D29" i="8"/>
  <c r="E29" i="8"/>
  <c r="F29" i="8"/>
  <c r="G29" i="8"/>
  <c r="H29" i="8"/>
  <c r="I29" i="8"/>
  <c r="J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I26" i="22"/>
  <c r="J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I29" i="22"/>
  <c r="J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D8" i="15"/>
  <c r="E8" i="15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D14" i="15"/>
  <c r="E14" i="15"/>
  <c r="F14" i="15"/>
  <c r="G14" i="15"/>
  <c r="H14" i="15"/>
  <c r="I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<sst xmlns="http://schemas.openxmlformats.org/spreadsheetml/2006/main" count="816" uniqueCount="493">
  <si>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</si>
  <si>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</si>
  <si>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</si>
  <si>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</si>
  <si>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</si>
  <si>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</si>
  <si>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</si>
  <si>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</si>
  <si>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</si>
  <si>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</si>
  <si>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</si>
  <si>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</si>
  <si>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</si>
  <si>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</si>
  <si>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</si>
  <si>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</si>
  <si>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</si>
  <si>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</si>
  <si>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</si>
  <si>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</si>
  <si>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</si>
  <si>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</si>
  <si>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</si>
  <si>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</si>
  <si>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</si>
  <si>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</si>
  <si>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</si>
  <si>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</si>
  <si>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</si>
  <si>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</si>
  <si>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</si>
  <si>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</si>
  <si>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</si>
  <si>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</si>
  <si>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</si>
  <si>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</si>
  <si>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</si>
  <si>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</si>
  <si>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</si>
  <si>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</si>
  <si>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</si>
  <si>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</si>
  <si>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</si>
  <si>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</si>
  <si>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</si>
  <si>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</si>
  <si>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</si>
  <si>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</si>
  <si>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</si>
  <si>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</si>
  <si>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</si>
  <si>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</si>
  <si>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</si>
  <si>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</si>
  <si>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</si>
  <si>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</si>
  <si>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</si>
  <si>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</si>
  <si>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</si>
  <si>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</si>
  <si>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</si>
  <si>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</si>
  <si>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</si>
  <si>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</si>
  <si>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</si>
  <si>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</si>
  <si>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</si>
  <si>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</si>
  <si>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</si>
  <si>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</si>
  <si>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</si>
  <si>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</si>
  <si>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</si>
  <si>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</si>
  <si>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</si>
  <si>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</si>
  <si>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</si>
  <si>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</si>
  <si>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</si>
  <si>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</si>
  <si>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</si>
  <si>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</si>
  <si>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</si>
  <si>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</si>
  <si>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</si>
  <si>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</si>
  <si>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</si>
  <si>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</si>
  <si>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</si>
  <si>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</si>
  <si>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</si>
  <si>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</si>
  <si>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</si>
  <si>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</si>
  <si>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</si>
  <si>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</si>
  <si>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</si>
  <si>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</si>
  <si>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</si>
  <si>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</si>
  <si>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</si>
  <si>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</si>
  <si>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</si>
  <si>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</si>
  <si>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</si>
  <si>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</si>
  <si>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</si>
  <si>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</si>
  <si>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</si>
  <si>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</si>
  <si>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</si>
  <si>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</si>
  <si>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</si>
  <si>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</si>
  <si>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</si>
  <si>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</si>
  <si>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</si>
  <si>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</si>
  <si>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</si>
  <si>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</si>
  <si>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</si>
  <si>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</si>
  <si>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</si>
  <si>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</si>
  <si>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</si>
  <si>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</si>
  <si>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</si>
  <si>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</si>
  <si>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</si>
  <si>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</si>
  <si>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</si>
  <si>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</si>
  <si>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</si>
  <si>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</si>
  <si>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</si>
  <si>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</si>
  <si>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</si>
  <si>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</si>
  <si>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</si>
  <si>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</si>
  <si>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</si>
  <si>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</si>
  <si>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</si>
  <si>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</si>
  <si>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</si>
  <si>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</si>
  <si>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</si>
  <si>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</si>
  <si>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</si>
  <si>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</si>
  <si>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</si>
  <si>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</si>
  <si>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</si>
  <si>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</si>
  <si>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</si>
  <si>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</si>
  <si>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</si>
  <si>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</si>
  <si>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</si>
  <si>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</si>
  <si>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</si>
  <si>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</si>
  <si>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</si>
  <si>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</si>
  <si>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</si>
  <si>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</si>
  <si>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</si>
  <si>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</si>
  <si>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</si>
  <si>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</si>
  <si>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</si>
  <si>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</si>
  <si>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</si>
  <si>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</si>
  <si>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</si>
  <si>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</si>
  <si>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</si>
  <si>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</si>
  <si>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</si>
  <si>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</si>
  <si>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</si>
  <si>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</si>
  <si>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</si>
  <si>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</si>
  <si>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</si>
  <si>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</si>
  <si>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</si>
  <si>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</si>
  <si>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</si>
  <si>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</si>
  <si>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</si>
  <si>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</si>
  <si>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</si>
  <si>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</si>
  <si>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</si>
  <si>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</si>
  <si>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</si>
  <si>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</si>
  <si>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</si>
  <si>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</si>
  <si>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</si>
  <si>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</si>
  <si>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</si>
  <si>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</si>
  <si>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</si>
  <si>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</si>
  <si>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</si>
  <si>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</si>
  <si>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</si>
  <si>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</si>
  <si>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</si>
  <si>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</si>
  <si>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</si>
  <si>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</si>
  <si>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</si>
  <si>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</si>
  <si>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</si>
  <si>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</si>
  <si>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</si>
  <si>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</si>
  <si>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</si>
  <si>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</si>
  <si>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</si>
  <si>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</si>
  <si>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</si>
  <si>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</si>
  <si>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</si>
  <si>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</si>
  <si>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</si>
  <si>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</si>
  <si>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</si>
  <si>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</si>
  <si>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</si>
  <si>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</si>
  <si>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</si>
  <si>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</si>
  <si>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</si>
  <si>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</si>
  <si>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</si>
  <si>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</si>
  <si>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</si>
  <si>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</si>
  <si>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</si>
  <si>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</si>
  <si>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</si>
  <si>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</si>
  <si>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</si>
  <si>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</si>
  <si>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</si>
  <si>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</si>
  <si>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</si>
  <si>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</si>
  <si>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</si>
  <si>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</si>
  <si>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</si>
  <si>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</si>
  <si>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</si>
  <si>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</si>
  <si>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</si>
  <si>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</si>
  <si>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</si>
  <si>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</si>
  <si>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</si>
  <si>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</si>
  <si>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</si>
  <si>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</si>
  <si>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</si>
  <si>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</si>
  <si>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</si>
  <si>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</si>
  <si>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</si>
  <si>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</si>
  <si>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</si>
  <si>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</si>
  <si>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</si>
  <si>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</si>
  <si>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</si>
  <si>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</si>
  <si>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</si>
  <si>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</si>
  <si>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</si>
  <si>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</si>
  <si>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</si>
  <si>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</si>
  <si>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</si>
  <si>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</si>
  <si>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</si>
  <si>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</si>
  <si>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</si>
  <si>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</si>
  <si>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</si>
  <si>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</si>
  <si>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</si>
  <si>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</si>
  <si>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</si>
  <si>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</si>
  <si>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</si>
  <si>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</si>
  <si>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</si>
  <si>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</si>
  <si>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</si>
  <si>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</si>
  <si>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</si>
  <si>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</si>
  <si>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</si>
  <si>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</si>
  <si>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</si>
  <si>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</si>
  <si>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</si>
  <si>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</si>
  <si>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</si>
  <si>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</si>
  <si>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</si>
  <si>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</si>
  <si>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</si>
  <si>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</si>
  <si>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</si>
  <si>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</si>
  <si>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</si>
  <si>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</si>
  <si>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</si>
  <si>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</si>
  <si>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</si>
  <si>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</si>
  <si>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</si>
  <si>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</si>
  <si>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</si>
  <si>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</si>
  <si>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</si>
  <si>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</si>
  <si>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</si>
  <si>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</si>
  <si>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</si>
  <si>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</si>
  <si>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</si>
  <si>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</si>
  <si>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</si>
  <si>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</si>
  <si>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</si>
  <si>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</si>
  <si>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</si>
  <si>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</si>
  <si>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</si>
  <si>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</si>
  <si>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</si>
  <si>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</si>
  <si>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</si>
  <si>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</si>
  <si>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</si>
  <si>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</si>
  <si>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</si>
  <si>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</si>
  <si>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</si>
  <si>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</si>
  <si>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</si>
  <si>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</si>
  <si>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</si>
  <si>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</si>
  <si>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</si>
  <si>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</si>
  <si>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</si>
  <si>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</si>
  <si>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</si>
  <si>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</si>
  <si>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</si>
  <si>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</si>
  <si>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</si>
  <si>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</si>
  <si>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</si>
  <si>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</si>
  <si>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</si>
  <si>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</si>
  <si>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</si>
  <si>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</si>
  <si>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</si>
  <si>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</si>
  <si>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</si>
  <si>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</si>
  <si>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</si>
  <si>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</si>
  <si>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</si>
  <si>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</si>
  <si>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</si>
  <si>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</si>
  <si>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</si>
  <si>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</si>
  <si>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</si>
  <si>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</si>
  <si>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</si>
  <si>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</si>
  <si>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</si>
  <si>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</si>
  <si>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</si>
  <si>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</si>
  <si>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</si>
  <si>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</si>
  <si>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</si>
  <si>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</si>
  <si>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</si>
  <si>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</si>
  <si>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</si>
  <si>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</si>
  <si>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</si>
  <si>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</si>
  <si>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</si>
  <si>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</si>
  <si>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</si>
  <si>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</si>
  <si>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</si>
  <si>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</si>
  <si>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</si>
  <si>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</si>
  <si>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</si>
  <si>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</si>
  <si>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</si>
  <si>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</si>
  <si>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</si>
  <si>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</si>
  <si>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</si>
  <si>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</si>
  <si>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</si>
  <si>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</si>
  <si>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</si>
  <si>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</si>
  <si>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</si>
  <si>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</si>
  <si>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</si>
  <si>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</si>
  <si>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</si>
  <si>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</si>
  <si>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</si>
  <si>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</si>
  <si>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</si>
  <si>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</si>
  <si>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</si>
  <si>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</si>
  <si>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</si>
  <si>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</si>
  <si>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</si>
  <si>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</si>
  <si>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</si>
  <si>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</si>
  <si>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</si>
  <si>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</si>
  <si>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</si>
  <si>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</si>
  <si>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</si>
  <si>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</si>
  <si>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</si>
  <si>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</si>
  <si>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</si>
  <si>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</si>
  <si>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</si>
  <si>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</si>
  <si>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</si>
  <si>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</si>
  <si>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</si>
  <si>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</si>
  <si>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</si>
  <si>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</si>
  <si>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</si>
  <si>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</si>
  <si>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</si>
  <si>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</si>
  <si>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</si>
  <si>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</si>
  <si>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</si>
  <si>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</si>
  <si>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</si>
  <si>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</si>
  <si>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</si>
  <si>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</si>
  <si>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</si>
  <si>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</si>
  <si>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</si>
  <si>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</si>
  <si>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</si>
  <si>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</si>
  <si>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</si>
  <si>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</si>
  <si>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</si>
  <si>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</si>
  <si>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</si>
  <si>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</si>
  <si>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</si>
  <si>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</si>
  <si>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</si>
  <si>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</si>
  <si>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</si>
  <si>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</si>
  <si>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</si>
  <si>
    <t>Deferred Tax Liability</t>
  </si>
  <si>
    <t>Caledonia model VI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</si>
</sst>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9" fillId="0" borderId="44" xfId="0" applyFont="1" applyBorder="1"/>
    <xf numFmtId="0" fontId="49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9" fillId="0" borderId="44" xfId="0" applyNumberFormat="1" applyFont="1" applyBorder="1"/>
    <xf numFmtId="17" fontId="49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50" fillId="2" borderId="7" xfId="0" applyFont="1" applyFill="1" applyBorder="1"/>
    <xf numFmtId="0" fontId="49" fillId="0" borderId="0" xfId="0" applyFont="1" applyFill="1" applyBorder="1"/>
    <xf numFmtId="0" fontId="37" fillId="0" borderId="0" xfId="0" applyFont="1" applyFill="1" applyBorder="1"/>
    <xf numFmtId="0" fontId="49" fillId="0" borderId="0" xfId="0" applyFont="1" applyAlignment="1">
      <alignment horizontal="centerContinuous"/>
    </xf>
    <xf numFmtId="0" fontId="51" fillId="0" borderId="0" xfId="0" applyFont="1" applyAlignment="1">
      <alignment horizontal="centerContinuous"/>
    </xf>
    <xf numFmtId="0" fontId="49" fillId="0" borderId="0" xfId="0" applyFont="1"/>
    <xf numFmtId="0" fontId="37" fillId="0" borderId="0" xfId="0" quotePrefix="1" applyFont="1" applyAlignment="1">
      <alignment horizontal="left"/>
    </xf>
    <xf numFmtId="0" fontId="52" fillId="0" borderId="40" xfId="0" applyFont="1" applyBorder="1" applyAlignment="1">
      <alignment horizontal="centerContinuous"/>
    </xf>
    <xf numFmtId="0" fontId="49" fillId="0" borderId="41" xfId="0" applyFont="1" applyBorder="1" applyAlignment="1">
      <alignment horizontal="centerContinuous"/>
    </xf>
    <xf numFmtId="0" fontId="49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9" fillId="0" borderId="22" xfId="0" applyFont="1" applyBorder="1"/>
    <xf numFmtId="0" fontId="49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3" fillId="0" borderId="18" xfId="0" applyFont="1" applyBorder="1" applyAlignment="1">
      <alignment horizontal="centerContinuous"/>
    </xf>
    <xf numFmtId="0" fontId="53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9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9" fillId="0" borderId="19" xfId="0" applyFont="1" applyBorder="1"/>
    <xf numFmtId="0" fontId="37" fillId="0" borderId="52" xfId="0" applyFont="1" applyBorder="1" applyAlignment="1">
      <alignment horizontal="center"/>
    </xf>
    <xf numFmtId="0" fontId="49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9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3" fillId="0" borderId="58" xfId="0" applyFont="1" applyBorder="1" applyAlignment="1">
      <alignment horizontal="center"/>
    </xf>
    <xf numFmtId="0" fontId="52" fillId="0" borderId="22" xfId="0" applyFont="1" applyBorder="1" applyAlignment="1">
      <alignment horizontal="left"/>
    </xf>
    <xf numFmtId="0" fontId="52" fillId="0" borderId="23" xfId="0" applyFont="1" applyBorder="1" applyAlignment="1">
      <alignment horizontal="right"/>
    </xf>
    <xf numFmtId="191" fontId="52" fillId="2" borderId="2" xfId="0" applyNumberFormat="1" applyFont="1" applyFill="1" applyBorder="1"/>
    <xf numFmtId="167" fontId="52" fillId="2" borderId="15" xfId="2" applyNumberFormat="1" applyFont="1" applyFill="1" applyBorder="1"/>
    <xf numFmtId="2" fontId="52" fillId="2" borderId="2" xfId="0" applyNumberFormat="1" applyFont="1" applyFill="1" applyBorder="1"/>
    <xf numFmtId="1" fontId="52" fillId="2" borderId="0" xfId="2" applyNumberFormat="1" applyFont="1" applyFill="1" applyBorder="1" applyAlignment="1">
      <alignment horizontal="center"/>
    </xf>
    <xf numFmtId="2" fontId="52" fillId="2" borderId="23" xfId="0" applyNumberFormat="1" applyFont="1" applyFill="1" applyBorder="1"/>
    <xf numFmtId="191" fontId="52" fillId="2" borderId="22" xfId="0" applyNumberFormat="1" applyFont="1" applyFill="1" applyBorder="1"/>
    <xf numFmtId="1" fontId="52" fillId="2" borderId="6" xfId="2" applyNumberFormat="1" applyFont="1" applyFill="1" applyBorder="1" applyAlignment="1">
      <alignment horizontal="center"/>
    </xf>
    <xf numFmtId="191" fontId="52" fillId="2" borderId="0" xfId="0" applyNumberFormat="1" applyFont="1" applyFill="1" applyBorder="1"/>
    <xf numFmtId="37" fontId="52" fillId="2" borderId="59" xfId="0" applyNumberFormat="1" applyFont="1" applyFill="1" applyBorder="1" applyAlignment="1">
      <alignment horizontal="center"/>
    </xf>
    <xf numFmtId="0" fontId="55" fillId="0" borderId="22" xfId="0" quotePrefix="1" applyFont="1" applyBorder="1" applyAlignment="1">
      <alignment horizontal="left"/>
    </xf>
    <xf numFmtId="0" fontId="51" fillId="0" borderId="23" xfId="0" quotePrefix="1" applyFont="1" applyBorder="1" applyAlignment="1">
      <alignment horizontal="left"/>
    </xf>
    <xf numFmtId="191" fontId="51" fillId="0" borderId="2" xfId="0" applyNumberFormat="1" applyFont="1" applyBorder="1"/>
    <xf numFmtId="10" fontId="51" fillId="0" borderId="15" xfId="2" applyNumberFormat="1" applyFont="1" applyBorder="1"/>
    <xf numFmtId="2" fontId="51" fillId="0" borderId="2" xfId="0" applyNumberFormat="1" applyFont="1" applyBorder="1"/>
    <xf numFmtId="2" fontId="51" fillId="0" borderId="0" xfId="0" applyNumberFormat="1" applyFont="1" applyBorder="1"/>
    <xf numFmtId="0" fontId="51" fillId="0" borderId="23" xfId="0" applyFont="1" applyBorder="1"/>
    <xf numFmtId="191" fontId="51" fillId="0" borderId="22" xfId="0" applyNumberFormat="1" applyFont="1" applyBorder="1"/>
    <xf numFmtId="167" fontId="51" fillId="0" borderId="15" xfId="2" applyNumberFormat="1" applyFont="1" applyBorder="1"/>
    <xf numFmtId="191" fontId="52" fillId="0" borderId="0" xfId="0" applyNumberFormat="1" applyFont="1" applyFill="1" applyBorder="1"/>
    <xf numFmtId="191" fontId="52" fillId="0" borderId="2" xfId="0" applyNumberFormat="1" applyFont="1" applyFill="1" applyBorder="1"/>
    <xf numFmtId="167" fontId="51" fillId="0" borderId="6" xfId="2" applyNumberFormat="1" applyFont="1" applyBorder="1" applyAlignment="1">
      <alignment horizontal="center"/>
    </xf>
    <xf numFmtId="0" fontId="55" fillId="0" borderId="0" xfId="0" applyFont="1" applyBorder="1"/>
    <xf numFmtId="0" fontId="55" fillId="0" borderId="2" xfId="0" applyFont="1" applyBorder="1"/>
    <xf numFmtId="0" fontId="55" fillId="0" borderId="59" xfId="0" applyFont="1" applyBorder="1"/>
    <xf numFmtId="0" fontId="51" fillId="0" borderId="23" xfId="0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0" fontId="51" fillId="0" borderId="22" xfId="0" applyFont="1" applyBorder="1" applyAlignment="1">
      <alignment horizontal="left"/>
    </xf>
    <xf numFmtId="194" fontId="51" fillId="0" borderId="0" xfId="0" applyNumberFormat="1" applyFont="1" applyBorder="1"/>
    <xf numFmtId="192" fontId="51" fillId="0" borderId="0" xfId="0" applyNumberFormat="1" applyFont="1" applyBorder="1" applyAlignment="1">
      <alignment horizontal="center"/>
    </xf>
    <xf numFmtId="192" fontId="51" fillId="0" borderId="15" xfId="0" applyNumberFormat="1" applyFont="1" applyBorder="1" applyAlignment="1">
      <alignment horizontal="center"/>
    </xf>
    <xf numFmtId="191" fontId="51" fillId="0" borderId="0" xfId="0" applyNumberFormat="1" applyFont="1" applyBorder="1"/>
    <xf numFmtId="37" fontId="51" fillId="0" borderId="59" xfId="0" applyNumberFormat="1" applyFont="1" applyBorder="1" applyAlignment="1">
      <alignment horizontal="center"/>
    </xf>
    <xf numFmtId="0" fontId="56" fillId="0" borderId="23" xfId="0" applyFont="1" applyBorder="1" applyAlignment="1">
      <alignment horizontal="right"/>
    </xf>
    <xf numFmtId="191" fontId="49" fillId="0" borderId="2" xfId="0" applyNumberFormat="1" applyFont="1" applyBorder="1"/>
    <xf numFmtId="167" fontId="49" fillId="0" borderId="15" xfId="2" applyNumberFormat="1" applyFont="1" applyBorder="1"/>
    <xf numFmtId="2" fontId="49" fillId="0" borderId="2" xfId="0" applyNumberFormat="1" applyFont="1" applyBorder="1"/>
    <xf numFmtId="1" fontId="49" fillId="0" borderId="0" xfId="2" applyNumberFormat="1" applyFont="1" applyBorder="1" applyAlignment="1">
      <alignment horizontal="center"/>
    </xf>
    <xf numFmtId="2" fontId="49" fillId="0" borderId="23" xfId="0" applyNumberFormat="1" applyFont="1" applyBorder="1"/>
    <xf numFmtId="191" fontId="49" fillId="0" borderId="22" xfId="0" applyNumberFormat="1" applyFont="1" applyBorder="1"/>
    <xf numFmtId="1" fontId="49" fillId="0" borderId="6" xfId="2" applyNumberFormat="1" applyFont="1" applyBorder="1" applyAlignment="1">
      <alignment horizontal="center"/>
    </xf>
    <xf numFmtId="191" fontId="49" fillId="0" borderId="0" xfId="0" applyNumberFormat="1" applyFont="1" applyBorder="1"/>
    <xf numFmtId="191" fontId="49" fillId="0" borderId="59" xfId="0" applyNumberFormat="1" applyFont="1" applyBorder="1"/>
    <xf numFmtId="0" fontId="55" fillId="0" borderId="23" xfId="0" applyFont="1" applyBorder="1"/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3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1" fillId="0" borderId="23" xfId="0" applyNumberFormat="1" applyFont="1" applyBorder="1"/>
    <xf numFmtId="1" fontId="51" fillId="0" borderId="6" xfId="2" applyNumberFormat="1" applyFont="1" applyBorder="1" applyAlignment="1">
      <alignment horizontal="center"/>
    </xf>
    <xf numFmtId="191" fontId="51" fillId="0" borderId="59" xfId="0" applyNumberFormat="1" applyFont="1" applyBorder="1"/>
    <xf numFmtId="0" fontId="55" fillId="0" borderId="24" xfId="0" applyFont="1" applyBorder="1" applyAlignment="1">
      <alignment horizontal="left"/>
    </xf>
    <xf numFmtId="0" fontId="55" fillId="0" borderId="26" xfId="0" applyFont="1" applyBorder="1"/>
    <xf numFmtId="191" fontId="55" fillId="0" borderId="60" xfId="0" applyNumberFormat="1" applyFont="1" applyBorder="1"/>
    <xf numFmtId="167" fontId="55" fillId="0" borderId="61" xfId="2" applyNumberFormat="1" applyFont="1" applyBorder="1"/>
    <xf numFmtId="2" fontId="55" fillId="0" borderId="60" xfId="0" applyNumberFormat="1" applyFont="1" applyBorder="1"/>
    <xf numFmtId="167" fontId="55" fillId="0" borderId="25" xfId="2" applyNumberFormat="1" applyFont="1" applyBorder="1" applyAlignment="1">
      <alignment horizontal="center"/>
    </xf>
    <xf numFmtId="2" fontId="55" fillId="0" borderId="26" xfId="0" applyNumberFormat="1" applyFont="1" applyBorder="1"/>
    <xf numFmtId="191" fontId="55" fillId="0" borderId="24" xfId="0" applyNumberFormat="1" applyFont="1" applyBorder="1"/>
    <xf numFmtId="167" fontId="55" fillId="0" borderId="62" xfId="2" applyNumberFormat="1" applyFont="1" applyBorder="1" applyAlignment="1">
      <alignment horizontal="center"/>
    </xf>
    <xf numFmtId="0" fontId="55" fillId="0" borderId="25" xfId="0" applyFont="1" applyBorder="1"/>
    <xf numFmtId="0" fontId="55" fillId="0" borderId="60" xfId="0" applyFont="1" applyBorder="1"/>
    <xf numFmtId="0" fontId="55" fillId="0" borderId="63" xfId="0" applyFont="1" applyBorder="1"/>
    <xf numFmtId="167" fontId="49" fillId="0" borderId="0" xfId="0" applyNumberFormat="1" applyFont="1"/>
    <xf numFmtId="2" fontId="52" fillId="0" borderId="59" xfId="0" applyNumberFormat="1" applyFont="1" applyFill="1" applyBorder="1"/>
    <xf numFmtId="2" fontId="55" fillId="0" borderId="59" xfId="0" applyNumberFormat="1" applyFont="1" applyBorder="1"/>
    <xf numFmtId="1" fontId="54" fillId="0" borderId="6" xfId="2" applyNumberFormat="1" applyFont="1" applyBorder="1" applyAlignment="1">
      <alignment horizontal="center"/>
    </xf>
    <xf numFmtId="3" fontId="51" fillId="0" borderId="2" xfId="0" applyNumberFormat="1" applyFont="1" applyBorder="1"/>
    <xf numFmtId="0" fontId="52" fillId="0" borderId="64" xfId="0" applyFont="1" applyBorder="1" applyAlignment="1">
      <alignment horizontal="centerContinuous"/>
    </xf>
    <xf numFmtId="0" fontId="55" fillId="0" borderId="0" xfId="0" applyFont="1"/>
    <xf numFmtId="0" fontId="51" fillId="0" borderId="0" xfId="0" applyFont="1"/>
    <xf numFmtId="37" fontId="4" fillId="0" borderId="0" xfId="0" applyNumberFormat="1" applyFont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3FA394F-18F1-E4CD-1546-34950CDF7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A0D5E0E-1039-05D7-1E5E-33662C9A7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.P.T/Transmission%20Models/Sensitivit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2.75" x14ac:dyDescent="0.2"/>
  <sheetData>
    <row r="1" spans="1:7" x14ac:dyDescent="0.2">
      <c r="A1" s="409" t="s">
        <v>376</v>
      </c>
      <c r="B1" s="409"/>
      <c r="C1" s="409"/>
      <c r="D1" s="409"/>
      <c r="E1" s="409"/>
    </row>
    <row r="2" spans="1:7" x14ac:dyDescent="0.2">
      <c r="A2" s="409" t="s">
        <v>377</v>
      </c>
      <c r="B2" s="409"/>
      <c r="C2" s="409"/>
      <c r="D2" s="409"/>
      <c r="E2" s="409"/>
    </row>
    <row r="3" spans="1:7" x14ac:dyDescent="0.2">
      <c r="A3" s="409" t="s">
        <v>378</v>
      </c>
      <c r="B3" s="409"/>
      <c r="C3" s="409"/>
      <c r="D3" s="409"/>
      <c r="E3" s="409"/>
    </row>
    <row r="4" spans="1:7" x14ac:dyDescent="0.2">
      <c r="A4" s="409"/>
      <c r="B4" s="409"/>
      <c r="C4" s="409"/>
      <c r="D4" s="409"/>
      <c r="E4" s="409"/>
    </row>
    <row r="5" spans="1:7" x14ac:dyDescent="0.2">
      <c r="A5" s="409" t="s">
        <v>4</v>
      </c>
      <c r="B5" s="409"/>
      <c r="D5" s="409"/>
      <c r="F5" s="409" t="s">
        <v>379</v>
      </c>
      <c r="G5" s="409">
        <v>1</v>
      </c>
    </row>
    <row r="6" spans="1:7" x14ac:dyDescent="0.2">
      <c r="A6" s="409"/>
      <c r="B6" s="409"/>
      <c r="C6" s="409"/>
      <c r="D6" s="409"/>
      <c r="E6" s="409"/>
      <c r="F6" s="409"/>
    </row>
    <row r="7" spans="1:7" x14ac:dyDescent="0.2">
      <c r="A7" s="409" t="s">
        <v>380</v>
      </c>
      <c r="B7" s="409"/>
      <c r="C7" s="409"/>
      <c r="D7" s="409"/>
      <c r="E7" s="409"/>
      <c r="F7" s="409" t="s">
        <v>379</v>
      </c>
      <c r="G7" s="409">
        <v>2</v>
      </c>
    </row>
    <row r="8" spans="1:7" x14ac:dyDescent="0.2">
      <c r="A8" s="409"/>
      <c r="B8" s="409"/>
      <c r="C8" s="409"/>
      <c r="D8" s="409"/>
      <c r="E8" s="409"/>
      <c r="F8" s="409"/>
      <c r="G8" s="409"/>
    </row>
    <row r="9" spans="1:7" x14ac:dyDescent="0.2">
      <c r="A9" s="409" t="s">
        <v>148</v>
      </c>
      <c r="B9" s="409"/>
      <c r="C9" s="409"/>
      <c r="D9" s="409"/>
      <c r="E9" s="409"/>
      <c r="F9" s="409" t="s">
        <v>379</v>
      </c>
      <c r="G9" s="409">
        <v>3</v>
      </c>
    </row>
    <row r="10" spans="1:7" x14ac:dyDescent="0.2">
      <c r="A10" s="409"/>
      <c r="B10" s="409"/>
      <c r="C10" s="409"/>
      <c r="D10" s="409"/>
      <c r="E10" s="409"/>
      <c r="F10" s="409"/>
      <c r="G10" s="409"/>
    </row>
    <row r="11" spans="1:7" x14ac:dyDescent="0.2">
      <c r="A11" s="409" t="s">
        <v>381</v>
      </c>
      <c r="B11" s="409"/>
      <c r="C11" s="409"/>
      <c r="D11" s="409"/>
      <c r="E11" s="409"/>
      <c r="F11" s="409" t="s">
        <v>379</v>
      </c>
      <c r="G11" s="409">
        <v>4</v>
      </c>
    </row>
    <row r="12" spans="1:7" x14ac:dyDescent="0.2">
      <c r="A12" s="409"/>
      <c r="B12" s="409"/>
      <c r="C12" s="409"/>
      <c r="D12" s="409"/>
      <c r="E12" s="409"/>
      <c r="F12" s="409"/>
      <c r="G12" s="409"/>
    </row>
    <row r="13" spans="1:7" x14ac:dyDescent="0.2">
      <c r="A13" s="409" t="s">
        <v>382</v>
      </c>
      <c r="B13" s="409"/>
      <c r="C13" s="409"/>
      <c r="D13" s="409"/>
      <c r="E13" s="409"/>
      <c r="F13" s="409" t="s">
        <v>379</v>
      </c>
      <c r="G13" s="409">
        <v>5</v>
      </c>
    </row>
    <row r="14" spans="1:7" x14ac:dyDescent="0.2">
      <c r="A14" s="409"/>
      <c r="B14" s="409"/>
      <c r="C14" s="409"/>
      <c r="D14" s="409"/>
      <c r="E14" s="409"/>
      <c r="F14" s="409"/>
      <c r="G14" s="409"/>
    </row>
    <row r="15" spans="1:7" x14ac:dyDescent="0.2">
      <c r="A15" s="409" t="s">
        <v>383</v>
      </c>
      <c r="B15" s="409"/>
      <c r="C15" s="409"/>
      <c r="D15" s="409"/>
      <c r="E15" s="409"/>
      <c r="F15" s="409" t="s">
        <v>379</v>
      </c>
      <c r="G15" s="409">
        <v>6</v>
      </c>
    </row>
    <row r="16" spans="1:7" x14ac:dyDescent="0.2">
      <c r="A16" s="409"/>
      <c r="B16" s="409"/>
      <c r="C16" s="409"/>
      <c r="D16" s="409"/>
      <c r="E16" s="409"/>
      <c r="F16" s="409"/>
      <c r="G16" s="409"/>
    </row>
    <row r="17" spans="1:7" x14ac:dyDescent="0.2">
      <c r="A17" s="409" t="s">
        <v>384</v>
      </c>
      <c r="B17" s="409"/>
      <c r="C17" s="409"/>
      <c r="D17" s="409"/>
      <c r="E17" s="409"/>
      <c r="F17" s="409" t="s">
        <v>379</v>
      </c>
      <c r="G17" s="409">
        <v>7</v>
      </c>
    </row>
    <row r="18" spans="1:7" x14ac:dyDescent="0.2">
      <c r="A18" s="409"/>
      <c r="B18" s="409"/>
      <c r="C18" s="409"/>
      <c r="D18" s="409"/>
      <c r="E18" s="409"/>
      <c r="F18" s="409"/>
      <c r="G18" s="409"/>
    </row>
    <row r="19" spans="1:7" x14ac:dyDescent="0.2">
      <c r="A19" s="409" t="s">
        <v>385</v>
      </c>
      <c r="B19" s="409"/>
      <c r="C19" s="409"/>
      <c r="D19" s="409"/>
      <c r="E19" s="409"/>
      <c r="F19" s="409" t="s">
        <v>379</v>
      </c>
      <c r="G19" s="409">
        <v>8</v>
      </c>
    </row>
    <row r="20" spans="1:7" x14ac:dyDescent="0.2">
      <c r="F20" s="409"/>
    </row>
    <row r="21" spans="1:7" s="409" customFormat="1" x14ac:dyDescent="0.2">
      <c r="A21" s="409" t="s">
        <v>386</v>
      </c>
      <c r="F21" s="409" t="s">
        <v>379</v>
      </c>
      <c r="G21" s="458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86"/>
  <sheetViews>
    <sheetView zoomScale="75" workbookViewId="0">
      <selection activeCell="T16" sqref="T16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1" width="9.140625" style="1"/>
    <col min="12" max="12" width="10.140625" style="1" customWidth="1"/>
    <col min="13" max="16384" width="9.140625" style="1"/>
  </cols>
  <sheetData>
    <row r="1" spans="1:12" ht="15.75" x14ac:dyDescent="0.25">
      <c r="A1" s="179" t="s">
        <v>242</v>
      </c>
      <c r="B1" s="195"/>
      <c r="C1" s="189"/>
      <c r="D1" s="190"/>
      <c r="E1"/>
    </row>
    <row r="2" spans="1:12" ht="15.75" x14ac:dyDescent="0.25">
      <c r="A2" s="182">
        <f>ASS!A4</f>
        <v>0</v>
      </c>
      <c r="B2" s="196"/>
      <c r="C2" s="191"/>
      <c r="D2" s="192"/>
      <c r="E2"/>
    </row>
    <row r="3" spans="1:12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17"/>
    </row>
    <row r="4" spans="1:12" x14ac:dyDescent="0.2">
      <c r="A4" s="299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26" t="s">
        <v>117</v>
      </c>
    </row>
    <row r="5" spans="1:12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16"/>
    </row>
    <row r="6" spans="1:12" x14ac:dyDescent="0.2">
      <c r="A6" s="3"/>
      <c r="B6" s="4" t="s">
        <v>246</v>
      </c>
      <c r="C6" s="4"/>
      <c r="D6" s="4"/>
      <c r="E6" s="4"/>
      <c r="F6" s="61">
        <v>0</v>
      </c>
      <c r="G6" s="27">
        <f>$F$6+G86</f>
        <v>1523.3508771929819</v>
      </c>
      <c r="H6" s="27">
        <f>$F$6+H86</f>
        <v>1882.5009543859642</v>
      </c>
      <c r="I6" s="27">
        <f>$F$6+I86</f>
        <v>2188.2174315789471</v>
      </c>
      <c r="J6" s="27">
        <f>$F$6+J86</f>
        <v>2446.5019087719302</v>
      </c>
      <c r="K6" s="27">
        <f>$F$6+K86</f>
        <v>2659.8711859649129</v>
      </c>
      <c r="L6" s="391">
        <f>SUM(F6:K6)</f>
        <v>10700.442357894735</v>
      </c>
    </row>
    <row r="7" spans="1:12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391"/>
    </row>
    <row r="8" spans="1:12" x14ac:dyDescent="0.2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91">
        <f>SUM(F8:K8)</f>
        <v>0</v>
      </c>
    </row>
    <row r="9" spans="1:12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>IF(J3&lt;TERM,SPARES,0)</f>
        <v>0</v>
      </c>
      <c r="K9" s="27">
        <f>IF(K3&lt;TERM,SPARES,0)</f>
        <v>0</v>
      </c>
      <c r="L9" s="391">
        <f>SUM(F9:K9)</f>
        <v>0</v>
      </c>
    </row>
    <row r="10" spans="1:12" x14ac:dyDescent="0.2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91">
        <f>SUM(F10:K10)</f>
        <v>0</v>
      </c>
    </row>
    <row r="11" spans="1:12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391" t="s">
        <v>5</v>
      </c>
    </row>
    <row r="12" spans="1:12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391">
        <f>SUM(F12:K12)</f>
        <v>60500</v>
      </c>
    </row>
    <row r="13" spans="1:12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391">
        <f>SUM(F13:K13)</f>
        <v>6368.4210526315792</v>
      </c>
    </row>
    <row r="14" spans="1:12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>$F$14+J12-J13</f>
        <v>10401.754385964912</v>
      </c>
      <c r="K14" s="27">
        <f>$F$14+K12-K13</f>
        <v>9977.1929824561412</v>
      </c>
      <c r="L14" s="391">
        <f>SUM(F14:K14)</f>
        <v>54131.578947368427</v>
      </c>
    </row>
    <row r="15" spans="1:12" x14ac:dyDescent="0.2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91">
        <f>SUM(F15:K15)</f>
        <v>0</v>
      </c>
    </row>
    <row r="16" spans="1:12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391"/>
    </row>
    <row r="17" spans="1:12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13198.78947368421</v>
      </c>
      <c r="H17" s="30">
        <f>SUM(H6:H10)+H14+SUM(H15:H15)</f>
        <v>13133.378147368421</v>
      </c>
      <c r="I17" s="30">
        <f>SUM(I6:I10)+I14+SUM(I15:I15)</f>
        <v>13014.53322105263</v>
      </c>
      <c r="J17" s="30">
        <f>SUM(J6:J10)+J14+SUM(J15:J15)</f>
        <v>12848.256294736842</v>
      </c>
      <c r="K17" s="30">
        <f>SUM(K6:K10)+K14+SUM(K15:K15)</f>
        <v>12637.064168421053</v>
      </c>
      <c r="L17" s="391">
        <f>SUM(F17:K17)</f>
        <v>64832.021305263159</v>
      </c>
    </row>
    <row r="18" spans="1:12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391" t="s">
        <v>5</v>
      </c>
    </row>
    <row r="19" spans="1:12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391" t="s">
        <v>5</v>
      </c>
    </row>
    <row r="20" spans="1:12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391">
        <f>SUM(F20:K20)</f>
        <v>0</v>
      </c>
    </row>
    <row r="21" spans="1:12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391">
        <f>SUM(F21:K21)</f>
        <v>0</v>
      </c>
    </row>
    <row r="22" spans="1:12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391">
        <f>SUM(F22:K22)</f>
        <v>0</v>
      </c>
    </row>
    <row r="23" spans="1:12" x14ac:dyDescent="0.2">
      <c r="A23" s="3"/>
      <c r="B23" s="4" t="s">
        <v>259</v>
      </c>
      <c r="C23" s="4"/>
      <c r="D23" s="4"/>
      <c r="E23" s="4"/>
      <c r="F23" s="61">
        <v>0</v>
      </c>
      <c r="G23" s="27">
        <f>G70+G71+$F$23</f>
        <v>0</v>
      </c>
      <c r="H23" s="27">
        <f>H70+H71+$F$23+G23</f>
        <v>0</v>
      </c>
      <c r="I23" s="27">
        <f>I70+I71+$F$23+H23</f>
        <v>0</v>
      </c>
      <c r="J23" s="27">
        <f>J70+J71+$F$23+I23</f>
        <v>0</v>
      </c>
      <c r="K23" s="27">
        <f>K70+K71+$F$23+J23</f>
        <v>0</v>
      </c>
      <c r="L23" s="391">
        <f>SUM(F23:K23)</f>
        <v>0</v>
      </c>
    </row>
    <row r="24" spans="1:12" x14ac:dyDescent="0.2">
      <c r="A24" s="3"/>
      <c r="B24" s="4" t="s">
        <v>491</v>
      </c>
      <c r="C24" s="4"/>
      <c r="D24" s="4"/>
      <c r="E24" s="4"/>
      <c r="F24" s="61">
        <v>0</v>
      </c>
      <c r="G24" s="27">
        <f>F24+(G51+G66)</f>
        <v>11.675438596491404</v>
      </c>
      <c r="H24" s="27">
        <f>G24+(H51+H66)</f>
        <v>191.25047719298254</v>
      </c>
      <c r="I24" s="27">
        <f>H24+(I51+I66)</f>
        <v>344.10871578947399</v>
      </c>
      <c r="J24" s="27">
        <f>I24+(J51+J66)</f>
        <v>473.25095438596531</v>
      </c>
      <c r="K24" s="27">
        <f>J24+(K51+K66)</f>
        <v>579.93559298245668</v>
      </c>
      <c r="L24" s="391"/>
    </row>
    <row r="25" spans="1:12" x14ac:dyDescent="0.2">
      <c r="A25" s="3"/>
      <c r="B25" s="4" t="s">
        <v>260</v>
      </c>
      <c r="C25" s="4"/>
      <c r="D25" s="4"/>
      <c r="E25" s="4"/>
      <c r="F25" s="62">
        <f>ASS!$I$34</f>
        <v>0</v>
      </c>
      <c r="G25" s="62">
        <f>ASS!$I$34</f>
        <v>0</v>
      </c>
      <c r="H25" s="62">
        <f>ASS!$I$34</f>
        <v>0</v>
      </c>
      <c r="I25" s="62">
        <f>ASS!$I$34</f>
        <v>0</v>
      </c>
      <c r="J25" s="62">
        <f>ASS!$I$34</f>
        <v>0</v>
      </c>
      <c r="K25" s="62">
        <f>ASS!$I$34</f>
        <v>0</v>
      </c>
      <c r="L25" s="391">
        <f>SUM(F25:K25)</f>
        <v>0</v>
      </c>
    </row>
    <row r="26" spans="1:12" x14ac:dyDescent="0.2">
      <c r="A26" s="3"/>
      <c r="B26" s="4"/>
      <c r="C26" s="4" t="s">
        <v>261</v>
      </c>
      <c r="D26" s="4"/>
      <c r="E26" s="4"/>
      <c r="F26" s="61">
        <v>0</v>
      </c>
      <c r="G26" s="27">
        <f>SUM(G20:G25)</f>
        <v>11.675438596491404</v>
      </c>
      <c r="H26" s="27">
        <f>SUM(H20:H25)</f>
        <v>191.25047719298254</v>
      </c>
      <c r="I26" s="27">
        <f>SUM(I20:I25)</f>
        <v>344.10871578947399</v>
      </c>
      <c r="J26" s="27">
        <f>SUM(J20:J25)</f>
        <v>473.25095438596531</v>
      </c>
      <c r="K26" s="27">
        <f>SUM(K20:K25)</f>
        <v>579.93559298245668</v>
      </c>
      <c r="L26" s="391">
        <f>SUM(F26:K26)</f>
        <v>1600.2211789473699</v>
      </c>
    </row>
    <row r="27" spans="1:12" x14ac:dyDescent="0.2">
      <c r="A27" s="3"/>
      <c r="B27" s="4"/>
      <c r="C27" s="4"/>
      <c r="D27" s="4"/>
      <c r="E27" s="4"/>
      <c r="F27" s="61"/>
      <c r="G27" s="27"/>
      <c r="H27" s="27"/>
      <c r="I27" s="27"/>
      <c r="J27" s="27"/>
      <c r="K27" s="27"/>
      <c r="L27" s="391" t="s">
        <v>5</v>
      </c>
    </row>
    <row r="28" spans="1:12" x14ac:dyDescent="0.2">
      <c r="A28" s="3" t="s">
        <v>262</v>
      </c>
      <c r="B28" s="4"/>
      <c r="C28" s="4"/>
      <c r="D28" s="4"/>
      <c r="E28" s="4"/>
      <c r="F28" s="61"/>
      <c r="G28" s="27"/>
      <c r="H28" s="27"/>
      <c r="I28" s="27"/>
      <c r="J28" s="27"/>
      <c r="K28" s="27"/>
      <c r="L28" s="391" t="s">
        <v>5</v>
      </c>
    </row>
    <row r="29" spans="1:12" x14ac:dyDescent="0.2">
      <c r="A29" s="3"/>
      <c r="B29" s="4" t="s">
        <v>263</v>
      </c>
      <c r="C29" s="4"/>
      <c r="D29" s="4"/>
      <c r="E29" s="4"/>
      <c r="F29" s="61">
        <v>0</v>
      </c>
      <c r="G29" s="27">
        <f>F29+G77</f>
        <v>13600</v>
      </c>
      <c r="H29" s="27">
        <f>G29+H77</f>
        <v>13600</v>
      </c>
      <c r="I29" s="27">
        <f>H29+I77</f>
        <v>13600</v>
      </c>
      <c r="J29" s="27">
        <f>I29+J77</f>
        <v>13600</v>
      </c>
      <c r="K29" s="27">
        <f>J29+K77</f>
        <v>13600</v>
      </c>
      <c r="L29" s="391">
        <f t="shared" ref="L29:L34" si="0">SUM(F29:K29)</f>
        <v>68000</v>
      </c>
    </row>
    <row r="30" spans="1:12" x14ac:dyDescent="0.2">
      <c r="A30" s="3"/>
      <c r="B30" s="4" t="s">
        <v>264</v>
      </c>
      <c r="C30" s="4"/>
      <c r="D30" s="4"/>
      <c r="E30" s="4"/>
      <c r="F30" s="61">
        <v>0</v>
      </c>
      <c r="G30" s="383">
        <f>F30+G79</f>
        <v>-4388.7731228070179</v>
      </c>
      <c r="H30" s="383">
        <f>G30+H79</f>
        <v>-8069.059125614036</v>
      </c>
      <c r="I30" s="383">
        <f>H30+I79</f>
        <v>-11235.462658021053</v>
      </c>
      <c r="J30" s="383">
        <f>I30+J79</f>
        <v>-14424.970934620071</v>
      </c>
      <c r="K30" s="383">
        <f>J30+K79</f>
        <v>-17636.313330294928</v>
      </c>
      <c r="L30" s="391">
        <f t="shared" si="0"/>
        <v>-55754.579171357109</v>
      </c>
    </row>
    <row r="31" spans="1:12" x14ac:dyDescent="0.2">
      <c r="A31" s="3"/>
      <c r="B31" s="4" t="s">
        <v>265</v>
      </c>
      <c r="C31" s="4"/>
      <c r="D31" s="4"/>
      <c r="E31" s="4"/>
      <c r="F31" s="62">
        <v>0</v>
      </c>
      <c r="G31" s="29">
        <f>F31+G53</f>
        <v>3975.8871578947369</v>
      </c>
      <c r="H31" s="29">
        <f>G31+H53</f>
        <v>7411.1867957894738</v>
      </c>
      <c r="I31" s="29">
        <f>H31+I53</f>
        <v>10305.887163284211</v>
      </c>
      <c r="J31" s="29">
        <f>I31+J53</f>
        <v>13199.976274970948</v>
      </c>
      <c r="K31" s="29">
        <f>J31+K53</f>
        <v>16093.441905733525</v>
      </c>
      <c r="L31" s="391">
        <f t="shared" si="0"/>
        <v>50986.379297672895</v>
      </c>
    </row>
    <row r="32" spans="1:12" x14ac:dyDescent="0.2">
      <c r="A32" s="3"/>
      <c r="B32" s="4" t="s">
        <v>266</v>
      </c>
      <c r="C32" s="4"/>
      <c r="D32" s="4"/>
      <c r="E32" s="4"/>
      <c r="F32" s="61">
        <v>0</v>
      </c>
      <c r="G32" s="27">
        <f>SUM(G29:G31)</f>
        <v>13187.114035087718</v>
      </c>
      <c r="H32" s="27">
        <f>SUM(H29:H31)</f>
        <v>12942.127670175438</v>
      </c>
      <c r="I32" s="27">
        <f>SUM(I29:I31)</f>
        <v>12670.424505263158</v>
      </c>
      <c r="J32" s="27">
        <f>SUM(J29:J31)</f>
        <v>12375.005340350877</v>
      </c>
      <c r="K32" s="27">
        <f>SUM(K29:K31)</f>
        <v>12057.128575438597</v>
      </c>
      <c r="L32" s="391">
        <f t="shared" si="0"/>
        <v>63231.800126315793</v>
      </c>
    </row>
    <row r="33" spans="1:12" x14ac:dyDescent="0.2">
      <c r="A33" s="3"/>
      <c r="B33" s="4"/>
      <c r="C33" s="4"/>
      <c r="D33" s="4"/>
      <c r="E33" s="4"/>
      <c r="F33" s="61"/>
      <c r="G33" s="27"/>
      <c r="H33" s="27"/>
      <c r="I33" s="27"/>
      <c r="J33" s="27"/>
      <c r="K33" s="27"/>
      <c r="L33" s="391">
        <f t="shared" si="0"/>
        <v>0</v>
      </c>
    </row>
    <row r="34" spans="1:12" x14ac:dyDescent="0.2">
      <c r="A34" s="3" t="s">
        <v>267</v>
      </c>
      <c r="B34" s="4"/>
      <c r="C34" s="4"/>
      <c r="D34" s="4"/>
      <c r="E34" s="4"/>
      <c r="F34" s="63">
        <v>0</v>
      </c>
      <c r="G34" s="30">
        <f>G32+G26</f>
        <v>13198.78947368421</v>
      </c>
      <c r="H34" s="30">
        <f>H32+H26</f>
        <v>13133.378147368421</v>
      </c>
      <c r="I34" s="30">
        <f>I32+I26</f>
        <v>13014.533221052632</v>
      </c>
      <c r="J34" s="30">
        <f>J32+J26</f>
        <v>12848.256294736842</v>
      </c>
      <c r="K34" s="30">
        <f>K32+K26</f>
        <v>12637.064168421053</v>
      </c>
      <c r="L34" s="391">
        <f t="shared" si="0"/>
        <v>64832.021305263159</v>
      </c>
    </row>
    <row r="35" spans="1:12" x14ac:dyDescent="0.2">
      <c r="A35" s="3"/>
      <c r="B35" s="4"/>
      <c r="C35" s="4"/>
      <c r="D35" s="4"/>
      <c r="E35" s="4"/>
      <c r="F35" s="61"/>
      <c r="G35" s="27"/>
      <c r="H35" s="27"/>
      <c r="I35" s="27"/>
      <c r="J35" s="27"/>
      <c r="K35" s="27"/>
      <c r="L35" s="391" t="s">
        <v>5</v>
      </c>
    </row>
    <row r="36" spans="1:12" s="25" customFormat="1" x14ac:dyDescent="0.2">
      <c r="A36" s="393" t="s">
        <v>268</v>
      </c>
      <c r="B36" s="394"/>
      <c r="C36" s="394"/>
      <c r="D36" s="394"/>
      <c r="E36" s="394"/>
      <c r="F36" s="395">
        <v>0</v>
      </c>
      <c r="G36" s="396">
        <f>G17-G34</f>
        <v>0</v>
      </c>
      <c r="H36" s="396">
        <f>H17-H34</f>
        <v>0</v>
      </c>
      <c r="I36" s="396">
        <f>I17-I34</f>
        <v>0</v>
      </c>
      <c r="J36" s="396">
        <f>J17-J34</f>
        <v>0</v>
      </c>
      <c r="K36" s="396">
        <f>K17-K34</f>
        <v>0</v>
      </c>
      <c r="L36" s="397">
        <f>SUM(F36:K36)</f>
        <v>0</v>
      </c>
    </row>
    <row r="38" spans="1:12" x14ac:dyDescent="0.2">
      <c r="H38" s="594"/>
    </row>
    <row r="39" spans="1:12" ht="15.75" x14ac:dyDescent="0.25">
      <c r="A39" s="197" t="s">
        <v>269</v>
      </c>
      <c r="B39" s="198"/>
      <c r="C39" s="199"/>
    </row>
    <row r="40" spans="1:12" x14ac:dyDescent="0.2">
      <c r="G40" s="25">
        <f t="shared" ref="G40:I41" si="1">G3</f>
        <v>1</v>
      </c>
      <c r="H40" s="25">
        <f t="shared" si="1"/>
        <v>2</v>
      </c>
      <c r="I40" s="25">
        <f t="shared" si="1"/>
        <v>3</v>
      </c>
      <c r="J40" s="25">
        <f>J3</f>
        <v>4</v>
      </c>
      <c r="K40" s="25">
        <f>K3</f>
        <v>5</v>
      </c>
      <c r="L40" s="17"/>
    </row>
    <row r="41" spans="1:12" x14ac:dyDescent="0.2">
      <c r="A41" s="25" t="s">
        <v>357</v>
      </c>
      <c r="G41" s="25">
        <f t="shared" si="1"/>
        <v>2001</v>
      </c>
      <c r="H41" s="25">
        <f t="shared" si="1"/>
        <v>2002</v>
      </c>
      <c r="I41" s="25">
        <f t="shared" si="1"/>
        <v>2003</v>
      </c>
      <c r="J41" s="25">
        <f>J4</f>
        <v>2004</v>
      </c>
      <c r="K41" s="25">
        <f>K4</f>
        <v>2005</v>
      </c>
      <c r="L41" s="31" t="s">
        <v>117</v>
      </c>
    </row>
    <row r="42" spans="1:12" x14ac:dyDescent="0.2">
      <c r="A42" s="11" t="s">
        <v>317</v>
      </c>
      <c r="B42" s="2"/>
      <c r="C42" s="2"/>
      <c r="D42" s="2"/>
      <c r="E42" s="2"/>
      <c r="F42" s="272"/>
      <c r="G42" s="404">
        <f>CF!D18</f>
        <v>7100</v>
      </c>
      <c r="H42" s="405">
        <f>CF!E18</f>
        <v>6200</v>
      </c>
      <c r="I42" s="405">
        <f>CF!F18</f>
        <v>5300</v>
      </c>
      <c r="J42" s="405">
        <f>$I$42</f>
        <v>5300</v>
      </c>
      <c r="K42" s="405">
        <f>$I$42</f>
        <v>5300</v>
      </c>
      <c r="L42" s="400">
        <f>SUM(G42:K42)</f>
        <v>29200</v>
      </c>
    </row>
    <row r="43" spans="1:12" x14ac:dyDescent="0.2">
      <c r="A43" s="3"/>
      <c r="B43" s="4"/>
      <c r="C43" s="4"/>
      <c r="D43" s="4"/>
      <c r="E43" s="4"/>
      <c r="F43" s="4"/>
      <c r="G43" s="27"/>
      <c r="H43" s="27"/>
      <c r="I43" s="27"/>
      <c r="J43" s="27"/>
      <c r="K43" s="27"/>
      <c r="L43" s="391" t="s">
        <v>5</v>
      </c>
    </row>
    <row r="44" spans="1:12" x14ac:dyDescent="0.2">
      <c r="A44" s="3" t="s">
        <v>270</v>
      </c>
      <c r="B44" s="4"/>
      <c r="C44" s="4"/>
      <c r="D44" s="4"/>
      <c r="E44" s="4"/>
      <c r="F44" s="4"/>
      <c r="G44" s="27">
        <f>CF!D37</f>
        <v>48.96</v>
      </c>
      <c r="H44" s="27">
        <f>CF!E37</f>
        <v>49.9392</v>
      </c>
      <c r="I44" s="27">
        <f>CF!F37</f>
        <v>50.937984</v>
      </c>
      <c r="J44" s="27">
        <f>CF!G37</f>
        <v>51.95674368000001</v>
      </c>
      <c r="K44" s="27">
        <f>CF!H37</f>
        <v>52.995878553600001</v>
      </c>
      <c r="L44" s="391">
        <f t="shared" ref="L44:L53" si="2">SUM(G44:K44)</f>
        <v>254.78980623360002</v>
      </c>
    </row>
    <row r="45" spans="1:12" x14ac:dyDescent="0.2">
      <c r="A45" s="3" t="s">
        <v>62</v>
      </c>
      <c r="B45" s="4"/>
      <c r="C45" s="4"/>
      <c r="D45" s="4"/>
      <c r="E45" s="4"/>
      <c r="F45" s="4"/>
      <c r="G45" s="27">
        <f>CF!D43</f>
        <v>0</v>
      </c>
      <c r="H45" s="27">
        <f>CF!E43</f>
        <v>0</v>
      </c>
      <c r="I45" s="27">
        <f>CF!F43</f>
        <v>0</v>
      </c>
      <c r="J45" s="27">
        <f>CF!G43</f>
        <v>0</v>
      </c>
      <c r="K45" s="27">
        <f>CF!H43</f>
        <v>0</v>
      </c>
      <c r="L45" s="391">
        <f t="shared" si="2"/>
        <v>0</v>
      </c>
    </row>
    <row r="46" spans="1:12" x14ac:dyDescent="0.2">
      <c r="A46" s="3" t="s">
        <v>0</v>
      </c>
      <c r="B46" s="4"/>
      <c r="C46" s="4"/>
      <c r="D46" s="4"/>
      <c r="E46" s="4"/>
      <c r="F46" s="4"/>
      <c r="G46" s="27">
        <f>DEPR!F27</f>
        <v>424.56140350877195</v>
      </c>
      <c r="H46" s="27">
        <f>DEPR!G27</f>
        <v>424.56140350877195</v>
      </c>
      <c r="I46" s="27">
        <f>DEPR!H27</f>
        <v>424.56140350877195</v>
      </c>
      <c r="J46" s="27">
        <f>DEPR!I27</f>
        <v>424.56140350877195</v>
      </c>
      <c r="K46" s="27">
        <f>DEPR!J27</f>
        <v>424.56140350877195</v>
      </c>
      <c r="L46" s="391">
        <f t="shared" si="2"/>
        <v>2122.8070175438597</v>
      </c>
    </row>
    <row r="47" spans="1:12" x14ac:dyDescent="0.2">
      <c r="A47" s="3" t="s">
        <v>271</v>
      </c>
      <c r="B47" s="4"/>
      <c r="C47" s="4"/>
      <c r="D47" s="4"/>
      <c r="E47" s="4"/>
      <c r="F47" s="4"/>
      <c r="G47" s="29">
        <f>ASS!V24*DEBT</f>
        <v>0</v>
      </c>
      <c r="H47" s="29">
        <f>ASS!W24*DEBT</f>
        <v>0</v>
      </c>
      <c r="I47" s="29">
        <f>ASS!X24*DEBT</f>
        <v>0</v>
      </c>
      <c r="J47" s="29">
        <f>ASS!Y31*DEBT</f>
        <v>0</v>
      </c>
      <c r="K47" s="29">
        <f>ASS!Z31*DEBT</f>
        <v>0</v>
      </c>
      <c r="L47" s="391">
        <f t="shared" si="2"/>
        <v>0</v>
      </c>
    </row>
    <row r="48" spans="1:12" x14ac:dyDescent="0.2">
      <c r="A48" s="3" t="s">
        <v>272</v>
      </c>
      <c r="B48" s="4"/>
      <c r="C48" s="4"/>
      <c r="D48" s="4"/>
      <c r="E48" s="4"/>
      <c r="F48" s="4"/>
      <c r="G48" s="406">
        <f>SUM(G44:G47)</f>
        <v>473.52140350877193</v>
      </c>
      <c r="H48" s="406">
        <f>SUM(H44:H47)</f>
        <v>474.50060350877197</v>
      </c>
      <c r="I48" s="406">
        <f>SUM(I44:I47)</f>
        <v>475.49938750877197</v>
      </c>
      <c r="J48" s="406">
        <f>SUM(J44:J47)</f>
        <v>476.51814718877193</v>
      </c>
      <c r="K48" s="406">
        <f>SUM(K44:K47)</f>
        <v>477.55728206237194</v>
      </c>
      <c r="L48" s="391">
        <f t="shared" si="2"/>
        <v>2377.5968237774596</v>
      </c>
    </row>
    <row r="49" spans="1:12" x14ac:dyDescent="0.2">
      <c r="A49" s="3"/>
      <c r="B49" s="4"/>
      <c r="C49" s="4"/>
      <c r="D49" s="4"/>
      <c r="E49" s="4"/>
      <c r="F49" s="4"/>
      <c r="G49" s="27"/>
      <c r="H49" s="27"/>
      <c r="I49" s="27"/>
      <c r="J49" s="27"/>
      <c r="K49" s="27"/>
      <c r="L49" s="391">
        <f t="shared" si="2"/>
        <v>0</v>
      </c>
    </row>
    <row r="50" spans="1:12" x14ac:dyDescent="0.2">
      <c r="A50" s="3" t="s">
        <v>273</v>
      </c>
      <c r="B50" s="4"/>
      <c r="C50" s="4"/>
      <c r="D50" s="4"/>
      <c r="E50" s="4" t="s">
        <v>5</v>
      </c>
      <c r="F50" s="4"/>
      <c r="G50" s="27">
        <f>G42-G48</f>
        <v>6626.478596491228</v>
      </c>
      <c r="H50" s="27">
        <f>H42-H48</f>
        <v>5725.4993964912283</v>
      </c>
      <c r="I50" s="27">
        <f>I42-I48</f>
        <v>4824.5006124912279</v>
      </c>
      <c r="J50" s="27">
        <f>J42-J48</f>
        <v>4823.4818528112282</v>
      </c>
      <c r="K50" s="27">
        <f>K42-K48</f>
        <v>4822.442717937628</v>
      </c>
      <c r="L50" s="391">
        <f t="shared" si="2"/>
        <v>26822.403176222542</v>
      </c>
    </row>
    <row r="51" spans="1:12" x14ac:dyDescent="0.2">
      <c r="A51" s="3" t="s">
        <v>369</v>
      </c>
      <c r="B51" s="4"/>
      <c r="C51" s="4"/>
      <c r="D51" s="4"/>
      <c r="E51" s="4" t="s">
        <v>5</v>
      </c>
      <c r="F51" s="4"/>
      <c r="G51" s="27">
        <f>IF(G50&lt;0,0,G50*(ASS!$I$14+ASS!$I$15))</f>
        <v>2650.5914385964911</v>
      </c>
      <c r="H51" s="27">
        <f>IF(H50&lt;0,0,H50*(ASS!$I$14+ASS!$I$15))</f>
        <v>2290.1997585964909</v>
      </c>
      <c r="I51" s="27">
        <f>IF(I50&lt;0,0,I50*(ASS!$I$14+ASS!$I$15))</f>
        <v>1929.8002449964911</v>
      </c>
      <c r="J51" s="27">
        <f>IF(J50&lt;0,0,J50*(ASS!$I$14+ASS!$I$15))</f>
        <v>1929.3927411244911</v>
      </c>
      <c r="K51" s="27">
        <f>IF(K50&lt;0,0,K50*(ASS!$I$14+ASS!$I$15))</f>
        <v>1928.9770871750511</v>
      </c>
      <c r="L51" s="391">
        <f t="shared" si="2"/>
        <v>10728.961270489017</v>
      </c>
    </row>
    <row r="52" spans="1:12" x14ac:dyDescent="0.2">
      <c r="A52" s="3"/>
      <c r="B52" s="4"/>
      <c r="C52" s="4"/>
      <c r="D52" s="4"/>
      <c r="E52" s="4" t="s">
        <v>5</v>
      </c>
      <c r="F52" s="4"/>
      <c r="G52" s="27"/>
      <c r="H52" s="27"/>
      <c r="I52" s="27"/>
      <c r="J52" s="27"/>
      <c r="K52" s="27"/>
      <c r="L52" s="391">
        <f t="shared" si="2"/>
        <v>0</v>
      </c>
    </row>
    <row r="53" spans="1:12" x14ac:dyDescent="0.2">
      <c r="A53" s="3" t="s">
        <v>274</v>
      </c>
      <c r="B53" s="4"/>
      <c r="C53" s="4"/>
      <c r="D53" s="4"/>
      <c r="E53" s="4" t="s">
        <v>5</v>
      </c>
      <c r="F53" s="4"/>
      <c r="G53" s="407">
        <f>G50-G51</f>
        <v>3975.8871578947369</v>
      </c>
      <c r="H53" s="407">
        <f>H50-H51</f>
        <v>3435.2996378947373</v>
      </c>
      <c r="I53" s="407">
        <f>I50-I51</f>
        <v>2894.7003674947368</v>
      </c>
      <c r="J53" s="407">
        <f>J50-J51</f>
        <v>2894.0891116867369</v>
      </c>
      <c r="K53" s="407">
        <f>K50-K51</f>
        <v>2893.4656307625769</v>
      </c>
      <c r="L53" s="391">
        <f t="shared" si="2"/>
        <v>16093.441905733525</v>
      </c>
    </row>
    <row r="54" spans="1:12" x14ac:dyDescent="0.2">
      <c r="A54" s="5"/>
      <c r="B54" s="6"/>
      <c r="C54" s="6"/>
      <c r="D54" s="6"/>
      <c r="E54" s="6"/>
      <c r="F54" s="6"/>
      <c r="G54" s="32"/>
      <c r="H54" s="32"/>
      <c r="I54" s="32"/>
      <c r="J54" s="32"/>
      <c r="K54" s="32"/>
      <c r="L54" s="33"/>
    </row>
    <row r="57" spans="1:12" ht="15.75" x14ac:dyDescent="0.25">
      <c r="A57" s="197" t="s">
        <v>275</v>
      </c>
      <c r="B57" s="198"/>
      <c r="C57" s="198"/>
      <c r="D57" s="199"/>
    </row>
    <row r="58" spans="1:12" x14ac:dyDescent="0.2">
      <c r="G58" s="25">
        <f t="shared" ref="G58:I59" si="3">G3</f>
        <v>1</v>
      </c>
      <c r="H58" s="25">
        <f t="shared" si="3"/>
        <v>2</v>
      </c>
      <c r="I58" s="25">
        <f t="shared" si="3"/>
        <v>3</v>
      </c>
      <c r="J58" s="25">
        <f>J3</f>
        <v>4</v>
      </c>
      <c r="K58" s="25">
        <f>K3</f>
        <v>5</v>
      </c>
      <c r="L58" s="17"/>
    </row>
    <row r="59" spans="1:12" x14ac:dyDescent="0.2">
      <c r="A59" s="25" t="s">
        <v>357</v>
      </c>
      <c r="G59" s="25">
        <f t="shared" si="3"/>
        <v>2001</v>
      </c>
      <c r="H59" s="25">
        <f t="shared" si="3"/>
        <v>2002</v>
      </c>
      <c r="I59" s="25">
        <f t="shared" si="3"/>
        <v>2003</v>
      </c>
      <c r="J59" s="25">
        <f>J4</f>
        <v>2004</v>
      </c>
      <c r="K59" s="25">
        <f>K4</f>
        <v>2005</v>
      </c>
      <c r="L59" s="31" t="s">
        <v>117</v>
      </c>
    </row>
    <row r="60" spans="1:12" x14ac:dyDescent="0.2">
      <c r="A60" s="11" t="s">
        <v>276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17"/>
    </row>
    <row r="61" spans="1:12" x14ac:dyDescent="0.2">
      <c r="A61" s="3"/>
      <c r="B61" s="4" t="s">
        <v>277</v>
      </c>
      <c r="C61" s="4"/>
      <c r="D61" s="4"/>
      <c r="E61" s="4"/>
      <c r="F61" s="239"/>
      <c r="G61" s="239">
        <f>CF!D18</f>
        <v>7100</v>
      </c>
      <c r="H61" s="27">
        <f>CF!E18</f>
        <v>6200</v>
      </c>
      <c r="I61" s="27">
        <f>CF!F18</f>
        <v>5300</v>
      </c>
      <c r="J61" s="27">
        <f>CF!G18</f>
        <v>5300</v>
      </c>
      <c r="K61" s="27">
        <f>CF!H18</f>
        <v>5300</v>
      </c>
      <c r="L61" s="391">
        <f t="shared" ref="L61:L67" si="4">SUM(G61:K61)</f>
        <v>29200</v>
      </c>
    </row>
    <row r="62" spans="1:12" x14ac:dyDescent="0.2">
      <c r="A62" s="3"/>
      <c r="B62" s="4" t="s">
        <v>278</v>
      </c>
      <c r="C62" s="4"/>
      <c r="D62" s="4"/>
      <c r="E62" s="4"/>
      <c r="F62" s="4"/>
      <c r="G62" s="27">
        <f>-CF!D47</f>
        <v>-48.96</v>
      </c>
      <c r="H62" s="27">
        <f>-CF!E47</f>
        <v>-49.9392</v>
      </c>
      <c r="I62" s="27">
        <f>-CF!F47</f>
        <v>-50.937984</v>
      </c>
      <c r="J62" s="27">
        <f>-CF!G47</f>
        <v>-51.95674368000001</v>
      </c>
      <c r="K62" s="27">
        <f>-CF!H47</f>
        <v>-52.995878553600001</v>
      </c>
      <c r="L62" s="391">
        <f t="shared" si="4"/>
        <v>-254.78980623360002</v>
      </c>
    </row>
    <row r="63" spans="1:12" x14ac:dyDescent="0.2">
      <c r="A63" s="3"/>
      <c r="B63" s="4" t="s">
        <v>279</v>
      </c>
      <c r="C63" s="4"/>
      <c r="D63" s="4"/>
      <c r="E63" s="4"/>
      <c r="F63" s="4"/>
      <c r="G63" s="27">
        <f>CF!D60</f>
        <v>0</v>
      </c>
      <c r="H63" s="27">
        <f>CF!E60</f>
        <v>0</v>
      </c>
      <c r="I63" s="27">
        <f>CF!F60</f>
        <v>0</v>
      </c>
      <c r="J63" s="27">
        <f>CF!G60</f>
        <v>0</v>
      </c>
      <c r="K63" s="27">
        <f>CF!H60</f>
        <v>0</v>
      </c>
      <c r="L63" s="391">
        <f t="shared" si="4"/>
        <v>0</v>
      </c>
    </row>
    <row r="64" spans="1:12" x14ac:dyDescent="0.2">
      <c r="A64" s="3"/>
      <c r="B64" s="4" t="s">
        <v>313</v>
      </c>
      <c r="C64" s="4"/>
      <c r="D64" s="4"/>
      <c r="E64" s="4"/>
      <c r="F64" s="4"/>
      <c r="G64" s="27">
        <f>CF!D63+CF!D64</f>
        <v>0</v>
      </c>
      <c r="H64" s="27">
        <f>CF!E63+CF!E64</f>
        <v>0</v>
      </c>
      <c r="I64" s="27">
        <f>CF!F63+CF!F64</f>
        <v>0</v>
      </c>
      <c r="J64" s="27">
        <f>CF!G63+CF!G64</f>
        <v>0</v>
      </c>
      <c r="K64" s="27">
        <f>CF!H63+CF!H64</f>
        <v>0</v>
      </c>
      <c r="L64" s="391">
        <f t="shared" si="4"/>
        <v>0</v>
      </c>
    </row>
    <row r="65" spans="1:12" x14ac:dyDescent="0.2">
      <c r="A65" s="3"/>
      <c r="B65" s="4" t="s">
        <v>280</v>
      </c>
      <c r="C65" s="4"/>
      <c r="D65" s="4"/>
      <c r="E65" s="4"/>
      <c r="F65" s="4"/>
      <c r="G65" s="27">
        <f>ASS!V24*DEBT</f>
        <v>0</v>
      </c>
      <c r="H65" s="27">
        <f>ASS!W24*DEBT</f>
        <v>0</v>
      </c>
      <c r="I65" s="27">
        <f>ASS!X24*DEBT</f>
        <v>0</v>
      </c>
      <c r="J65" s="27">
        <f>ASS!Y31*DEBT</f>
        <v>0</v>
      </c>
      <c r="K65" s="27">
        <f>ASS!Z31*DEBT</f>
        <v>0</v>
      </c>
      <c r="L65" s="391">
        <f t="shared" si="4"/>
        <v>0</v>
      </c>
    </row>
    <row r="66" spans="1:12" x14ac:dyDescent="0.2">
      <c r="A66" s="3"/>
      <c r="B66" s="4" t="s">
        <v>281</v>
      </c>
      <c r="C66" s="4"/>
      <c r="D66" s="4"/>
      <c r="E66" s="4"/>
      <c r="F66" s="4"/>
      <c r="G66" s="29">
        <f>-CF!D65</f>
        <v>-2638.9159999999997</v>
      </c>
      <c r="H66" s="29">
        <f>-CF!E65</f>
        <v>-2110.6247199999998</v>
      </c>
      <c r="I66" s="29">
        <f>-CF!F65</f>
        <v>-1776.9420063999996</v>
      </c>
      <c r="J66" s="29">
        <f>-CF!G65</f>
        <v>-1800.2505025279997</v>
      </c>
      <c r="K66" s="29">
        <f>-CF!H65</f>
        <v>-1822.2924485785597</v>
      </c>
      <c r="L66" s="398">
        <f t="shared" si="4"/>
        <v>-10149.025677506557</v>
      </c>
    </row>
    <row r="67" spans="1:12" x14ac:dyDescent="0.2">
      <c r="A67" s="3"/>
      <c r="B67" s="4"/>
      <c r="C67" s="4" t="s">
        <v>282</v>
      </c>
      <c r="D67" s="4"/>
      <c r="E67" s="4"/>
      <c r="F67" s="4"/>
      <c r="G67" s="406">
        <f>SUM(G61:G66)</f>
        <v>4412.1239999999998</v>
      </c>
      <c r="H67" s="406">
        <f>SUM(H61:H66)</f>
        <v>4039.4360800000004</v>
      </c>
      <c r="I67" s="406">
        <f>SUM(I61:I66)</f>
        <v>3472.1200096000002</v>
      </c>
      <c r="J67" s="406">
        <f>SUM(J61:J66)</f>
        <v>3447.7927537920004</v>
      </c>
      <c r="K67" s="406">
        <f>SUM(K61:K66)</f>
        <v>3424.7116728678402</v>
      </c>
      <c r="L67" s="391">
        <f t="shared" si="4"/>
        <v>18796.18451625984</v>
      </c>
    </row>
    <row r="68" spans="1:12" x14ac:dyDescent="0.2">
      <c r="A68" s="3"/>
      <c r="B68" s="4"/>
      <c r="C68" s="4"/>
      <c r="D68" s="4"/>
      <c r="E68" s="4"/>
      <c r="F68" s="4"/>
      <c r="G68" s="27"/>
      <c r="H68" s="27"/>
      <c r="I68" s="27"/>
      <c r="J68" s="27"/>
      <c r="K68" s="27"/>
      <c r="L68" s="391"/>
    </row>
    <row r="69" spans="1:12" x14ac:dyDescent="0.2">
      <c r="A69" s="3" t="s">
        <v>283</v>
      </c>
      <c r="B69" s="4"/>
      <c r="C69" s="4"/>
      <c r="D69" s="4"/>
      <c r="E69" s="4"/>
      <c r="F69" s="4"/>
      <c r="G69" s="27"/>
      <c r="H69" s="27"/>
      <c r="I69" s="27"/>
      <c r="J69" s="27"/>
      <c r="K69" s="27"/>
      <c r="L69" s="391"/>
    </row>
    <row r="70" spans="1:12" x14ac:dyDescent="0.2">
      <c r="A70" s="3"/>
      <c r="B70" s="4" t="s">
        <v>284</v>
      </c>
      <c r="C70" s="4"/>
      <c r="D70" s="4"/>
      <c r="E70" s="4"/>
      <c r="F70" s="4"/>
      <c r="G70" s="27">
        <f>ASS!V24*DEBT</f>
        <v>0</v>
      </c>
      <c r="H70" s="27">
        <f>ASS!W24*DEBT</f>
        <v>0</v>
      </c>
      <c r="I70" s="27">
        <f>ASS!X24*DEBT</f>
        <v>0</v>
      </c>
      <c r="J70" s="27">
        <f>ASS!Y31*DEBT</f>
        <v>0</v>
      </c>
      <c r="K70" s="27">
        <f>ASS!Z31*DEBT</f>
        <v>0</v>
      </c>
      <c r="L70" s="391">
        <f t="shared" ref="L70:L86" si="5">SUM(G70:K70)</f>
        <v>0</v>
      </c>
    </row>
    <row r="71" spans="1:12" x14ac:dyDescent="0.2">
      <c r="A71" s="3"/>
      <c r="B71" s="4" t="s">
        <v>285</v>
      </c>
      <c r="C71" s="4"/>
      <c r="D71" s="4"/>
      <c r="E71" s="4"/>
      <c r="F71" s="4"/>
      <c r="G71" s="27">
        <f>COST*DEBTPERC</f>
        <v>0</v>
      </c>
      <c r="H71" s="27">
        <v>0</v>
      </c>
      <c r="I71" s="27">
        <v>0</v>
      </c>
      <c r="J71" s="27">
        <v>0</v>
      </c>
      <c r="K71" s="27">
        <v>0</v>
      </c>
      <c r="L71" s="391">
        <f t="shared" si="5"/>
        <v>0</v>
      </c>
    </row>
    <row r="72" spans="1:12" x14ac:dyDescent="0.2">
      <c r="A72" s="3"/>
      <c r="B72" s="4" t="s">
        <v>286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391">
        <f t="shared" si="5"/>
        <v>0</v>
      </c>
    </row>
    <row r="73" spans="1:12" x14ac:dyDescent="0.2">
      <c r="A73" s="3"/>
      <c r="B73" s="4" t="s">
        <v>287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391">
        <f t="shared" si="5"/>
        <v>0</v>
      </c>
    </row>
    <row r="74" spans="1:12" x14ac:dyDescent="0.2">
      <c r="A74" s="3"/>
      <c r="B74" s="4" t="s">
        <v>288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391">
        <f t="shared" si="5"/>
        <v>0</v>
      </c>
    </row>
    <row r="75" spans="1:12" x14ac:dyDescent="0.2">
      <c r="A75" s="3"/>
      <c r="B75" s="4" t="s">
        <v>289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391">
        <f t="shared" si="5"/>
        <v>0</v>
      </c>
    </row>
    <row r="76" spans="1:12" x14ac:dyDescent="0.2">
      <c r="A76" s="3"/>
      <c r="B76" s="4" t="s">
        <v>290</v>
      </c>
      <c r="C76" s="4"/>
      <c r="D76" s="4"/>
      <c r="E76" s="4"/>
      <c r="F76" s="4"/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391">
        <f t="shared" si="5"/>
        <v>0</v>
      </c>
    </row>
    <row r="77" spans="1:12" x14ac:dyDescent="0.2">
      <c r="A77" s="3"/>
      <c r="B77" s="4" t="s">
        <v>291</v>
      </c>
      <c r="C77" s="4"/>
      <c r="D77" s="4"/>
      <c r="E77" s="4"/>
      <c r="F77" s="4"/>
      <c r="G77" s="27">
        <f>COST*equityperc</f>
        <v>13600</v>
      </c>
      <c r="H77" s="27">
        <v>0</v>
      </c>
      <c r="I77" s="27">
        <v>0</v>
      </c>
      <c r="J77" s="27">
        <v>0</v>
      </c>
      <c r="K77" s="27">
        <v>0</v>
      </c>
      <c r="L77" s="391">
        <f t="shared" si="5"/>
        <v>13600</v>
      </c>
    </row>
    <row r="78" spans="1:12" x14ac:dyDescent="0.2">
      <c r="A78" s="3"/>
      <c r="B78" s="4" t="s">
        <v>249</v>
      </c>
      <c r="C78" s="4"/>
      <c r="D78" s="4"/>
      <c r="E78" s="4"/>
      <c r="F78" s="27"/>
      <c r="G78" s="27">
        <f>-(G12-F12)</f>
        <v>-12100</v>
      </c>
      <c r="H78" s="27">
        <f>-(H12-G12)</f>
        <v>0</v>
      </c>
      <c r="I78" s="27">
        <f>-(I12-H12)</f>
        <v>0</v>
      </c>
      <c r="J78" s="27">
        <f>-(J12-I12)</f>
        <v>0</v>
      </c>
      <c r="K78" s="27">
        <f>-(K12-J12)</f>
        <v>0</v>
      </c>
      <c r="L78" s="391">
        <f t="shared" si="5"/>
        <v>-12100</v>
      </c>
    </row>
    <row r="79" spans="1:12" x14ac:dyDescent="0.2">
      <c r="A79" s="3"/>
      <c r="B79" s="4" t="s">
        <v>292</v>
      </c>
      <c r="C79" s="4"/>
      <c r="D79" s="4"/>
      <c r="E79" s="4"/>
      <c r="F79" s="4"/>
      <c r="G79" s="27">
        <f>-CF!D67</f>
        <v>-4388.7731228070179</v>
      </c>
      <c r="H79" s="27">
        <f>-CF!E67</f>
        <v>-3680.2860028070181</v>
      </c>
      <c r="I79" s="27">
        <f>-CF!F67</f>
        <v>-3166.4035324070173</v>
      </c>
      <c r="J79" s="27">
        <f>-CF!G67</f>
        <v>-3189.5082765990173</v>
      </c>
      <c r="K79" s="27">
        <f>-CF!H67</f>
        <v>-3211.3423956748575</v>
      </c>
      <c r="L79" s="391">
        <f t="shared" si="5"/>
        <v>-17636.313330294928</v>
      </c>
    </row>
    <row r="80" spans="1:12" x14ac:dyDescent="0.2">
      <c r="A80" s="3"/>
      <c r="B80" s="4"/>
      <c r="C80" s="4" t="s">
        <v>293</v>
      </c>
      <c r="D80" s="4"/>
      <c r="E80" s="4"/>
      <c r="F80" s="4"/>
      <c r="G80" s="29">
        <f>SUM(G70:G79)</f>
        <v>-2888.7731228070179</v>
      </c>
      <c r="H80" s="29">
        <f>SUM(H70:H79)</f>
        <v>-3680.2860028070181</v>
      </c>
      <c r="I80" s="29">
        <f>SUM(I70:I79)</f>
        <v>-3166.4035324070173</v>
      </c>
      <c r="J80" s="29">
        <f>SUM(J70:J79)</f>
        <v>-3189.5082765990173</v>
      </c>
      <c r="K80" s="29">
        <f>SUM(K70:K79)</f>
        <v>-3211.3423956748575</v>
      </c>
      <c r="L80" s="398">
        <f t="shared" si="5"/>
        <v>-16136.313330294928</v>
      </c>
    </row>
    <row r="81" spans="1:12" x14ac:dyDescent="0.2">
      <c r="A81" s="3"/>
      <c r="B81" s="4"/>
      <c r="C81" s="4"/>
      <c r="D81" s="4"/>
      <c r="E81" s="4"/>
      <c r="F81" s="4"/>
      <c r="G81" s="27"/>
      <c r="H81" s="27"/>
      <c r="I81" s="27"/>
      <c r="J81" s="27"/>
      <c r="K81" s="27"/>
      <c r="L81" s="391">
        <f t="shared" si="5"/>
        <v>0</v>
      </c>
    </row>
    <row r="82" spans="1:12" x14ac:dyDescent="0.2">
      <c r="A82" s="3" t="s">
        <v>294</v>
      </c>
      <c r="B82" s="4"/>
      <c r="C82" s="4"/>
      <c r="D82" s="4"/>
      <c r="E82" s="4"/>
      <c r="F82" s="4"/>
      <c r="G82" s="406">
        <f>G67+G80</f>
        <v>1523.3508771929819</v>
      </c>
      <c r="H82" s="406">
        <f>H67+H80</f>
        <v>359.15007719298228</v>
      </c>
      <c r="I82" s="406">
        <f>I67+I80</f>
        <v>305.71647719298289</v>
      </c>
      <c r="J82" s="406">
        <f>J67+J80</f>
        <v>258.2844771929831</v>
      </c>
      <c r="K82" s="406">
        <f>K67+K80</f>
        <v>213.36927719298274</v>
      </c>
      <c r="L82" s="391">
        <f t="shared" si="5"/>
        <v>2659.8711859649129</v>
      </c>
    </row>
    <row r="83" spans="1:12" x14ac:dyDescent="0.2">
      <c r="A83" s="3"/>
      <c r="B83" s="4"/>
      <c r="C83" s="4"/>
      <c r="D83" s="4"/>
      <c r="E83" s="4"/>
      <c r="F83" s="4"/>
      <c r="G83" s="27"/>
      <c r="H83" s="27"/>
      <c r="I83" s="27"/>
      <c r="J83" s="27"/>
      <c r="K83" s="27"/>
      <c r="L83" s="391">
        <f t="shared" si="5"/>
        <v>0</v>
      </c>
    </row>
    <row r="84" spans="1:12" x14ac:dyDescent="0.2">
      <c r="A84" s="3" t="s">
        <v>295</v>
      </c>
      <c r="B84" s="4"/>
      <c r="C84" s="4"/>
      <c r="D84" s="4"/>
      <c r="E84" s="4"/>
      <c r="F84" s="4"/>
      <c r="G84" s="27">
        <v>0</v>
      </c>
      <c r="H84" s="27">
        <f>G86</f>
        <v>1523.3508771929819</v>
      </c>
      <c r="I84" s="27">
        <f>H86</f>
        <v>1882.5009543859642</v>
      </c>
      <c r="J84" s="27">
        <f>I86</f>
        <v>2188.2174315789471</v>
      </c>
      <c r="K84" s="27">
        <f>J86</f>
        <v>2446.5019087719302</v>
      </c>
      <c r="L84" s="391">
        <f t="shared" si="5"/>
        <v>8040.5711719298233</v>
      </c>
    </row>
    <row r="85" spans="1:12" x14ac:dyDescent="0.2">
      <c r="A85" s="3"/>
      <c r="B85" s="4"/>
      <c r="C85" s="4"/>
      <c r="D85" s="4"/>
      <c r="E85" s="4"/>
      <c r="F85" s="4"/>
      <c r="G85" s="27"/>
      <c r="H85" s="27"/>
      <c r="I85" s="27"/>
      <c r="J85" s="27"/>
      <c r="K85" s="27"/>
      <c r="L85" s="391">
        <f t="shared" si="5"/>
        <v>0</v>
      </c>
    </row>
    <row r="86" spans="1:12" x14ac:dyDescent="0.2">
      <c r="A86" s="5" t="s">
        <v>296</v>
      </c>
      <c r="B86" s="6"/>
      <c r="C86" s="6"/>
      <c r="D86" s="6"/>
      <c r="E86" s="6"/>
      <c r="F86" s="6"/>
      <c r="G86" s="408">
        <f>G82+G84</f>
        <v>1523.3508771929819</v>
      </c>
      <c r="H86" s="408">
        <f>H82+H84</f>
        <v>1882.5009543859642</v>
      </c>
      <c r="I86" s="408">
        <f>I82+I84</f>
        <v>2188.2174315789471</v>
      </c>
      <c r="J86" s="408">
        <f>J82+J84</f>
        <v>2446.5019087719302</v>
      </c>
      <c r="K86" s="408">
        <f>K82+K84</f>
        <v>2659.8711859649129</v>
      </c>
      <c r="L86" s="392">
        <f t="shared" si="5"/>
        <v>10700.442357894735</v>
      </c>
    </row>
  </sheetData>
  <printOptions horizontalCentered="1"/>
  <pageMargins left="0.5" right="1" top="0.75" bottom="0.75" header="0.5" footer="0.5"/>
  <pageSetup scale="4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A49" zoomScale="75" workbookViewId="0">
      <selection activeCell="A28" sqref="A28"/>
    </sheetView>
  </sheetViews>
  <sheetFormatPr defaultRowHeight="12.75" x14ac:dyDescent="0.2"/>
  <cols>
    <col min="1" max="1" width="56.28515625" style="464" customWidth="1"/>
    <col min="2" max="2" width="22.85546875" style="464" customWidth="1"/>
    <col min="3" max="3" width="19.7109375" style="464" bestFit="1" customWidth="1"/>
    <col min="4" max="4" width="12.42578125" style="464" customWidth="1"/>
    <col min="5" max="5" width="10.7109375" style="464" customWidth="1"/>
    <col min="6" max="8" width="7.7109375" style="464" customWidth="1"/>
    <col min="9" max="9" width="12.42578125" style="464" customWidth="1"/>
    <col min="10" max="21" width="10.7109375" style="464" customWidth="1"/>
    <col min="22" max="16384" width="9.140625" style="464"/>
  </cols>
  <sheetData>
    <row r="1" spans="1:21" ht="16.5" thickBot="1" x14ac:dyDescent="0.3">
      <c r="A1" s="459" t="s">
        <v>385</v>
      </c>
      <c r="B1" s="460"/>
      <c r="C1" s="461"/>
      <c r="D1" s="462"/>
      <c r="E1" s="463"/>
      <c r="F1" s="463"/>
      <c r="G1" s="463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</row>
    <row r="2" spans="1:21" ht="18.75" thickBot="1" x14ac:dyDescent="0.3">
      <c r="A2" s="465"/>
      <c r="B2" s="465"/>
      <c r="D2" s="465"/>
      <c r="E2" s="465"/>
      <c r="F2" s="465"/>
      <c r="G2" s="465"/>
      <c r="I2" s="466" t="s">
        <v>433</v>
      </c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8"/>
    </row>
    <row r="3" spans="1:21" ht="18.75" thickBot="1" x14ac:dyDescent="0.3">
      <c r="A3" s="409"/>
      <c r="B3" s="409"/>
      <c r="C3" s="591"/>
      <c r="D3" s="467"/>
      <c r="E3" s="469"/>
      <c r="F3" s="469"/>
      <c r="G3" s="469"/>
      <c r="H3" s="468"/>
      <c r="I3" s="470"/>
      <c r="J3" s="471"/>
      <c r="K3" s="472" t="s">
        <v>434</v>
      </c>
      <c r="L3" s="473" t="s">
        <v>435</v>
      </c>
      <c r="M3" s="474"/>
      <c r="N3" s="474"/>
      <c r="O3" s="474"/>
      <c r="P3" s="474"/>
      <c r="Q3" s="474"/>
      <c r="R3" s="474"/>
      <c r="S3" s="474"/>
      <c r="T3" s="474"/>
      <c r="U3" s="475"/>
    </row>
    <row r="4" spans="1:21" x14ac:dyDescent="0.2">
      <c r="A4" s="416"/>
      <c r="B4" s="418"/>
      <c r="C4" s="476" t="s">
        <v>175</v>
      </c>
      <c r="D4" s="477"/>
      <c r="E4" s="478"/>
      <c r="F4" s="479" t="s">
        <v>436</v>
      </c>
      <c r="G4" s="480"/>
      <c r="H4" s="481"/>
      <c r="I4" s="482"/>
      <c r="J4" s="478"/>
      <c r="K4" s="483" t="s">
        <v>437</v>
      </c>
      <c r="L4" s="480" t="s">
        <v>438</v>
      </c>
      <c r="M4" s="484"/>
      <c r="N4" s="485" t="s">
        <v>439</v>
      </c>
      <c r="O4" s="480"/>
      <c r="P4" s="480"/>
      <c r="Q4" s="486"/>
      <c r="R4" s="486"/>
      <c r="S4" s="486"/>
      <c r="T4" s="486"/>
      <c r="U4" s="487" t="s">
        <v>440</v>
      </c>
    </row>
    <row r="5" spans="1:21" x14ac:dyDescent="0.2">
      <c r="A5" s="433"/>
      <c r="B5" s="488"/>
      <c r="C5" s="489" t="s">
        <v>461</v>
      </c>
      <c r="D5" s="490" t="s">
        <v>462</v>
      </c>
      <c r="E5" s="491" t="s">
        <v>11</v>
      </c>
      <c r="F5" s="492" t="s">
        <v>442</v>
      </c>
      <c r="G5" s="493" t="s">
        <v>443</v>
      </c>
      <c r="H5" s="494" t="s">
        <v>444</v>
      </c>
      <c r="I5" s="495" t="s">
        <v>441</v>
      </c>
      <c r="J5" s="491" t="s">
        <v>11</v>
      </c>
      <c r="K5" s="496" t="s">
        <v>205</v>
      </c>
      <c r="L5" s="489">
        <f>[2]RETURNS!F6</f>
        <v>2000</v>
      </c>
      <c r="M5" s="489">
        <f>L5+1</f>
        <v>2001</v>
      </c>
      <c r="N5" s="490">
        <f>M5+1</f>
        <v>2002</v>
      </c>
      <c r="O5" s="490">
        <f>N5+1</f>
        <v>2003</v>
      </c>
      <c r="P5" s="490">
        <f>O5+1</f>
        <v>2004</v>
      </c>
      <c r="Q5" s="489" t="s">
        <v>445</v>
      </c>
      <c r="R5" s="489" t="s">
        <v>445</v>
      </c>
      <c r="S5" s="489" t="s">
        <v>446</v>
      </c>
      <c r="T5" s="489" t="s">
        <v>446</v>
      </c>
      <c r="U5" s="497" t="s">
        <v>437</v>
      </c>
    </row>
    <row r="6" spans="1:21" x14ac:dyDescent="0.2">
      <c r="A6" s="433"/>
      <c r="B6" s="488"/>
      <c r="C6" s="498"/>
      <c r="D6" s="499"/>
      <c r="E6" s="500"/>
      <c r="F6" s="499"/>
      <c r="G6" s="498"/>
      <c r="H6" s="501"/>
      <c r="I6" s="502"/>
      <c r="J6" s="500"/>
      <c r="K6" s="503"/>
      <c r="L6" s="504" t="s">
        <v>447</v>
      </c>
      <c r="M6" s="504" t="s">
        <v>447</v>
      </c>
      <c r="N6" s="505" t="s">
        <v>447</v>
      </c>
      <c r="O6" s="504" t="s">
        <v>447</v>
      </c>
      <c r="P6" s="504" t="s">
        <v>447</v>
      </c>
      <c r="Q6" s="504" t="s">
        <v>447</v>
      </c>
      <c r="R6" s="504" t="s">
        <v>448</v>
      </c>
      <c r="S6" s="504" t="s">
        <v>447</v>
      </c>
      <c r="T6" s="504" t="s">
        <v>448</v>
      </c>
      <c r="U6" s="506"/>
    </row>
    <row r="7" spans="1:21" ht="18" x14ac:dyDescent="0.25">
      <c r="A7" s="507" t="s">
        <v>460</v>
      </c>
      <c r="B7" s="508" t="s">
        <v>449</v>
      </c>
      <c r="C7" s="509"/>
      <c r="D7" s="509"/>
      <c r="E7" s="510"/>
      <c r="F7" s="511"/>
      <c r="G7" s="512"/>
      <c r="H7" s="513"/>
      <c r="I7" s="514"/>
      <c r="J7" s="510"/>
      <c r="K7" s="515"/>
      <c r="L7" s="516"/>
      <c r="M7" s="516"/>
      <c r="N7" s="509"/>
      <c r="O7" s="516"/>
      <c r="P7" s="516"/>
      <c r="Q7" s="516"/>
      <c r="R7" s="516"/>
      <c r="S7" s="516"/>
      <c r="T7" s="516"/>
      <c r="U7" s="517"/>
    </row>
    <row r="8" spans="1:21" ht="18" x14ac:dyDescent="0.25">
      <c r="A8" s="534" t="s">
        <v>463</v>
      </c>
      <c r="B8" s="519"/>
      <c r="C8" s="590">
        <v>13600</v>
      </c>
      <c r="D8" s="520">
        <f>RETURNS!D14</f>
        <v>-17.213694429614407</v>
      </c>
      <c r="E8" s="521">
        <f>RETURNS!D15</f>
        <v>9.9473024649200534E-2</v>
      </c>
      <c r="F8" s="522"/>
      <c r="G8" s="523"/>
      <c r="H8" s="524"/>
      <c r="I8" s="525">
        <f>RETURNS!D27</f>
        <v>-17.213694429614407</v>
      </c>
      <c r="J8" s="526">
        <f>RETURNS!D28</f>
        <v>9.9473024649200534E-2</v>
      </c>
      <c r="K8" s="589">
        <f>RETURNS!D16</f>
        <v>0</v>
      </c>
      <c r="L8" s="527"/>
      <c r="M8" s="527"/>
      <c r="N8" s="528"/>
      <c r="O8" s="527"/>
      <c r="P8" s="527"/>
      <c r="Q8" s="527"/>
      <c r="R8" s="527"/>
      <c r="S8" s="527"/>
      <c r="T8" s="527"/>
      <c r="U8" s="587"/>
    </row>
    <row r="9" spans="1:21" ht="15.75" x14ac:dyDescent="0.25">
      <c r="A9" s="518" t="s">
        <v>450</v>
      </c>
      <c r="B9" s="519"/>
      <c r="C9" s="590"/>
      <c r="D9" s="520"/>
      <c r="E9" s="521"/>
      <c r="F9" s="522"/>
      <c r="G9" s="523"/>
      <c r="H9" s="524"/>
      <c r="I9" s="525"/>
      <c r="J9" s="526"/>
      <c r="K9" s="572"/>
      <c r="L9" s="530"/>
      <c r="M9" s="530"/>
      <c r="N9" s="531"/>
      <c r="O9" s="530"/>
      <c r="P9" s="530"/>
      <c r="Q9" s="530"/>
      <c r="R9" s="530"/>
      <c r="S9" s="530"/>
      <c r="T9" s="530"/>
      <c r="U9" s="588"/>
    </row>
    <row r="10" spans="1:21" ht="15.75" x14ac:dyDescent="0.25">
      <c r="A10" s="518" t="s">
        <v>450</v>
      </c>
      <c r="B10" s="519"/>
      <c r="C10" s="590"/>
      <c r="D10" s="520"/>
      <c r="E10" s="521"/>
      <c r="F10" s="522"/>
      <c r="G10" s="523"/>
      <c r="H10" s="524"/>
      <c r="I10" s="525"/>
      <c r="J10" s="526"/>
      <c r="K10" s="572"/>
      <c r="L10" s="530"/>
      <c r="M10" s="530"/>
      <c r="N10" s="531"/>
      <c r="O10" s="530"/>
      <c r="P10" s="530"/>
      <c r="Q10" s="530"/>
      <c r="R10" s="530"/>
      <c r="S10" s="530"/>
      <c r="T10" s="530"/>
      <c r="U10" s="588"/>
    </row>
    <row r="11" spans="1:21" ht="15.75" x14ac:dyDescent="0.25">
      <c r="A11" s="518" t="s">
        <v>450</v>
      </c>
      <c r="B11" s="533"/>
      <c r="C11" s="590"/>
      <c r="D11" s="520"/>
      <c r="E11" s="526"/>
      <c r="F11" s="522"/>
      <c r="G11" s="523"/>
      <c r="H11" s="524"/>
      <c r="I11" s="525"/>
      <c r="J11" s="526"/>
      <c r="K11" s="572"/>
      <c r="L11" s="530"/>
      <c r="M11" s="530"/>
      <c r="N11" s="531"/>
      <c r="O11" s="530"/>
      <c r="P11" s="530"/>
      <c r="Q11" s="530"/>
      <c r="R11" s="530"/>
      <c r="S11" s="530"/>
      <c r="T11" s="530"/>
      <c r="U11" s="588"/>
    </row>
    <row r="12" spans="1:21" ht="15.75" x14ac:dyDescent="0.25">
      <c r="A12" s="518" t="s">
        <v>450</v>
      </c>
      <c r="B12" s="519"/>
      <c r="C12" s="590"/>
      <c r="D12" s="520"/>
      <c r="E12" s="526"/>
      <c r="F12" s="522"/>
      <c r="G12" s="523"/>
      <c r="H12" s="524"/>
      <c r="I12" s="525"/>
      <c r="J12" s="526"/>
      <c r="K12" s="572"/>
      <c r="L12" s="530"/>
      <c r="M12" s="530"/>
      <c r="N12" s="531"/>
      <c r="O12" s="530"/>
      <c r="P12" s="530"/>
      <c r="Q12" s="530"/>
      <c r="R12" s="530"/>
      <c r="S12" s="530"/>
      <c r="T12" s="530"/>
      <c r="U12" s="588"/>
    </row>
    <row r="13" spans="1:21" ht="16.149999999999999" customHeight="1" x14ac:dyDescent="0.25">
      <c r="A13" s="534"/>
      <c r="B13" s="519"/>
      <c r="C13" s="590"/>
      <c r="D13" s="520"/>
      <c r="E13" s="526"/>
      <c r="F13" s="522"/>
      <c r="G13" s="523"/>
      <c r="H13" s="524"/>
      <c r="I13" s="525"/>
      <c r="J13" s="526"/>
      <c r="K13" s="572"/>
      <c r="L13" s="530"/>
      <c r="M13" s="530"/>
      <c r="N13" s="531"/>
      <c r="O13" s="530"/>
      <c r="P13" s="530"/>
      <c r="Q13" s="530"/>
      <c r="R13" s="530"/>
      <c r="S13" s="530"/>
      <c r="T13" s="530"/>
      <c r="U13" s="588"/>
    </row>
    <row r="14" spans="1:21" ht="16.149999999999999" customHeight="1" x14ac:dyDescent="0.25">
      <c r="A14" s="535" t="s">
        <v>451</v>
      </c>
      <c r="B14" s="519"/>
      <c r="C14" s="590"/>
      <c r="D14" s="520"/>
      <c r="E14" s="526"/>
      <c r="F14" s="522"/>
      <c r="G14" s="523"/>
      <c r="H14" s="524"/>
      <c r="I14" s="525"/>
      <c r="J14" s="526"/>
      <c r="K14" s="572"/>
      <c r="L14" s="530"/>
      <c r="M14" s="530"/>
      <c r="N14" s="531"/>
      <c r="O14" s="530"/>
      <c r="P14" s="530"/>
      <c r="Q14" s="530"/>
      <c r="R14" s="530"/>
      <c r="S14" s="530"/>
      <c r="T14" s="530"/>
      <c r="U14" s="588"/>
    </row>
    <row r="15" spans="1:21" ht="16.149999999999999" customHeight="1" x14ac:dyDescent="0.25">
      <c r="A15" s="518" t="s">
        <v>450</v>
      </c>
      <c r="B15" s="519"/>
      <c r="C15" s="590"/>
      <c r="D15" s="520"/>
      <c r="E15" s="526"/>
      <c r="F15" s="522"/>
      <c r="G15" s="523"/>
      <c r="H15" s="524"/>
      <c r="I15" s="525"/>
      <c r="J15" s="526"/>
      <c r="K15" s="572"/>
      <c r="L15" s="530"/>
      <c r="M15" s="530"/>
      <c r="N15" s="531"/>
      <c r="O15" s="530"/>
      <c r="P15" s="530"/>
      <c r="Q15" s="530"/>
      <c r="R15" s="530"/>
      <c r="S15" s="530"/>
      <c r="T15" s="530"/>
      <c r="U15" s="588"/>
    </row>
    <row r="16" spans="1:21" ht="16.149999999999999" customHeight="1" x14ac:dyDescent="0.25">
      <c r="A16" s="518" t="s">
        <v>450</v>
      </c>
      <c r="B16" s="519"/>
      <c r="C16" s="590"/>
      <c r="D16" s="520"/>
      <c r="E16" s="526"/>
      <c r="F16" s="522"/>
      <c r="G16" s="523"/>
      <c r="H16" s="524"/>
      <c r="I16" s="525"/>
      <c r="J16" s="526"/>
      <c r="K16" s="572"/>
      <c r="L16" s="530"/>
      <c r="M16" s="530"/>
      <c r="N16" s="531"/>
      <c r="O16" s="530"/>
      <c r="P16" s="530"/>
      <c r="Q16" s="530"/>
      <c r="R16" s="530"/>
      <c r="S16" s="530"/>
      <c r="T16" s="530"/>
      <c r="U16" s="588"/>
    </row>
    <row r="17" spans="1:21" ht="16.149999999999999" customHeight="1" x14ac:dyDescent="0.25">
      <c r="A17" s="518" t="s">
        <v>450</v>
      </c>
      <c r="B17" s="519"/>
      <c r="C17" s="590"/>
      <c r="D17" s="520"/>
      <c r="E17" s="526"/>
      <c r="F17" s="522"/>
      <c r="G17" s="523"/>
      <c r="H17" s="524"/>
      <c r="I17" s="525"/>
      <c r="J17" s="526"/>
      <c r="K17" s="572"/>
      <c r="L17" s="530"/>
      <c r="M17" s="530"/>
      <c r="N17" s="531"/>
      <c r="O17" s="530"/>
      <c r="P17" s="530"/>
      <c r="Q17" s="530"/>
      <c r="R17" s="530"/>
      <c r="S17" s="530"/>
      <c r="T17" s="530"/>
      <c r="U17" s="588"/>
    </row>
    <row r="18" spans="1:21" ht="16.149999999999999" customHeight="1" x14ac:dyDescent="0.25">
      <c r="A18" s="518" t="s">
        <v>450</v>
      </c>
      <c r="B18" s="519"/>
      <c r="C18" s="590"/>
      <c r="D18" s="520"/>
      <c r="E18" s="526"/>
      <c r="F18" s="522"/>
      <c r="G18" s="523"/>
      <c r="H18" s="524"/>
      <c r="I18" s="525"/>
      <c r="J18" s="526"/>
      <c r="K18" s="572"/>
      <c r="L18" s="530"/>
      <c r="M18" s="530"/>
      <c r="N18" s="531"/>
      <c r="O18" s="530"/>
      <c r="P18" s="530"/>
      <c r="Q18" s="530"/>
      <c r="R18" s="530"/>
      <c r="S18" s="530"/>
      <c r="T18" s="530"/>
      <c r="U18" s="588"/>
    </row>
    <row r="19" spans="1:21" ht="16.149999999999999" customHeight="1" x14ac:dyDescent="0.25">
      <c r="A19" s="518" t="s">
        <v>450</v>
      </c>
      <c r="B19" s="519"/>
      <c r="C19" s="590"/>
      <c r="D19" s="520"/>
      <c r="E19" s="526"/>
      <c r="F19" s="522"/>
      <c r="G19" s="523"/>
      <c r="H19" s="524"/>
      <c r="I19" s="525"/>
      <c r="J19" s="526"/>
      <c r="K19" s="572"/>
      <c r="L19" s="530"/>
      <c r="M19" s="530"/>
      <c r="N19" s="531"/>
      <c r="O19" s="530"/>
      <c r="P19" s="530"/>
      <c r="Q19" s="530"/>
      <c r="R19" s="530"/>
      <c r="S19" s="530"/>
      <c r="T19" s="530"/>
      <c r="U19" s="588"/>
    </row>
    <row r="20" spans="1:21" ht="16.149999999999999" customHeight="1" x14ac:dyDescent="0.25">
      <c r="A20" s="518" t="s">
        <v>450</v>
      </c>
      <c r="B20" s="519"/>
      <c r="C20" s="590"/>
      <c r="D20" s="520"/>
      <c r="E20" s="526"/>
      <c r="F20" s="522"/>
      <c r="G20" s="523"/>
      <c r="H20" s="524"/>
      <c r="I20" s="525"/>
      <c r="J20" s="526"/>
      <c r="K20" s="572"/>
      <c r="L20" s="530"/>
      <c r="M20" s="530"/>
      <c r="N20" s="531"/>
      <c r="O20" s="530"/>
      <c r="P20" s="530"/>
      <c r="Q20" s="530"/>
      <c r="R20" s="530"/>
      <c r="S20" s="530"/>
      <c r="T20" s="530"/>
      <c r="U20" s="588"/>
    </row>
    <row r="21" spans="1:21" ht="16.149999999999999" customHeight="1" x14ac:dyDescent="0.25">
      <c r="A21" s="518" t="s">
        <v>450</v>
      </c>
      <c r="B21" s="519"/>
      <c r="C21" s="520">
        <f t="shared" ref="C21:U21" si="0">C23-C7</f>
        <v>0</v>
      </c>
      <c r="D21" s="520">
        <f t="shared" si="0"/>
        <v>0</v>
      </c>
      <c r="E21" s="526">
        <f t="shared" si="0"/>
        <v>0</v>
      </c>
      <c r="F21" s="536">
        <f t="shared" si="0"/>
        <v>0</v>
      </c>
      <c r="G21" s="537">
        <f t="shared" si="0"/>
        <v>0</v>
      </c>
      <c r="H21" s="536">
        <f t="shared" si="0"/>
        <v>0</v>
      </c>
      <c r="I21" s="525">
        <f t="shared" si="0"/>
        <v>0</v>
      </c>
      <c r="J21" s="526">
        <f t="shared" si="0"/>
        <v>0</v>
      </c>
      <c r="K21" s="538">
        <f t="shared" si="0"/>
        <v>0</v>
      </c>
      <c r="L21" s="539">
        <f t="shared" si="0"/>
        <v>0</v>
      </c>
      <c r="M21" s="539">
        <f t="shared" si="0"/>
        <v>0</v>
      </c>
      <c r="N21" s="520">
        <f t="shared" si="0"/>
        <v>0</v>
      </c>
      <c r="O21" s="539">
        <f t="shared" si="0"/>
        <v>0</v>
      </c>
      <c r="P21" s="539">
        <f t="shared" si="0"/>
        <v>0</v>
      </c>
      <c r="Q21" s="539">
        <f t="shared" si="0"/>
        <v>0</v>
      </c>
      <c r="R21" s="539">
        <f t="shared" si="0"/>
        <v>0</v>
      </c>
      <c r="S21" s="539">
        <f t="shared" si="0"/>
        <v>0</v>
      </c>
      <c r="T21" s="539">
        <f t="shared" si="0"/>
        <v>0</v>
      </c>
      <c r="U21" s="540">
        <f t="shared" si="0"/>
        <v>0</v>
      </c>
    </row>
    <row r="22" spans="1:21" ht="16.149999999999999" customHeight="1" x14ac:dyDescent="0.25">
      <c r="A22" s="534"/>
      <c r="B22" s="519"/>
      <c r="C22" s="520"/>
      <c r="D22" s="520"/>
      <c r="E22" s="526"/>
      <c r="F22" s="522"/>
      <c r="G22" s="523"/>
      <c r="H22" s="524"/>
      <c r="I22" s="525"/>
      <c r="J22" s="526"/>
      <c r="K22" s="529"/>
      <c r="L22" s="530"/>
      <c r="M22" s="530"/>
      <c r="N22" s="531"/>
      <c r="O22" s="530"/>
      <c r="P22" s="530"/>
      <c r="Q22" s="530"/>
      <c r="R22" s="530"/>
      <c r="S22" s="530"/>
      <c r="T22" s="530"/>
      <c r="U22" s="532"/>
    </row>
    <row r="23" spans="1:21" ht="16.149999999999999" customHeight="1" x14ac:dyDescent="0.25">
      <c r="A23" s="535" t="s">
        <v>452</v>
      </c>
      <c r="B23" s="541" t="s">
        <v>449</v>
      </c>
      <c r="C23" s="509"/>
      <c r="D23" s="509"/>
      <c r="E23" s="510"/>
      <c r="F23" s="511"/>
      <c r="G23" s="512"/>
      <c r="H23" s="513"/>
      <c r="I23" s="514"/>
      <c r="J23" s="510"/>
      <c r="K23" s="515"/>
      <c r="L23" s="516"/>
      <c r="M23" s="516"/>
      <c r="N23" s="509"/>
      <c r="O23" s="516"/>
      <c r="P23" s="516"/>
      <c r="Q23" s="516"/>
      <c r="R23" s="516"/>
      <c r="S23" s="516"/>
      <c r="T23" s="516"/>
      <c r="U23" s="517"/>
    </row>
    <row r="24" spans="1:21" ht="16.149999999999999" customHeight="1" x14ac:dyDescent="0.25">
      <c r="A24" s="534"/>
      <c r="B24" s="519"/>
      <c r="C24" s="542"/>
      <c r="D24" s="542"/>
      <c r="E24" s="543"/>
      <c r="F24" s="544"/>
      <c r="G24" s="545"/>
      <c r="H24" s="546"/>
      <c r="I24" s="547"/>
      <c r="J24" s="543"/>
      <c r="K24" s="548"/>
      <c r="L24" s="549"/>
      <c r="M24" s="549"/>
      <c r="N24" s="542"/>
      <c r="O24" s="549"/>
      <c r="P24" s="549"/>
      <c r="Q24" s="549"/>
      <c r="R24" s="549"/>
      <c r="S24" s="549"/>
      <c r="T24" s="549"/>
      <c r="U24" s="550"/>
    </row>
    <row r="25" spans="1:21" ht="16.149999999999999" customHeight="1" x14ac:dyDescent="0.25">
      <c r="A25" s="535" t="s">
        <v>453</v>
      </c>
      <c r="B25" s="551"/>
      <c r="C25" s="542"/>
      <c r="D25" s="542"/>
      <c r="E25" s="543"/>
      <c r="F25" s="544"/>
      <c r="G25" s="545"/>
      <c r="H25" s="546"/>
      <c r="I25" s="547"/>
      <c r="J25" s="543"/>
      <c r="K25" s="548"/>
      <c r="L25" s="549"/>
      <c r="M25" s="549"/>
      <c r="N25" s="542"/>
      <c r="O25" s="549"/>
      <c r="P25" s="549"/>
      <c r="Q25" s="549"/>
      <c r="R25" s="549"/>
      <c r="S25" s="549"/>
      <c r="T25" s="549"/>
      <c r="U25" s="550"/>
    </row>
    <row r="26" spans="1:21" ht="18" x14ac:dyDescent="0.25">
      <c r="A26" s="534" t="s">
        <v>454</v>
      </c>
      <c r="B26" s="541" t="s">
        <v>492</v>
      </c>
      <c r="C26" s="552">
        <v>12000</v>
      </c>
      <c r="D26" s="552">
        <v>1583</v>
      </c>
      <c r="E26" s="553">
        <v>0.15379999999999999</v>
      </c>
      <c r="F26" s="554"/>
      <c r="G26" s="555"/>
      <c r="H26" s="556"/>
      <c r="I26" s="557">
        <f>D26</f>
        <v>1583</v>
      </c>
      <c r="J26" s="553">
        <f>E26</f>
        <v>0.15379999999999999</v>
      </c>
      <c r="K26" s="558">
        <v>4</v>
      </c>
      <c r="L26" s="559"/>
      <c r="M26" s="559"/>
      <c r="N26" s="552"/>
      <c r="O26" s="559"/>
      <c r="P26" s="559"/>
      <c r="Q26" s="559"/>
      <c r="R26" s="559"/>
      <c r="S26" s="559"/>
      <c r="T26" s="559"/>
      <c r="U26" s="560"/>
    </row>
    <row r="27" spans="1:21" ht="15" x14ac:dyDescent="0.2">
      <c r="A27" s="534" t="s">
        <v>464</v>
      </c>
      <c r="B27" s="561" t="s">
        <v>455</v>
      </c>
      <c r="C27" s="562">
        <f>+C26-C$23</f>
        <v>12000</v>
      </c>
      <c r="D27" s="562">
        <f>+D26-D$23</f>
        <v>1583</v>
      </c>
      <c r="E27" s="563">
        <f>+E26-E$23</f>
        <v>0.15379999999999999</v>
      </c>
      <c r="F27" s="564">
        <f>+F26-F$23</f>
        <v>0</v>
      </c>
      <c r="G27" s="565">
        <f>G26-G23</f>
        <v>0</v>
      </c>
      <c r="H27" s="566">
        <f>+H26-H$23</f>
        <v>0</v>
      </c>
      <c r="I27" s="567">
        <f>+I26-I$23</f>
        <v>1583</v>
      </c>
      <c r="J27" s="563">
        <f>+J26-J$23</f>
        <v>0.15379999999999999</v>
      </c>
      <c r="K27" s="568">
        <f>K26-K23</f>
        <v>4</v>
      </c>
      <c r="L27" s="569">
        <f>+L26-L23</f>
        <v>0</v>
      </c>
      <c r="M27" s="569">
        <f>+M26-M23</f>
        <v>0</v>
      </c>
      <c r="N27" s="562">
        <f>+N26-N23</f>
        <v>0</v>
      </c>
      <c r="O27" s="569">
        <f>+O26-O23</f>
        <v>0</v>
      </c>
      <c r="P27" s="569">
        <f>+P26-P23</f>
        <v>0</v>
      </c>
      <c r="Q27" s="569">
        <f>+Q28-Q23</f>
        <v>0</v>
      </c>
      <c r="R27" s="569">
        <f>+R28-R23</f>
        <v>0</v>
      </c>
      <c r="S27" s="569">
        <f>+S28-S23</f>
        <v>0</v>
      </c>
      <c r="T27" s="569">
        <f>+T28-T23</f>
        <v>0</v>
      </c>
      <c r="U27" s="570">
        <f>+U26-U23</f>
        <v>0</v>
      </c>
    </row>
    <row r="28" spans="1:21" ht="15" x14ac:dyDescent="0.2">
      <c r="A28" s="534"/>
      <c r="B28" s="551"/>
      <c r="C28" s="542"/>
      <c r="D28" s="542"/>
      <c r="E28" s="543"/>
      <c r="F28" s="544"/>
      <c r="G28" s="545"/>
      <c r="H28" s="546"/>
      <c r="I28" s="547"/>
      <c r="J28" s="543"/>
      <c r="K28" s="548"/>
      <c r="L28" s="549"/>
      <c r="M28" s="549"/>
      <c r="N28" s="542"/>
      <c r="O28" s="549"/>
      <c r="P28" s="549"/>
      <c r="Q28" s="549"/>
      <c r="R28" s="549"/>
      <c r="S28" s="549"/>
      <c r="T28" s="549"/>
      <c r="U28" s="550"/>
    </row>
    <row r="29" spans="1:21" ht="18" x14ac:dyDescent="0.25">
      <c r="A29" s="534" t="s">
        <v>456</v>
      </c>
      <c r="B29" s="541" t="s">
        <v>449</v>
      </c>
      <c r="C29" s="552">
        <v>13000</v>
      </c>
      <c r="D29" s="552">
        <v>9388</v>
      </c>
      <c r="E29" s="553">
        <v>0.26090000000000002</v>
      </c>
      <c r="F29" s="554"/>
      <c r="G29" s="555"/>
      <c r="H29" s="556"/>
      <c r="I29" s="557">
        <f>D29</f>
        <v>9388</v>
      </c>
      <c r="J29" s="553">
        <f>E29</f>
        <v>0.26090000000000002</v>
      </c>
      <c r="K29" s="558">
        <v>4</v>
      </c>
      <c r="L29" s="559"/>
      <c r="M29" s="559"/>
      <c r="N29" s="552"/>
      <c r="O29" s="559"/>
      <c r="P29" s="559"/>
      <c r="Q29" s="559"/>
      <c r="R29" s="559"/>
      <c r="S29" s="559"/>
      <c r="T29" s="559"/>
      <c r="U29" s="560"/>
    </row>
    <row r="30" spans="1:21" ht="15" x14ac:dyDescent="0.2">
      <c r="A30" s="534" t="s">
        <v>475</v>
      </c>
      <c r="B30" s="561" t="s">
        <v>455</v>
      </c>
      <c r="C30" s="562">
        <f>+C29-C$23</f>
        <v>13000</v>
      </c>
      <c r="D30" s="562">
        <f>+D29-D$23</f>
        <v>9388</v>
      </c>
      <c r="E30" s="563">
        <f>+E29-E$23</f>
        <v>0.26090000000000002</v>
      </c>
      <c r="F30" s="564">
        <f>+F29-F$23</f>
        <v>0</v>
      </c>
      <c r="G30" s="565">
        <f>G29-G$23</f>
        <v>0</v>
      </c>
      <c r="H30" s="566">
        <f>+H29-H$23</f>
        <v>0</v>
      </c>
      <c r="I30" s="567">
        <f>+I29-I$23</f>
        <v>9388</v>
      </c>
      <c r="J30" s="563">
        <f>+J29-J$23</f>
        <v>0.26090000000000002</v>
      </c>
      <c r="K30" s="568">
        <f>K29-K$23</f>
        <v>4</v>
      </c>
      <c r="L30" s="569">
        <f t="shared" ref="L30:U30" si="1">+L29-L$23</f>
        <v>0</v>
      </c>
      <c r="M30" s="569">
        <f t="shared" si="1"/>
        <v>0</v>
      </c>
      <c r="N30" s="562">
        <f t="shared" si="1"/>
        <v>0</v>
      </c>
      <c r="O30" s="569">
        <f t="shared" si="1"/>
        <v>0</v>
      </c>
      <c r="P30" s="569">
        <f t="shared" si="1"/>
        <v>0</v>
      </c>
      <c r="Q30" s="569">
        <f t="shared" si="1"/>
        <v>0</v>
      </c>
      <c r="R30" s="569">
        <f t="shared" si="1"/>
        <v>0</v>
      </c>
      <c r="S30" s="569">
        <f t="shared" si="1"/>
        <v>0</v>
      </c>
      <c r="T30" s="569">
        <f t="shared" si="1"/>
        <v>0</v>
      </c>
      <c r="U30" s="570">
        <f t="shared" si="1"/>
        <v>0</v>
      </c>
    </row>
    <row r="31" spans="1:21" ht="15" x14ac:dyDescent="0.2">
      <c r="A31" s="534"/>
      <c r="B31" s="551"/>
      <c r="C31" s="542"/>
      <c r="D31" s="542"/>
      <c r="E31" s="543"/>
      <c r="F31" s="544"/>
      <c r="G31" s="545"/>
      <c r="H31" s="546"/>
      <c r="I31" s="547"/>
      <c r="J31" s="543"/>
      <c r="K31" s="548"/>
      <c r="L31" s="549"/>
      <c r="M31" s="549"/>
      <c r="N31" s="542"/>
      <c r="O31" s="549"/>
      <c r="P31" s="549"/>
      <c r="Q31" s="549"/>
      <c r="R31" s="549"/>
      <c r="S31" s="549"/>
      <c r="T31" s="549"/>
      <c r="U31" s="550"/>
    </row>
    <row r="32" spans="1:21" ht="18" x14ac:dyDescent="0.25">
      <c r="A32" s="534" t="s">
        <v>456</v>
      </c>
      <c r="B32" s="541" t="s">
        <v>449</v>
      </c>
      <c r="C32" s="552">
        <v>14000</v>
      </c>
      <c r="D32" s="552">
        <v>8388</v>
      </c>
      <c r="E32" s="553">
        <v>0.23499999999999999</v>
      </c>
      <c r="F32" s="554"/>
      <c r="G32" s="555"/>
      <c r="H32" s="556"/>
      <c r="I32" s="557">
        <f>D32</f>
        <v>8388</v>
      </c>
      <c r="J32" s="553">
        <f>E32</f>
        <v>0.23499999999999999</v>
      </c>
      <c r="K32" s="558"/>
      <c r="L32" s="559"/>
      <c r="M32" s="559"/>
      <c r="N32" s="552"/>
      <c r="O32" s="559"/>
      <c r="P32" s="559"/>
      <c r="Q32" s="559"/>
      <c r="R32" s="559"/>
      <c r="S32" s="559"/>
      <c r="T32" s="559"/>
      <c r="U32" s="560"/>
    </row>
    <row r="33" spans="1:21" ht="15" x14ac:dyDescent="0.2">
      <c r="A33" s="534" t="s">
        <v>465</v>
      </c>
      <c r="B33" s="561" t="s">
        <v>455</v>
      </c>
      <c r="C33" s="562">
        <f>+C32-C$23</f>
        <v>14000</v>
      </c>
      <c r="D33" s="562">
        <f>+D32-D$23</f>
        <v>8388</v>
      </c>
      <c r="E33" s="563">
        <f>+E32-E$23</f>
        <v>0.23499999999999999</v>
      </c>
      <c r="F33" s="564">
        <f>+F32-F$23</f>
        <v>0</v>
      </c>
      <c r="G33" s="565">
        <f>G32-G$23</f>
        <v>0</v>
      </c>
      <c r="H33" s="566">
        <f>+H32-H$23</f>
        <v>0</v>
      </c>
      <c r="I33" s="567">
        <f>+I32-I$23</f>
        <v>8388</v>
      </c>
      <c r="J33" s="563">
        <f>+J32-J$23</f>
        <v>0.23499999999999999</v>
      </c>
      <c r="K33" s="568">
        <f>K32-K$23</f>
        <v>0</v>
      </c>
      <c r="L33" s="569">
        <f t="shared" ref="L33:U33" si="2">+L32-L$23</f>
        <v>0</v>
      </c>
      <c r="M33" s="569">
        <f t="shared" si="2"/>
        <v>0</v>
      </c>
      <c r="N33" s="562">
        <f t="shared" si="2"/>
        <v>0</v>
      </c>
      <c r="O33" s="569">
        <f t="shared" si="2"/>
        <v>0</v>
      </c>
      <c r="P33" s="569">
        <f t="shared" si="2"/>
        <v>0</v>
      </c>
      <c r="Q33" s="569">
        <f t="shared" si="2"/>
        <v>0</v>
      </c>
      <c r="R33" s="569">
        <f t="shared" si="2"/>
        <v>0</v>
      </c>
      <c r="S33" s="569">
        <f t="shared" si="2"/>
        <v>0</v>
      </c>
      <c r="T33" s="569">
        <f t="shared" si="2"/>
        <v>0</v>
      </c>
      <c r="U33" s="570">
        <f t="shared" si="2"/>
        <v>0</v>
      </c>
    </row>
    <row r="34" spans="1:21" ht="15.75" x14ac:dyDescent="0.25">
      <c r="A34" s="534"/>
      <c r="B34" s="551"/>
      <c r="C34" s="520"/>
      <c r="D34" s="520"/>
      <c r="E34" s="526"/>
      <c r="F34" s="522"/>
      <c r="G34" s="523"/>
      <c r="H34" s="571"/>
      <c r="I34" s="525"/>
      <c r="J34" s="526"/>
      <c r="K34" s="572"/>
      <c r="L34" s="539"/>
      <c r="M34" s="539"/>
      <c r="N34" s="520"/>
      <c r="O34" s="539"/>
      <c r="P34" s="539"/>
      <c r="Q34" s="539"/>
      <c r="R34" s="539"/>
      <c r="S34" s="539"/>
      <c r="T34" s="539"/>
      <c r="U34" s="573"/>
    </row>
    <row r="35" spans="1:21" ht="18" x14ac:dyDescent="0.25">
      <c r="A35" s="534" t="s">
        <v>457</v>
      </c>
      <c r="B35" s="541" t="s">
        <v>449</v>
      </c>
      <c r="C35" s="552">
        <v>12000</v>
      </c>
      <c r="D35" s="552">
        <v>11334</v>
      </c>
      <c r="E35" s="553">
        <v>0.29060000000000002</v>
      </c>
      <c r="F35" s="554"/>
      <c r="G35" s="555"/>
      <c r="H35" s="556"/>
      <c r="I35" s="557">
        <f>D35</f>
        <v>11334</v>
      </c>
      <c r="J35" s="553">
        <f>E35</f>
        <v>0.29060000000000002</v>
      </c>
      <c r="K35" s="558"/>
      <c r="L35" s="559"/>
      <c r="M35" s="559"/>
      <c r="N35" s="552"/>
      <c r="O35" s="559"/>
      <c r="P35" s="559"/>
      <c r="Q35" s="559"/>
      <c r="R35" s="559"/>
      <c r="S35" s="559"/>
      <c r="T35" s="559"/>
      <c r="U35" s="560"/>
    </row>
    <row r="36" spans="1:21" ht="15" x14ac:dyDescent="0.2">
      <c r="A36" s="534" t="s">
        <v>466</v>
      </c>
      <c r="B36" s="561" t="s">
        <v>455</v>
      </c>
      <c r="C36" s="562">
        <f>+C35-C$23</f>
        <v>12000</v>
      </c>
      <c r="D36" s="562">
        <f>+D35-D$23</f>
        <v>11334</v>
      </c>
      <c r="E36" s="563">
        <f>+E35-E$23</f>
        <v>0.29060000000000002</v>
      </c>
      <c r="F36" s="564">
        <f>+F35-F$23</f>
        <v>0</v>
      </c>
      <c r="G36" s="565">
        <f>G35-G$23</f>
        <v>0</v>
      </c>
      <c r="H36" s="566">
        <f>+H35-H$23</f>
        <v>0</v>
      </c>
      <c r="I36" s="567">
        <f>+I35-I$23</f>
        <v>11334</v>
      </c>
      <c r="J36" s="563">
        <f>+J35-J$23</f>
        <v>0.29060000000000002</v>
      </c>
      <c r="K36" s="568">
        <f>K35-K$23</f>
        <v>0</v>
      </c>
      <c r="L36" s="569">
        <f t="shared" ref="L36:U36" si="3">+L35-L$23</f>
        <v>0</v>
      </c>
      <c r="M36" s="569">
        <f t="shared" si="3"/>
        <v>0</v>
      </c>
      <c r="N36" s="562">
        <f t="shared" si="3"/>
        <v>0</v>
      </c>
      <c r="O36" s="569">
        <f t="shared" si="3"/>
        <v>0</v>
      </c>
      <c r="P36" s="569">
        <f t="shared" si="3"/>
        <v>0</v>
      </c>
      <c r="Q36" s="569">
        <f t="shared" si="3"/>
        <v>0</v>
      </c>
      <c r="R36" s="569">
        <f t="shared" si="3"/>
        <v>0</v>
      </c>
      <c r="S36" s="569">
        <f t="shared" si="3"/>
        <v>0</v>
      </c>
      <c r="T36" s="569">
        <f t="shared" si="3"/>
        <v>0</v>
      </c>
      <c r="U36" s="570">
        <f t="shared" si="3"/>
        <v>0</v>
      </c>
    </row>
    <row r="37" spans="1:21" ht="15" x14ac:dyDescent="0.2">
      <c r="A37" s="534"/>
      <c r="B37" s="551"/>
      <c r="C37" s="542"/>
      <c r="D37" s="542"/>
      <c r="E37" s="543"/>
      <c r="F37" s="544"/>
      <c r="G37" s="545"/>
      <c r="H37" s="546"/>
      <c r="I37" s="547"/>
      <c r="J37" s="543"/>
      <c r="K37" s="548"/>
      <c r="L37" s="549"/>
      <c r="M37" s="549"/>
      <c r="N37" s="542"/>
      <c r="O37" s="549"/>
      <c r="P37" s="549"/>
      <c r="Q37" s="549"/>
      <c r="R37" s="549"/>
      <c r="S37" s="549"/>
      <c r="T37" s="549"/>
      <c r="U37" s="550"/>
    </row>
    <row r="38" spans="1:21" ht="18" x14ac:dyDescent="0.25">
      <c r="A38" s="534" t="s">
        <v>458</v>
      </c>
      <c r="B38" s="541" t="s">
        <v>449</v>
      </c>
      <c r="C38" s="552">
        <v>13000</v>
      </c>
      <c r="D38" s="552">
        <v>10334</v>
      </c>
      <c r="E38" s="553">
        <v>0.26090000000000002</v>
      </c>
      <c r="F38" s="554"/>
      <c r="G38" s="555"/>
      <c r="H38" s="556"/>
      <c r="I38" s="557">
        <f>D38</f>
        <v>10334</v>
      </c>
      <c r="J38" s="553">
        <f>E38</f>
        <v>0.26090000000000002</v>
      </c>
      <c r="K38" s="558"/>
      <c r="L38" s="559"/>
      <c r="M38" s="559"/>
      <c r="N38" s="552"/>
      <c r="O38" s="559"/>
      <c r="P38" s="559"/>
      <c r="Q38" s="559"/>
      <c r="R38" s="559"/>
      <c r="S38" s="559"/>
      <c r="T38" s="559"/>
      <c r="U38" s="560"/>
    </row>
    <row r="39" spans="1:21" ht="15" x14ac:dyDescent="0.2">
      <c r="A39" s="534" t="s">
        <v>467</v>
      </c>
      <c r="B39" s="561" t="s">
        <v>455</v>
      </c>
      <c r="C39" s="562">
        <f>+C38-C$23</f>
        <v>13000</v>
      </c>
      <c r="D39" s="562">
        <f>+D38-D$23</f>
        <v>10334</v>
      </c>
      <c r="E39" s="563">
        <f>+E38-E$23</f>
        <v>0.26090000000000002</v>
      </c>
      <c r="F39" s="564">
        <f>+F38-F$23</f>
        <v>0</v>
      </c>
      <c r="G39" s="565">
        <f>G38-G$23</f>
        <v>0</v>
      </c>
      <c r="H39" s="566">
        <f>+H38-H$23</f>
        <v>0</v>
      </c>
      <c r="I39" s="567">
        <f>+I38-I$23</f>
        <v>10334</v>
      </c>
      <c r="J39" s="563">
        <f>+J38-J$23</f>
        <v>0.26090000000000002</v>
      </c>
      <c r="K39" s="568">
        <f>K38-K$23</f>
        <v>0</v>
      </c>
      <c r="L39" s="569">
        <f t="shared" ref="L39:U39" si="4">+L38-L$23</f>
        <v>0</v>
      </c>
      <c r="M39" s="569">
        <f t="shared" si="4"/>
        <v>0</v>
      </c>
      <c r="N39" s="562">
        <f t="shared" si="4"/>
        <v>0</v>
      </c>
      <c r="O39" s="569">
        <f t="shared" si="4"/>
        <v>0</v>
      </c>
      <c r="P39" s="569">
        <f t="shared" si="4"/>
        <v>0</v>
      </c>
      <c r="Q39" s="569">
        <f t="shared" si="4"/>
        <v>0</v>
      </c>
      <c r="R39" s="569">
        <f t="shared" si="4"/>
        <v>0</v>
      </c>
      <c r="S39" s="569">
        <f t="shared" si="4"/>
        <v>0</v>
      </c>
      <c r="T39" s="569">
        <f t="shared" si="4"/>
        <v>0</v>
      </c>
      <c r="U39" s="570">
        <f t="shared" si="4"/>
        <v>0</v>
      </c>
    </row>
    <row r="40" spans="1:21" ht="15" x14ac:dyDescent="0.2">
      <c r="A40" s="534"/>
      <c r="B40" s="561"/>
      <c r="C40" s="562"/>
      <c r="D40" s="562"/>
      <c r="E40" s="563"/>
      <c r="F40" s="564"/>
      <c r="G40" s="565"/>
      <c r="H40" s="566"/>
      <c r="I40" s="567"/>
      <c r="J40" s="563"/>
      <c r="K40" s="568"/>
      <c r="L40" s="569"/>
      <c r="M40" s="569"/>
      <c r="N40" s="562"/>
      <c r="O40" s="569"/>
      <c r="P40" s="569"/>
      <c r="Q40" s="569"/>
      <c r="R40" s="569"/>
      <c r="S40" s="569"/>
      <c r="T40" s="569"/>
      <c r="U40" s="570"/>
    </row>
    <row r="41" spans="1:21" ht="18" x14ac:dyDescent="0.25">
      <c r="A41" s="534" t="s">
        <v>459</v>
      </c>
      <c r="B41" s="541" t="s">
        <v>449</v>
      </c>
      <c r="C41" s="552">
        <v>14000</v>
      </c>
      <c r="D41" s="552">
        <v>9334</v>
      </c>
      <c r="E41" s="553">
        <v>0.23499999999999999</v>
      </c>
      <c r="F41" s="554"/>
      <c r="G41" s="555"/>
      <c r="H41" s="556"/>
      <c r="I41" s="557">
        <f>D41</f>
        <v>9334</v>
      </c>
      <c r="J41" s="553">
        <f>E41</f>
        <v>0.23499999999999999</v>
      </c>
      <c r="K41" s="558"/>
      <c r="L41" s="559"/>
      <c r="M41" s="559"/>
      <c r="N41" s="552"/>
      <c r="O41" s="559"/>
      <c r="P41" s="559"/>
      <c r="Q41" s="559"/>
      <c r="R41" s="559"/>
      <c r="S41" s="559"/>
      <c r="T41" s="559"/>
      <c r="U41" s="560"/>
    </row>
    <row r="42" spans="1:21" ht="15" x14ac:dyDescent="0.2">
      <c r="A42" s="534" t="s">
        <v>468</v>
      </c>
      <c r="B42" s="561" t="s">
        <v>455</v>
      </c>
      <c r="C42" s="562">
        <f>+C41-C$23</f>
        <v>14000</v>
      </c>
      <c r="D42" s="562">
        <f>+D41-D$23</f>
        <v>9334</v>
      </c>
      <c r="E42" s="563">
        <f>+E41-E$23</f>
        <v>0.23499999999999999</v>
      </c>
      <c r="F42" s="564">
        <f>+F41-F$23</f>
        <v>0</v>
      </c>
      <c r="G42" s="565">
        <f>G41-G$23</f>
        <v>0</v>
      </c>
      <c r="H42" s="566">
        <f>+H41-H$23</f>
        <v>0</v>
      </c>
      <c r="I42" s="567">
        <f>+I41-I$23</f>
        <v>9334</v>
      </c>
      <c r="J42" s="563">
        <f>+J41-J$23</f>
        <v>0.23499999999999999</v>
      </c>
      <c r="K42" s="568">
        <f>K41-K$23</f>
        <v>0</v>
      </c>
      <c r="L42" s="569">
        <f t="shared" ref="L42:U42" si="5">+L41-L$23</f>
        <v>0</v>
      </c>
      <c r="M42" s="569">
        <f t="shared" si="5"/>
        <v>0</v>
      </c>
      <c r="N42" s="562">
        <f t="shared" si="5"/>
        <v>0</v>
      </c>
      <c r="O42" s="569">
        <f t="shared" si="5"/>
        <v>0</v>
      </c>
      <c r="P42" s="569">
        <f t="shared" si="5"/>
        <v>0</v>
      </c>
      <c r="Q42" s="569">
        <f t="shared" si="5"/>
        <v>0</v>
      </c>
      <c r="R42" s="569">
        <f t="shared" si="5"/>
        <v>0</v>
      </c>
      <c r="S42" s="569">
        <f t="shared" si="5"/>
        <v>0</v>
      </c>
      <c r="T42" s="569">
        <f t="shared" si="5"/>
        <v>0</v>
      </c>
      <c r="U42" s="570">
        <f t="shared" si="5"/>
        <v>0</v>
      </c>
    </row>
    <row r="43" spans="1:21" ht="15" x14ac:dyDescent="0.2">
      <c r="A43" s="534"/>
      <c r="B43" s="561"/>
      <c r="C43" s="562"/>
      <c r="D43" s="562"/>
      <c r="E43" s="563"/>
      <c r="F43" s="564"/>
      <c r="G43" s="565"/>
      <c r="H43" s="566"/>
      <c r="I43" s="567"/>
      <c r="J43" s="563"/>
      <c r="K43" s="568"/>
      <c r="L43" s="569"/>
      <c r="M43" s="569"/>
      <c r="N43" s="562"/>
      <c r="O43" s="569"/>
      <c r="P43" s="569"/>
      <c r="Q43" s="569"/>
      <c r="R43" s="569"/>
      <c r="S43" s="569"/>
      <c r="T43" s="569"/>
      <c r="U43" s="570"/>
    </row>
    <row r="44" spans="1:21" ht="18" x14ac:dyDescent="0.25">
      <c r="A44" s="534" t="s">
        <v>469</v>
      </c>
      <c r="B44" s="541" t="s">
        <v>449</v>
      </c>
      <c r="C44" s="552">
        <v>12000</v>
      </c>
      <c r="D44" s="552">
        <v>9503</v>
      </c>
      <c r="E44" s="553">
        <v>0.29060000000000002</v>
      </c>
      <c r="F44" s="554"/>
      <c r="G44" s="555"/>
      <c r="H44" s="556"/>
      <c r="I44" s="557">
        <f>D44</f>
        <v>9503</v>
      </c>
      <c r="J44" s="553">
        <f>E44</f>
        <v>0.29060000000000002</v>
      </c>
      <c r="K44" s="558"/>
      <c r="L44" s="559"/>
      <c r="M44" s="559"/>
      <c r="N44" s="552"/>
      <c r="O44" s="559"/>
      <c r="P44" s="559"/>
      <c r="Q44" s="559"/>
      <c r="R44" s="559"/>
      <c r="S44" s="559"/>
      <c r="T44" s="559"/>
      <c r="U44" s="560"/>
    </row>
    <row r="45" spans="1:21" ht="15" x14ac:dyDescent="0.2">
      <c r="A45" s="534" t="s">
        <v>472</v>
      </c>
      <c r="B45" s="561" t="s">
        <v>455</v>
      </c>
      <c r="C45" s="562">
        <f>+C44-C$23</f>
        <v>12000</v>
      </c>
      <c r="D45" s="562">
        <f>+D44-D$23</f>
        <v>9503</v>
      </c>
      <c r="E45" s="563">
        <f>+E44-E$23</f>
        <v>0.29060000000000002</v>
      </c>
      <c r="F45" s="564">
        <f>+F44-F$23</f>
        <v>0</v>
      </c>
      <c r="G45" s="565">
        <f>G44-G$23</f>
        <v>0</v>
      </c>
      <c r="H45" s="566">
        <f>+H44-H$23</f>
        <v>0</v>
      </c>
      <c r="I45" s="567">
        <f>+I44-I$23</f>
        <v>9503</v>
      </c>
      <c r="J45" s="563">
        <f>+J44-J$23</f>
        <v>0.29060000000000002</v>
      </c>
      <c r="K45" s="568">
        <f>K44-K$23</f>
        <v>0</v>
      </c>
      <c r="L45" s="569">
        <f t="shared" ref="L45:U45" si="6">+L44-L$23</f>
        <v>0</v>
      </c>
      <c r="M45" s="569">
        <f t="shared" si="6"/>
        <v>0</v>
      </c>
      <c r="N45" s="562">
        <f t="shared" si="6"/>
        <v>0</v>
      </c>
      <c r="O45" s="569">
        <f t="shared" si="6"/>
        <v>0</v>
      </c>
      <c r="P45" s="569">
        <f t="shared" si="6"/>
        <v>0</v>
      </c>
      <c r="Q45" s="569">
        <f t="shared" si="6"/>
        <v>0</v>
      </c>
      <c r="R45" s="569">
        <f t="shared" si="6"/>
        <v>0</v>
      </c>
      <c r="S45" s="569">
        <f t="shared" si="6"/>
        <v>0</v>
      </c>
      <c r="T45" s="569">
        <f t="shared" si="6"/>
        <v>0</v>
      </c>
      <c r="U45" s="570">
        <f t="shared" si="6"/>
        <v>0</v>
      </c>
    </row>
    <row r="46" spans="1:21" ht="15" x14ac:dyDescent="0.2">
      <c r="A46" s="534"/>
      <c r="B46" s="561"/>
      <c r="C46" s="562"/>
      <c r="D46" s="562"/>
      <c r="E46" s="563"/>
      <c r="F46" s="564"/>
      <c r="G46" s="565"/>
      <c r="H46" s="566"/>
      <c r="I46" s="567"/>
      <c r="J46" s="563"/>
      <c r="K46" s="568"/>
      <c r="L46" s="569"/>
      <c r="M46" s="569"/>
      <c r="N46" s="562"/>
      <c r="O46" s="569"/>
      <c r="P46" s="569"/>
      <c r="Q46" s="569"/>
      <c r="R46" s="569"/>
      <c r="S46" s="569"/>
      <c r="T46" s="569"/>
      <c r="U46" s="570"/>
    </row>
    <row r="47" spans="1:21" ht="18" x14ac:dyDescent="0.25">
      <c r="A47" s="534" t="s">
        <v>470</v>
      </c>
      <c r="B47" s="541" t="s">
        <v>449</v>
      </c>
      <c r="C47" s="552">
        <v>13000</v>
      </c>
      <c r="D47" s="552">
        <v>8503</v>
      </c>
      <c r="E47" s="553">
        <v>0.26090000000000002</v>
      </c>
      <c r="F47" s="554"/>
      <c r="G47" s="555"/>
      <c r="H47" s="556"/>
      <c r="I47" s="557">
        <f>D47</f>
        <v>8503</v>
      </c>
      <c r="J47" s="553">
        <f>E47</f>
        <v>0.26090000000000002</v>
      </c>
      <c r="K47" s="558"/>
      <c r="L47" s="559"/>
      <c r="M47" s="559"/>
      <c r="N47" s="552"/>
      <c r="O47" s="559"/>
      <c r="P47" s="559"/>
      <c r="Q47" s="559"/>
      <c r="R47" s="559"/>
      <c r="S47" s="559"/>
      <c r="T47" s="559"/>
      <c r="U47" s="560"/>
    </row>
    <row r="48" spans="1:21" ht="15" x14ac:dyDescent="0.2">
      <c r="A48" s="534" t="s">
        <v>473</v>
      </c>
      <c r="B48" s="561" t="s">
        <v>455</v>
      </c>
      <c r="C48" s="562">
        <f>+C47-C$23</f>
        <v>13000</v>
      </c>
      <c r="D48" s="562">
        <f>+D47-D$23</f>
        <v>8503</v>
      </c>
      <c r="E48" s="563">
        <f>+E47-E$23</f>
        <v>0.26090000000000002</v>
      </c>
      <c r="F48" s="564">
        <f>+F47-F$23</f>
        <v>0</v>
      </c>
      <c r="G48" s="565">
        <f>G47-G$23</f>
        <v>0</v>
      </c>
      <c r="H48" s="566">
        <f>+H47-H$23</f>
        <v>0</v>
      </c>
      <c r="I48" s="567">
        <f>+I47-I$23</f>
        <v>8503</v>
      </c>
      <c r="J48" s="563">
        <f>+J47-J$23</f>
        <v>0.26090000000000002</v>
      </c>
      <c r="K48" s="568">
        <f>K47-K$23</f>
        <v>0</v>
      </c>
      <c r="L48" s="569">
        <f t="shared" ref="L48:U48" si="7">+L47-L$23</f>
        <v>0</v>
      </c>
      <c r="M48" s="569">
        <f t="shared" si="7"/>
        <v>0</v>
      </c>
      <c r="N48" s="562">
        <f t="shared" si="7"/>
        <v>0</v>
      </c>
      <c r="O48" s="569">
        <f t="shared" si="7"/>
        <v>0</v>
      </c>
      <c r="P48" s="569">
        <f t="shared" si="7"/>
        <v>0</v>
      </c>
      <c r="Q48" s="569">
        <f t="shared" si="7"/>
        <v>0</v>
      </c>
      <c r="R48" s="569">
        <f t="shared" si="7"/>
        <v>0</v>
      </c>
      <c r="S48" s="569">
        <f t="shared" si="7"/>
        <v>0</v>
      </c>
      <c r="T48" s="569">
        <f t="shared" si="7"/>
        <v>0</v>
      </c>
      <c r="U48" s="570">
        <f t="shared" si="7"/>
        <v>0</v>
      </c>
    </row>
    <row r="49" spans="1:21" ht="15" x14ac:dyDescent="0.2">
      <c r="A49" s="534"/>
      <c r="B49" s="561"/>
      <c r="C49" s="562"/>
      <c r="D49" s="562"/>
      <c r="E49" s="563"/>
      <c r="F49" s="564"/>
      <c r="G49" s="565"/>
      <c r="H49" s="566"/>
      <c r="I49" s="567"/>
      <c r="J49" s="563"/>
      <c r="K49" s="568"/>
      <c r="L49" s="569"/>
      <c r="M49" s="569"/>
      <c r="N49" s="562"/>
      <c r="O49" s="569"/>
      <c r="P49" s="569"/>
      <c r="Q49" s="569"/>
      <c r="R49" s="569"/>
      <c r="S49" s="569"/>
      <c r="T49" s="569"/>
      <c r="U49" s="570"/>
    </row>
    <row r="50" spans="1:21" ht="18" x14ac:dyDescent="0.25">
      <c r="A50" s="534" t="s">
        <v>471</v>
      </c>
      <c r="B50" s="541" t="s">
        <v>449</v>
      </c>
      <c r="C50" s="552">
        <v>14000</v>
      </c>
      <c r="D50" s="552">
        <v>7503</v>
      </c>
      <c r="E50" s="553">
        <v>0.23499999999999999</v>
      </c>
      <c r="F50" s="554"/>
      <c r="G50" s="555"/>
      <c r="H50" s="556"/>
      <c r="I50" s="557">
        <f>D50</f>
        <v>7503</v>
      </c>
      <c r="J50" s="553">
        <f>E50</f>
        <v>0.23499999999999999</v>
      </c>
      <c r="K50" s="558"/>
      <c r="L50" s="559"/>
      <c r="M50" s="559"/>
      <c r="N50" s="552"/>
      <c r="O50" s="559"/>
      <c r="P50" s="559"/>
      <c r="Q50" s="559"/>
      <c r="R50" s="559"/>
      <c r="S50" s="559"/>
      <c r="T50" s="559"/>
      <c r="U50" s="560"/>
    </row>
    <row r="51" spans="1:21" ht="15" x14ac:dyDescent="0.2">
      <c r="A51" s="534" t="s">
        <v>474</v>
      </c>
      <c r="B51" s="561" t="s">
        <v>455</v>
      </c>
      <c r="C51" s="562">
        <f>+C50-C$23</f>
        <v>14000</v>
      </c>
      <c r="D51" s="562">
        <f>+D50-D$23</f>
        <v>7503</v>
      </c>
      <c r="E51" s="563">
        <f>+E50-E$23</f>
        <v>0.23499999999999999</v>
      </c>
      <c r="F51" s="564">
        <f>+F50-F$23</f>
        <v>0</v>
      </c>
      <c r="G51" s="565">
        <f>G50-G$23</f>
        <v>0</v>
      </c>
      <c r="H51" s="566">
        <f>+H50-H$23</f>
        <v>0</v>
      </c>
      <c r="I51" s="567">
        <f>+I50-I$23</f>
        <v>7503</v>
      </c>
      <c r="J51" s="563">
        <f>+J50-J$23</f>
        <v>0.23499999999999999</v>
      </c>
      <c r="K51" s="568">
        <f>K50-K$23</f>
        <v>0</v>
      </c>
      <c r="L51" s="569">
        <f t="shared" ref="L51:U51" si="8">+L50-L$23</f>
        <v>0</v>
      </c>
      <c r="M51" s="569">
        <f t="shared" si="8"/>
        <v>0</v>
      </c>
      <c r="N51" s="562">
        <f t="shared" si="8"/>
        <v>0</v>
      </c>
      <c r="O51" s="569">
        <f t="shared" si="8"/>
        <v>0</v>
      </c>
      <c r="P51" s="569">
        <f t="shared" si="8"/>
        <v>0</v>
      </c>
      <c r="Q51" s="569">
        <f t="shared" si="8"/>
        <v>0</v>
      </c>
      <c r="R51" s="569">
        <f t="shared" si="8"/>
        <v>0</v>
      </c>
      <c r="S51" s="569">
        <f t="shared" si="8"/>
        <v>0</v>
      </c>
      <c r="T51" s="569">
        <f t="shared" si="8"/>
        <v>0</v>
      </c>
      <c r="U51" s="570">
        <f t="shared" si="8"/>
        <v>0</v>
      </c>
    </row>
    <row r="52" spans="1:21" ht="15" x14ac:dyDescent="0.2">
      <c r="A52" s="534"/>
      <c r="B52" s="561"/>
      <c r="C52" s="562"/>
      <c r="D52" s="562"/>
      <c r="E52" s="563"/>
      <c r="F52" s="564"/>
      <c r="G52" s="565"/>
      <c r="H52" s="566"/>
      <c r="I52" s="567"/>
      <c r="J52" s="563"/>
      <c r="K52" s="568"/>
      <c r="L52" s="569"/>
      <c r="M52" s="569"/>
      <c r="N52" s="562"/>
      <c r="O52" s="569"/>
      <c r="P52" s="569"/>
      <c r="Q52" s="569"/>
      <c r="R52" s="569"/>
      <c r="S52" s="569"/>
      <c r="T52" s="569"/>
      <c r="U52" s="570"/>
    </row>
    <row r="53" spans="1:21" ht="15.75" thickBot="1" x14ac:dyDescent="0.25">
      <c r="A53" s="574"/>
      <c r="B53" s="575"/>
      <c r="C53" s="576"/>
      <c r="D53" s="576"/>
      <c r="E53" s="577"/>
      <c r="F53" s="578"/>
      <c r="G53" s="579"/>
      <c r="H53" s="580"/>
      <c r="I53" s="581"/>
      <c r="J53" s="577"/>
      <c r="K53" s="582"/>
      <c r="L53" s="583"/>
      <c r="M53" s="583"/>
      <c r="N53" s="584"/>
      <c r="O53" s="583"/>
      <c r="P53" s="583"/>
      <c r="Q53" s="583"/>
      <c r="R53" s="583"/>
      <c r="S53" s="583"/>
      <c r="T53" s="583"/>
      <c r="U53" s="585"/>
    </row>
    <row r="56" spans="1:21" ht="15.75" x14ac:dyDescent="0.25">
      <c r="A56" s="593" t="s">
        <v>476</v>
      </c>
    </row>
    <row r="57" spans="1:21" ht="15" x14ac:dyDescent="0.2">
      <c r="A57" s="592" t="s">
        <v>477</v>
      </c>
    </row>
    <row r="60" spans="1:21" ht="15.75" x14ac:dyDescent="0.25">
      <c r="A60" s="593" t="s">
        <v>478</v>
      </c>
    </row>
    <row r="61" spans="1:21" ht="15" x14ac:dyDescent="0.2">
      <c r="A61" s="592" t="s">
        <v>479</v>
      </c>
    </row>
    <row r="62" spans="1:21" ht="15" x14ac:dyDescent="0.2">
      <c r="A62" s="592" t="s">
        <v>480</v>
      </c>
    </row>
    <row r="63" spans="1:21" ht="15" x14ac:dyDescent="0.2">
      <c r="A63" s="592" t="s">
        <v>481</v>
      </c>
    </row>
    <row r="66" spans="1:1" ht="15.75" x14ac:dyDescent="0.25">
      <c r="A66" s="593" t="s">
        <v>482</v>
      </c>
    </row>
    <row r="67" spans="1:1" ht="15" x14ac:dyDescent="0.2">
      <c r="A67" s="592" t="s">
        <v>483</v>
      </c>
    </row>
    <row r="68" spans="1:1" ht="15" x14ac:dyDescent="0.2">
      <c r="A68" s="592" t="s">
        <v>484</v>
      </c>
    </row>
    <row r="69" spans="1:1" ht="15" x14ac:dyDescent="0.2">
      <c r="A69" s="592" t="s">
        <v>485</v>
      </c>
    </row>
    <row r="70" spans="1:1" ht="15" x14ac:dyDescent="0.2">
      <c r="A70" s="592" t="s">
        <v>486</v>
      </c>
    </row>
    <row r="71" spans="1:1" ht="15" x14ac:dyDescent="0.2">
      <c r="A71" s="592" t="s">
        <v>487</v>
      </c>
    </row>
    <row r="72" spans="1:1" ht="15" x14ac:dyDescent="0.2">
      <c r="A72" s="592" t="s">
        <v>488</v>
      </c>
    </row>
    <row r="73" spans="1:1" ht="15" x14ac:dyDescent="0.2">
      <c r="A73" s="592" t="s">
        <v>489</v>
      </c>
    </row>
    <row r="75" spans="1:1" ht="15" x14ac:dyDescent="0.2">
      <c r="A75" s="592" t="s">
        <v>490</v>
      </c>
    </row>
    <row r="86" spans="10:11" x14ac:dyDescent="0.2">
      <c r="J86" s="586"/>
      <c r="K86" s="586"/>
    </row>
    <row r="87" spans="10:11" x14ac:dyDescent="0.2">
      <c r="J87" s="586"/>
      <c r="K87" s="586"/>
    </row>
    <row r="88" spans="10:11" x14ac:dyDescent="0.2">
      <c r="J88" s="586"/>
      <c r="K88" s="586"/>
    </row>
    <row r="89" spans="10:11" x14ac:dyDescent="0.2">
      <c r="J89" s="586"/>
      <c r="K89" s="586"/>
    </row>
    <row r="90" spans="10:11" x14ac:dyDescent="0.2">
      <c r="J90" s="586"/>
      <c r="K90" s="586"/>
    </row>
    <row r="91" spans="10:11" x14ac:dyDescent="0.2">
      <c r="J91" s="586"/>
      <c r="K91" s="586"/>
    </row>
    <row r="92" spans="10:11" x14ac:dyDescent="0.2">
      <c r="J92" s="586"/>
      <c r="K92" s="586"/>
    </row>
    <row r="93" spans="10:11" x14ac:dyDescent="0.2">
      <c r="J93" s="586"/>
      <c r="K93" s="586"/>
    </row>
    <row r="94" spans="10:11" x14ac:dyDescent="0.2">
      <c r="J94" s="586"/>
      <c r="K94" s="586"/>
    </row>
    <row r="95" spans="10:11" x14ac:dyDescent="0.2">
      <c r="J95" s="586"/>
      <c r="K95" s="586"/>
    </row>
    <row r="96" spans="10:11" x14ac:dyDescent="0.2">
      <c r="J96" s="586"/>
      <c r="K96" s="586"/>
    </row>
    <row r="97" spans="10:11" x14ac:dyDescent="0.2">
      <c r="J97" s="586"/>
      <c r="K97" s="586"/>
    </row>
    <row r="98" spans="10:11" x14ac:dyDescent="0.2">
      <c r="J98" s="586"/>
      <c r="K98" s="586"/>
    </row>
    <row r="99" spans="10:11" x14ac:dyDescent="0.2">
      <c r="J99" s="586"/>
      <c r="K99" s="586"/>
    </row>
    <row r="100" spans="10:11" x14ac:dyDescent="0.2">
      <c r="J100" s="586"/>
      <c r="K100" s="586"/>
    </row>
    <row r="101" spans="10:11" x14ac:dyDescent="0.2">
      <c r="J101" s="586"/>
      <c r="K101" s="586"/>
    </row>
    <row r="102" spans="10:11" x14ac:dyDescent="0.2">
      <c r="J102" s="586"/>
      <c r="K102" s="586"/>
    </row>
    <row r="103" spans="10:11" x14ac:dyDescent="0.2">
      <c r="J103" s="586"/>
      <c r="K103" s="586"/>
    </row>
    <row r="104" spans="10:11" x14ac:dyDescent="0.2">
      <c r="J104" s="586"/>
      <c r="K104" s="586"/>
    </row>
    <row r="105" spans="10:11" x14ac:dyDescent="0.2">
      <c r="J105" s="586"/>
      <c r="K105" s="586"/>
    </row>
    <row r="106" spans="10:11" x14ac:dyDescent="0.2">
      <c r="J106" s="586"/>
      <c r="K106" s="586"/>
    </row>
    <row r="107" spans="10:11" x14ac:dyDescent="0.2">
      <c r="J107" s="586"/>
      <c r="K107" s="586"/>
    </row>
    <row r="108" spans="10:11" x14ac:dyDescent="0.2">
      <c r="J108" s="586"/>
      <c r="K108" s="586"/>
    </row>
    <row r="109" spans="10:11" x14ac:dyDescent="0.2">
      <c r="J109" s="586"/>
      <c r="K109" s="586"/>
    </row>
    <row r="110" spans="10:11" x14ac:dyDescent="0.2">
      <c r="J110" s="586"/>
      <c r="K110" s="586"/>
    </row>
    <row r="111" spans="10:11" x14ac:dyDescent="0.2">
      <c r="J111" s="586"/>
      <c r="K111" s="586"/>
    </row>
    <row r="112" spans="10:11" x14ac:dyDescent="0.2">
      <c r="J112" s="586"/>
      <c r="K112" s="586"/>
    </row>
    <row r="113" spans="10:11" x14ac:dyDescent="0.2">
      <c r="J113" s="586"/>
      <c r="K113" s="586"/>
    </row>
    <row r="114" spans="10:11" x14ac:dyDescent="0.2">
      <c r="J114" s="586"/>
      <c r="K114" s="586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75" workbookViewId="0">
      <selection activeCell="G122" sqref="G122"/>
    </sheetView>
  </sheetViews>
  <sheetFormatPr defaultRowHeight="12.75" x14ac:dyDescent="0.2"/>
  <cols>
    <col min="1" max="1" width="41.28515625" bestFit="1" customWidth="1"/>
    <col min="2" max="2" width="47.7109375" bestFit="1" customWidth="1"/>
    <col min="3" max="3" width="21.140625" bestFit="1" customWidth="1"/>
    <col min="4" max="4" width="23.7109375" bestFit="1" customWidth="1"/>
    <col min="5" max="5" width="19.42578125" bestFit="1" customWidth="1"/>
    <col min="6" max="6" width="39.5703125" bestFit="1" customWidth="1"/>
    <col min="7" max="7" width="49.140625" bestFit="1" customWidth="1"/>
  </cols>
  <sheetData>
    <row r="1" spans="1:7" ht="15.75" x14ac:dyDescent="0.25">
      <c r="A1" s="179" t="s">
        <v>387</v>
      </c>
    </row>
    <row r="2" spans="1:7" ht="13.5" thickBot="1" x14ac:dyDescent="0.25"/>
    <row r="3" spans="1:7" x14ac:dyDescent="0.2">
      <c r="A3" s="416"/>
      <c r="B3" s="417"/>
      <c r="C3" s="417"/>
      <c r="D3" s="417"/>
      <c r="E3" s="417"/>
      <c r="F3" s="417"/>
      <c r="G3" s="418"/>
    </row>
    <row r="4" spans="1:7" ht="13.5" thickBot="1" x14ac:dyDescent="0.25">
      <c r="A4" s="419" t="s">
        <v>388</v>
      </c>
      <c r="B4" s="420" t="s">
        <v>389</v>
      </c>
      <c r="C4" s="420" t="s">
        <v>406</v>
      </c>
      <c r="D4" s="420" t="s">
        <v>390</v>
      </c>
      <c r="E4" s="420" t="s">
        <v>391</v>
      </c>
      <c r="F4" s="420" t="s">
        <v>393</v>
      </c>
      <c r="G4" s="421" t="s">
        <v>392</v>
      </c>
    </row>
    <row r="5" spans="1:7" ht="13.5" thickBot="1" x14ac:dyDescent="0.25"/>
    <row r="6" spans="1:7" x14ac:dyDescent="0.2">
      <c r="A6" s="425" t="s">
        <v>394</v>
      </c>
      <c r="B6" s="422" t="str">
        <f>ASS!A8</f>
        <v>Capacity</v>
      </c>
      <c r="C6" s="441">
        <f>capacity</f>
        <v>500</v>
      </c>
      <c r="D6" s="410"/>
      <c r="E6" s="455">
        <v>36774</v>
      </c>
      <c r="F6" s="422" t="s">
        <v>408</v>
      </c>
      <c r="G6" s="412" t="s">
        <v>412</v>
      </c>
    </row>
    <row r="7" spans="1:7" x14ac:dyDescent="0.2">
      <c r="A7" s="423"/>
      <c r="B7" s="423" t="str">
        <f>ASS!A9</f>
        <v>Availability</v>
      </c>
      <c r="C7" s="442">
        <f>avail</f>
        <v>1</v>
      </c>
      <c r="D7" s="426"/>
      <c r="E7" s="456">
        <v>36767</v>
      </c>
      <c r="F7" s="423" t="s">
        <v>415</v>
      </c>
      <c r="G7" s="427" t="s">
        <v>414</v>
      </c>
    </row>
    <row r="8" spans="1:7" x14ac:dyDescent="0.2">
      <c r="A8" s="423"/>
      <c r="B8" s="423" t="str">
        <f>ASS!A10</f>
        <v>Heat Rate</v>
      </c>
      <c r="C8" s="442">
        <f>HR</f>
        <v>12500</v>
      </c>
      <c r="D8" s="426"/>
      <c r="E8" s="456">
        <v>36767</v>
      </c>
      <c r="F8" s="423" t="s">
        <v>416</v>
      </c>
      <c r="G8" s="427" t="s">
        <v>417</v>
      </c>
    </row>
    <row r="9" spans="1:7" x14ac:dyDescent="0.2">
      <c r="A9" s="423"/>
      <c r="B9" s="423" t="str">
        <f>ASS!A11</f>
        <v xml:space="preserve">Dispatch </v>
      </c>
      <c r="C9" s="442">
        <f>dispatch</f>
        <v>1</v>
      </c>
      <c r="D9" s="426"/>
      <c r="E9" s="456">
        <v>36767</v>
      </c>
      <c r="F9" s="423" t="s">
        <v>415</v>
      </c>
      <c r="G9" s="427" t="s">
        <v>418</v>
      </c>
    </row>
    <row r="10" spans="1:7" ht="13.5" thickBot="1" x14ac:dyDescent="0.25">
      <c r="A10" s="424"/>
      <c r="B10" s="424" t="str">
        <f>ASS!A12</f>
        <v>Line Loss (Cross-Sound Cable Only)</v>
      </c>
      <c r="C10" s="443">
        <f>Loss</f>
        <v>0</v>
      </c>
      <c r="D10" s="413"/>
      <c r="E10" s="457">
        <v>36774</v>
      </c>
      <c r="F10" s="424" t="s">
        <v>408</v>
      </c>
      <c r="G10" s="415" t="s">
        <v>413</v>
      </c>
    </row>
    <row r="11" spans="1:7" ht="13.5" thickBot="1" x14ac:dyDescent="0.25"/>
    <row r="12" spans="1:7" x14ac:dyDescent="0.2">
      <c r="A12" s="425" t="s">
        <v>30</v>
      </c>
      <c r="B12" s="410" t="str">
        <f>ASS!A15</f>
        <v xml:space="preserve">   Start of Construction</v>
      </c>
      <c r="C12" s="444">
        <f>ASS!E15</f>
        <v>2000</v>
      </c>
      <c r="D12" s="411"/>
      <c r="E12" s="451">
        <v>36762</v>
      </c>
      <c r="F12" s="411" t="s">
        <v>408</v>
      </c>
      <c r="G12" s="422" t="s">
        <v>421</v>
      </c>
    </row>
    <row r="13" spans="1:7" x14ac:dyDescent="0.2">
      <c r="A13" s="423"/>
      <c r="B13" s="426" t="str">
        <f>ASS!A16</f>
        <v xml:space="preserve">   Term of Construction (Mos)</v>
      </c>
      <c r="C13" s="445">
        <f>ASS!E16</f>
        <v>6</v>
      </c>
      <c r="D13" s="194"/>
      <c r="E13" s="449">
        <v>36762</v>
      </c>
      <c r="F13" s="194" t="s">
        <v>408</v>
      </c>
      <c r="G13" s="423" t="s">
        <v>421</v>
      </c>
    </row>
    <row r="14" spans="1:7" x14ac:dyDescent="0.2">
      <c r="A14" s="423"/>
      <c r="B14" s="426" t="str">
        <f>ASS!A17</f>
        <v xml:space="preserve">   Start of Operations - Month / Year</v>
      </c>
      <c r="C14" s="445">
        <f>ASS!E17</f>
        <v>2001</v>
      </c>
      <c r="D14" s="194"/>
      <c r="E14" s="449">
        <v>36762</v>
      </c>
      <c r="F14" s="194" t="s">
        <v>408</v>
      </c>
      <c r="G14" s="423" t="s">
        <v>419</v>
      </c>
    </row>
    <row r="15" spans="1:7" x14ac:dyDescent="0.2">
      <c r="A15" s="423"/>
      <c r="B15" s="426" t="str">
        <f>ASS!A18</f>
        <v xml:space="preserve">   Term of Contract (Yrs)</v>
      </c>
      <c r="C15" s="445" t="str">
        <f>ASS!E18</f>
        <v>n/a</v>
      </c>
      <c r="D15" s="194"/>
      <c r="E15" s="449">
        <v>36774</v>
      </c>
      <c r="F15" s="194" t="s">
        <v>408</v>
      </c>
      <c r="G15" s="423"/>
    </row>
    <row r="16" spans="1:7" ht="13.5" thickBot="1" x14ac:dyDescent="0.25">
      <c r="A16" s="424"/>
      <c r="B16" s="413" t="str">
        <f>ASS!A19</f>
        <v xml:space="preserve">   Type of Contract</v>
      </c>
      <c r="C16" s="446" t="str">
        <f>ASS!E19</f>
        <v>n/a</v>
      </c>
      <c r="D16" s="414"/>
      <c r="E16" s="450">
        <v>36774</v>
      </c>
      <c r="F16" s="414" t="s">
        <v>408</v>
      </c>
      <c r="G16" s="424"/>
    </row>
    <row r="17" spans="1:7" ht="13.5" thickBot="1" x14ac:dyDescent="0.25"/>
    <row r="18" spans="1:7" x14ac:dyDescent="0.2">
      <c r="A18" s="425" t="s">
        <v>50</v>
      </c>
      <c r="B18" s="410" t="str">
        <f>ASS!A22</f>
        <v>Margin to SOCO/FL</v>
      </c>
      <c r="C18" s="410">
        <f>ASS!C22</f>
        <v>0</v>
      </c>
      <c r="D18" s="422"/>
      <c r="E18" s="412"/>
      <c r="F18" s="422"/>
      <c r="G18" s="422"/>
    </row>
    <row r="19" spans="1:7" x14ac:dyDescent="0.2">
      <c r="A19" s="423"/>
      <c r="B19" s="426" t="str">
        <f>ASS!A23</f>
        <v>Lower transmission costs</v>
      </c>
      <c r="C19" s="426">
        <f>ASS!C23</f>
        <v>0</v>
      </c>
      <c r="D19" s="423"/>
      <c r="E19" s="427"/>
      <c r="F19" s="423"/>
      <c r="G19" s="423"/>
    </row>
    <row r="20" spans="1:7" x14ac:dyDescent="0.2">
      <c r="A20" s="423"/>
      <c r="B20" s="426" t="str">
        <f>ASS!A24</f>
        <v>Decrease transmission losses</v>
      </c>
      <c r="C20" s="426">
        <f>ASS!C24</f>
        <v>0</v>
      </c>
      <c r="D20" s="423"/>
      <c r="E20" s="427"/>
      <c r="F20" s="423"/>
      <c r="G20" s="423"/>
    </row>
    <row r="21" spans="1:7" x14ac:dyDescent="0.2">
      <c r="A21" s="423"/>
      <c r="B21" s="426" t="str">
        <f>ASS!A25</f>
        <v>Capacity Payments:</v>
      </c>
      <c r="C21" s="426">
        <f>ASS!C25</f>
        <v>0</v>
      </c>
      <c r="D21" s="423"/>
      <c r="E21" s="427"/>
      <c r="F21" s="423"/>
      <c r="G21" s="423"/>
    </row>
    <row r="22" spans="1:7" x14ac:dyDescent="0.2">
      <c r="A22" s="423"/>
      <c r="B22" s="426" t="str">
        <f>ASS!A26</f>
        <v xml:space="preserve">Fixed Capacity </v>
      </c>
      <c r="C22" s="426">
        <f>ASS!C26</f>
        <v>8.3999999999999995E-3</v>
      </c>
      <c r="D22" s="423"/>
      <c r="E22" s="454">
        <v>36774</v>
      </c>
      <c r="F22" s="423" t="s">
        <v>408</v>
      </c>
      <c r="G22" s="423"/>
    </row>
    <row r="23" spans="1:7" x14ac:dyDescent="0.2">
      <c r="A23" s="423"/>
      <c r="B23" s="426" t="str">
        <f>ASS!A28</f>
        <v>Energy (Variable) Payments:</v>
      </c>
      <c r="C23" s="426">
        <f>ASS!C27</f>
        <v>0</v>
      </c>
      <c r="D23" s="423"/>
      <c r="E23" s="427"/>
      <c r="F23" s="423"/>
      <c r="G23" s="423"/>
    </row>
    <row r="24" spans="1:7" x14ac:dyDescent="0.2">
      <c r="A24" s="423"/>
      <c r="B24" s="426" t="str">
        <f>ASS!A29</f>
        <v>Variable O&amp;M</v>
      </c>
      <c r="C24" s="426">
        <f>ASS!C28</f>
        <v>0</v>
      </c>
      <c r="D24" s="423"/>
      <c r="E24" s="427"/>
      <c r="F24" s="423"/>
      <c r="G24" s="423"/>
    </row>
    <row r="25" spans="1:7" x14ac:dyDescent="0.2">
      <c r="A25" s="423"/>
      <c r="B25" s="426" t="str">
        <f>ASS!A30</f>
        <v>Misc</v>
      </c>
      <c r="C25" s="426">
        <f>ASS!C29</f>
        <v>0</v>
      </c>
      <c r="D25" s="423"/>
      <c r="E25" s="427"/>
      <c r="F25" s="423"/>
      <c r="G25" s="423"/>
    </row>
    <row r="26" spans="1:7" x14ac:dyDescent="0.2">
      <c r="A26" s="423"/>
      <c r="B26" s="426" t="str">
        <f>ASS!A31</f>
        <v>Other</v>
      </c>
      <c r="C26" s="426">
        <f>ASS!C30</f>
        <v>0</v>
      </c>
      <c r="D26" s="423"/>
      <c r="E26" s="427"/>
      <c r="F26" s="423"/>
      <c r="G26" s="423"/>
    </row>
    <row r="27" spans="1:7" x14ac:dyDescent="0.2">
      <c r="A27" s="423"/>
      <c r="B27" s="426" t="str">
        <f>ASS!A32</f>
        <v>All-in-Cost</v>
      </c>
      <c r="C27" s="426">
        <f>ASS!C31</f>
        <v>0</v>
      </c>
      <c r="D27" s="423"/>
      <c r="E27" s="427"/>
      <c r="F27" s="423"/>
      <c r="G27" s="423"/>
    </row>
    <row r="28" spans="1:7" ht="13.5" thickBot="1" x14ac:dyDescent="0.25">
      <c r="A28" s="424"/>
      <c r="B28" s="413"/>
      <c r="C28" s="413">
        <f>ASS!C32</f>
        <v>0</v>
      </c>
      <c r="D28" s="424"/>
      <c r="E28" s="415"/>
      <c r="F28" s="424"/>
      <c r="G28" s="424"/>
    </row>
    <row r="29" spans="1:7" ht="13.5" thickBot="1" x14ac:dyDescent="0.25"/>
    <row r="30" spans="1:7" x14ac:dyDescent="0.2">
      <c r="A30" s="425" t="s">
        <v>395</v>
      </c>
      <c r="B30" s="410" t="str">
        <f>ASS!A35</f>
        <v>Capacity</v>
      </c>
      <c r="C30" s="422">
        <f>ASS!D35</f>
        <v>1500</v>
      </c>
      <c r="D30" s="410"/>
      <c r="E30" s="451">
        <v>36774</v>
      </c>
      <c r="F30" s="412" t="s">
        <v>408</v>
      </c>
      <c r="G30" s="422"/>
    </row>
    <row r="31" spans="1:7" x14ac:dyDescent="0.2">
      <c r="A31" s="423"/>
      <c r="B31" s="426" t="str">
        <f>ASS!A36</f>
        <v>Availability</v>
      </c>
      <c r="C31" s="423">
        <f>ASS!D36</f>
        <v>1</v>
      </c>
      <c r="D31" s="426"/>
      <c r="E31" s="449">
        <v>36774</v>
      </c>
      <c r="F31" s="427" t="s">
        <v>408</v>
      </c>
      <c r="G31" s="423"/>
    </row>
    <row r="32" spans="1:7" ht="13.5" thickBot="1" x14ac:dyDescent="0.25">
      <c r="A32" s="424"/>
      <c r="B32" s="413" t="str">
        <f>ASS!A37</f>
        <v>Historical Dispatch</v>
      </c>
      <c r="C32" s="424">
        <f>ASS!D37</f>
        <v>0</v>
      </c>
      <c r="D32" s="413"/>
      <c r="E32" s="424"/>
      <c r="F32" s="415"/>
      <c r="G32" s="424" t="s">
        <v>422</v>
      </c>
    </row>
    <row r="33" spans="1:7" ht="13.5" thickBot="1" x14ac:dyDescent="0.25"/>
    <row r="34" spans="1:7" x14ac:dyDescent="0.2">
      <c r="A34" s="425" t="s">
        <v>396</v>
      </c>
      <c r="B34" s="416" t="str">
        <f>ASS!A41</f>
        <v>Fixed:</v>
      </c>
      <c r="C34" s="422"/>
      <c r="D34" s="412"/>
      <c r="E34" s="422"/>
      <c r="F34" s="422"/>
      <c r="G34" s="422"/>
    </row>
    <row r="35" spans="1:7" x14ac:dyDescent="0.2">
      <c r="A35" s="423"/>
      <c r="B35" s="426" t="str">
        <f>ASS!A42</f>
        <v>Miscellaneous O&amp;M</v>
      </c>
      <c r="C35" s="431">
        <f>ASS!C42</f>
        <v>48</v>
      </c>
      <c r="E35" s="449">
        <v>36767</v>
      </c>
      <c r="F35" s="427" t="s">
        <v>408</v>
      </c>
      <c r="G35" s="423" t="s">
        <v>423</v>
      </c>
    </row>
    <row r="36" spans="1:7" x14ac:dyDescent="0.2">
      <c r="A36" s="423"/>
      <c r="B36" s="426" t="str">
        <f>ASS!A43</f>
        <v>Miscellaneous G&amp;A</v>
      </c>
      <c r="C36" s="431">
        <f>ASS!C43</f>
        <v>0</v>
      </c>
      <c r="D36" s="427"/>
      <c r="E36" s="423"/>
      <c r="F36" s="423"/>
      <c r="G36" s="423"/>
    </row>
    <row r="37" spans="1:7" x14ac:dyDescent="0.2">
      <c r="A37" s="423"/>
      <c r="B37" s="426" t="str">
        <f>ASS!A44</f>
        <v>Maintenance Reserve</v>
      </c>
      <c r="C37" s="431">
        <f>ASS!C44</f>
        <v>0</v>
      </c>
      <c r="D37" s="427"/>
      <c r="E37" s="423"/>
      <c r="F37" s="423"/>
      <c r="G37" s="423"/>
    </row>
    <row r="38" spans="1:7" x14ac:dyDescent="0.2">
      <c r="A38" s="423"/>
      <c r="B38" s="426" t="str">
        <f>ASS!A45</f>
        <v>Plant Insurance</v>
      </c>
      <c r="C38" s="431">
        <f>ASS!C45</f>
        <v>0</v>
      </c>
      <c r="D38" s="427"/>
      <c r="E38" s="423"/>
      <c r="F38" s="423"/>
      <c r="G38" s="423"/>
    </row>
    <row r="39" spans="1:7" x14ac:dyDescent="0.2">
      <c r="A39" s="423"/>
      <c r="B39" s="426" t="str">
        <f>ASS!A46</f>
        <v>Payroll</v>
      </c>
      <c r="C39" s="431">
        <f>ASS!C46</f>
        <v>0</v>
      </c>
      <c r="D39" s="427"/>
      <c r="E39" s="423"/>
      <c r="F39" s="423"/>
      <c r="G39" s="423"/>
    </row>
    <row r="40" spans="1:7" x14ac:dyDescent="0.2">
      <c r="A40" s="423"/>
      <c r="B40" s="426" t="str">
        <f>ASS!A47</f>
        <v xml:space="preserve">Spare Parts </v>
      </c>
      <c r="C40" s="431">
        <f>ASS!C47</f>
        <v>0</v>
      </c>
      <c r="D40" s="427"/>
      <c r="E40" s="423"/>
      <c r="F40" s="423"/>
      <c r="G40" s="423"/>
    </row>
    <row r="41" spans="1:7" x14ac:dyDescent="0.2">
      <c r="A41" s="423"/>
      <c r="B41" s="426" t="str">
        <f>ASS!A48</f>
        <v>Water &amp; Chemicals</v>
      </c>
      <c r="C41" s="431">
        <f>ASS!C48</f>
        <v>0</v>
      </c>
      <c r="D41" s="427"/>
      <c r="E41" s="423"/>
      <c r="F41" s="423"/>
      <c r="G41" s="423"/>
    </row>
    <row r="42" spans="1:7" x14ac:dyDescent="0.2">
      <c r="A42" s="423"/>
      <c r="B42" s="426" t="str">
        <f>ASS!A49</f>
        <v>Plant Operations (O&amp;M Fee)</v>
      </c>
      <c r="C42" s="431">
        <f>ASS!C49</f>
        <v>0</v>
      </c>
      <c r="D42" s="427"/>
      <c r="E42" s="423"/>
      <c r="F42" s="423"/>
      <c r="G42" s="423"/>
    </row>
    <row r="43" spans="1:7" x14ac:dyDescent="0.2">
      <c r="A43" s="423"/>
      <c r="B43" s="426" t="str">
        <f>ASS!A50</f>
        <v>Transmission Capacity Pmt.</v>
      </c>
      <c r="C43" s="431">
        <f>ASS!C50</f>
        <v>0</v>
      </c>
      <c r="D43" s="427"/>
      <c r="E43" s="423"/>
      <c r="F43" s="423"/>
      <c r="G43" s="423"/>
    </row>
    <row r="44" spans="1:7" x14ac:dyDescent="0.2">
      <c r="A44" s="423"/>
      <c r="B44" s="426" t="str">
        <f>ASS!A51</f>
        <v>Pipeline Operations</v>
      </c>
      <c r="C44" s="431">
        <f>ASS!C51</f>
        <v>0</v>
      </c>
      <c r="D44" s="427"/>
      <c r="E44" s="423"/>
      <c r="F44" s="423"/>
      <c r="G44" s="423"/>
    </row>
    <row r="45" spans="1:7" x14ac:dyDescent="0.2">
      <c r="A45" s="423"/>
      <c r="B45" s="426" t="str">
        <f>ASS!A52</f>
        <v>Other</v>
      </c>
      <c r="C45" s="431">
        <f>ASS!C52</f>
        <v>0</v>
      </c>
      <c r="D45" s="427"/>
      <c r="E45" s="423"/>
      <c r="F45" s="423"/>
      <c r="G45" s="423"/>
    </row>
    <row r="46" spans="1:7" x14ac:dyDescent="0.2">
      <c r="A46" s="423"/>
      <c r="B46" s="426" t="str">
        <f>ASS!A53</f>
        <v>Property Tax</v>
      </c>
      <c r="C46" s="431">
        <f>ASS!C53</f>
        <v>0</v>
      </c>
      <c r="D46" s="427"/>
      <c r="E46" s="423"/>
      <c r="F46" s="423"/>
      <c r="G46" s="423"/>
    </row>
    <row r="47" spans="1:7" x14ac:dyDescent="0.2">
      <c r="A47" s="423"/>
      <c r="B47" s="426" t="str">
        <f>ASS!A54</f>
        <v>Total Fixed O&amp;M</v>
      </c>
      <c r="C47" s="431">
        <f>ASS!C54</f>
        <v>48</v>
      </c>
      <c r="E47" s="449">
        <v>36767</v>
      </c>
      <c r="F47" s="427" t="s">
        <v>408</v>
      </c>
      <c r="G47" s="423" t="s">
        <v>423</v>
      </c>
    </row>
    <row r="48" spans="1:7" x14ac:dyDescent="0.2">
      <c r="A48" s="423"/>
      <c r="B48" s="426"/>
      <c r="C48" s="431"/>
      <c r="D48" s="427"/>
      <c r="E48" s="423"/>
      <c r="F48" s="423"/>
      <c r="G48" s="423"/>
    </row>
    <row r="49" spans="1:7" x14ac:dyDescent="0.2">
      <c r="A49" s="423"/>
      <c r="B49" s="433" t="str">
        <f>ASS!A56</f>
        <v>Variable:</v>
      </c>
      <c r="C49" s="431">
        <f>ASS!C56</f>
        <v>0</v>
      </c>
      <c r="D49" s="427"/>
      <c r="E49" s="423"/>
      <c r="F49" s="423"/>
      <c r="G49" s="423"/>
    </row>
    <row r="50" spans="1:7" x14ac:dyDescent="0.2">
      <c r="A50" s="423"/>
      <c r="B50" s="426" t="str">
        <f>ASS!A57</f>
        <v>Power Cost</v>
      </c>
      <c r="C50" s="431">
        <f>ASS!C57</f>
        <v>0</v>
      </c>
      <c r="D50" s="427"/>
      <c r="E50" s="423"/>
      <c r="F50" s="423"/>
      <c r="G50" s="423"/>
    </row>
    <row r="51" spans="1:7" x14ac:dyDescent="0.2">
      <c r="A51" s="423"/>
      <c r="B51" s="426" t="str">
        <f>ASS!A58</f>
        <v>Maintenance Reserve</v>
      </c>
      <c r="C51" s="431">
        <f>ASS!C58</f>
        <v>0</v>
      </c>
      <c r="D51" s="427"/>
      <c r="E51" s="423"/>
      <c r="F51" s="423"/>
      <c r="G51" s="423"/>
    </row>
    <row r="52" spans="1:7" x14ac:dyDescent="0.2">
      <c r="A52" s="423"/>
      <c r="B52" s="426" t="str">
        <f>ASS!A59</f>
        <v>Maintenance Excluding (Major Maint)</v>
      </c>
      <c r="C52" s="431">
        <f>ASS!C59</f>
        <v>0</v>
      </c>
      <c r="D52" s="427"/>
      <c r="E52" s="423"/>
      <c r="F52" s="423"/>
      <c r="G52" s="423"/>
    </row>
    <row r="53" spans="1:7" ht="13.5" thickBot="1" x14ac:dyDescent="0.25">
      <c r="A53" s="424"/>
      <c r="B53" s="413" t="str">
        <f>ASS!A60</f>
        <v>Other</v>
      </c>
      <c r="C53" s="432">
        <f>ASS!C60</f>
        <v>0</v>
      </c>
      <c r="D53" s="415"/>
      <c r="E53" s="424"/>
      <c r="F53" s="424"/>
      <c r="G53" s="424"/>
    </row>
    <row r="54" spans="1:7" ht="13.5" thickBot="1" x14ac:dyDescent="0.25"/>
    <row r="55" spans="1:7" x14ac:dyDescent="0.2">
      <c r="A55" s="425" t="s">
        <v>7</v>
      </c>
      <c r="B55" s="410" t="str">
        <f>ASS!G8</f>
        <v>Project Company Tax Position</v>
      </c>
      <c r="C55" s="422">
        <f>ASS!I8</f>
        <v>0</v>
      </c>
      <c r="D55" s="412"/>
      <c r="E55" s="422"/>
      <c r="F55" s="422"/>
      <c r="G55" s="422"/>
    </row>
    <row r="56" spans="1:7" x14ac:dyDescent="0.2">
      <c r="A56" s="423"/>
      <c r="B56" s="426" t="str">
        <f>ASS!G9</f>
        <v xml:space="preserve">AL Corporate Net Income Tax </v>
      </c>
      <c r="C56" s="423">
        <f>ASS!I9</f>
        <v>0.05</v>
      </c>
      <c r="E56" s="449">
        <v>36767</v>
      </c>
      <c r="F56" s="423" t="s">
        <v>410</v>
      </c>
      <c r="G56" s="423"/>
    </row>
    <row r="57" spans="1:7" ht="13.5" thickBot="1" x14ac:dyDescent="0.25">
      <c r="A57" s="424"/>
      <c r="B57" s="413" t="str">
        <f>ASS!G10</f>
        <v>Gross Receipts Tax</v>
      </c>
      <c r="C57" s="424">
        <f>ASS!I10</f>
        <v>0</v>
      </c>
      <c r="D57" s="415"/>
      <c r="E57" s="424"/>
      <c r="F57" s="424"/>
      <c r="G57" s="424"/>
    </row>
    <row r="58" spans="1:7" ht="13.5" thickBot="1" x14ac:dyDescent="0.25"/>
    <row r="59" spans="1:7" x14ac:dyDescent="0.2">
      <c r="A59" s="416" t="s">
        <v>39</v>
      </c>
      <c r="B59" s="410" t="str">
        <f>ASS!G13</f>
        <v xml:space="preserve">   Enron's Tax Position</v>
      </c>
      <c r="C59" s="422">
        <f>ASS!I13</f>
        <v>0</v>
      </c>
      <c r="D59" s="422"/>
      <c r="E59" s="422"/>
      <c r="F59" s="422"/>
      <c r="G59" s="422"/>
    </row>
    <row r="60" spans="1:7" x14ac:dyDescent="0.2">
      <c r="A60" s="426"/>
      <c r="B60" s="426" t="str">
        <f>ASS!G14</f>
        <v xml:space="preserve">   State Corporate Tax</v>
      </c>
      <c r="C60" s="423">
        <f>ASS!I14</f>
        <v>0.05</v>
      </c>
      <c r="D60" s="423"/>
      <c r="E60" s="449">
        <v>36767</v>
      </c>
      <c r="F60" s="423" t="s">
        <v>410</v>
      </c>
      <c r="G60" s="423" t="s">
        <v>420</v>
      </c>
    </row>
    <row r="61" spans="1:7" ht="13.5" thickBot="1" x14ac:dyDescent="0.25">
      <c r="A61" s="413"/>
      <c r="B61" s="413" t="str">
        <f>ASS!G15</f>
        <v xml:space="preserve">   Federal Income Tax</v>
      </c>
      <c r="C61" s="424">
        <f>ASS!I15</f>
        <v>0.35</v>
      </c>
      <c r="D61" s="424"/>
      <c r="E61" s="450">
        <v>36767</v>
      </c>
      <c r="F61" s="424" t="s">
        <v>410</v>
      </c>
      <c r="G61" s="424" t="s">
        <v>424</v>
      </c>
    </row>
    <row r="62" spans="1:7" ht="13.5" thickBot="1" x14ac:dyDescent="0.25"/>
    <row r="63" spans="1:7" x14ac:dyDescent="0.2">
      <c r="A63" s="425" t="str">
        <f>ASS!G17</f>
        <v>Depreciation Assumptions</v>
      </c>
      <c r="B63" s="422" t="str">
        <f>ASS!G19</f>
        <v>Tax:</v>
      </c>
      <c r="C63" s="422"/>
      <c r="D63" s="422"/>
      <c r="E63" s="422"/>
      <c r="F63" s="411"/>
      <c r="G63" s="422"/>
    </row>
    <row r="64" spans="1:7" x14ac:dyDescent="0.2">
      <c r="A64" s="423"/>
      <c r="B64" t="str">
        <f>ASS!K17</f>
        <v>Method</v>
      </c>
      <c r="C64" s="445" t="str">
        <f>ASS!K19</f>
        <v>MACRS</v>
      </c>
      <c r="D64" s="423"/>
      <c r="E64" s="449">
        <v>36767</v>
      </c>
      <c r="F64" s="426" t="s">
        <v>409</v>
      </c>
      <c r="G64" s="423"/>
    </row>
    <row r="65" spans="1:7" x14ac:dyDescent="0.2">
      <c r="A65" s="423"/>
      <c r="B65" s="423" t="str">
        <f>ASS!J17</f>
        <v>Life (Yrs)</v>
      </c>
      <c r="C65" s="445">
        <f>ASS!J19</f>
        <v>20</v>
      </c>
      <c r="D65" s="423"/>
      <c r="E65" s="449">
        <v>36767</v>
      </c>
      <c r="F65" s="426" t="s">
        <v>409</v>
      </c>
      <c r="G65" s="423"/>
    </row>
    <row r="66" spans="1:7" x14ac:dyDescent="0.2">
      <c r="A66" s="423"/>
      <c r="B66" s="423" t="str">
        <f>ASS!G21</f>
        <v>Book:</v>
      </c>
      <c r="C66" s="445"/>
      <c r="D66" s="423"/>
      <c r="E66" s="449">
        <v>36767</v>
      </c>
      <c r="F66" s="426" t="s">
        <v>409</v>
      </c>
      <c r="G66" s="423"/>
    </row>
    <row r="67" spans="1:7" x14ac:dyDescent="0.2">
      <c r="A67" s="423"/>
      <c r="B67" t="str">
        <f>ASS!K17</f>
        <v>Method</v>
      </c>
      <c r="C67" s="445" t="str">
        <f>ASS!K21</f>
        <v>S/L</v>
      </c>
      <c r="D67" s="423"/>
      <c r="E67" s="449">
        <v>36767</v>
      </c>
      <c r="F67" s="426" t="s">
        <v>409</v>
      </c>
      <c r="G67" s="423"/>
    </row>
    <row r="68" spans="1:7" x14ac:dyDescent="0.2">
      <c r="A68" s="423"/>
      <c r="B68" s="423" t="str">
        <f>ASS!J17</f>
        <v>Life (Yrs)</v>
      </c>
      <c r="C68" s="445">
        <f>ASS!J21</f>
        <v>28.5</v>
      </c>
      <c r="D68" s="423"/>
      <c r="E68" s="449">
        <v>36767</v>
      </c>
      <c r="F68" s="426" t="s">
        <v>409</v>
      </c>
      <c r="G68" s="423" t="s">
        <v>425</v>
      </c>
    </row>
    <row r="69" spans="1:7" x14ac:dyDescent="0.2">
      <c r="A69" s="423"/>
      <c r="B69" s="423" t="str">
        <f>ASS!G23</f>
        <v>US GAAP:</v>
      </c>
      <c r="C69" s="445"/>
      <c r="D69" s="423"/>
      <c r="E69" s="449">
        <v>36767</v>
      </c>
      <c r="F69" s="426" t="s">
        <v>409</v>
      </c>
      <c r="G69" s="423"/>
    </row>
    <row r="70" spans="1:7" x14ac:dyDescent="0.2">
      <c r="A70" s="423"/>
      <c r="B70" t="str">
        <f>ASS!K17</f>
        <v>Method</v>
      </c>
      <c r="C70" s="445" t="str">
        <f>ASS!K23</f>
        <v>S/L</v>
      </c>
      <c r="D70" s="423"/>
      <c r="E70" s="449">
        <v>36767</v>
      </c>
      <c r="F70" s="426" t="s">
        <v>409</v>
      </c>
      <c r="G70" s="423"/>
    </row>
    <row r="71" spans="1:7" ht="13.5" thickBot="1" x14ac:dyDescent="0.25">
      <c r="A71" s="424"/>
      <c r="B71" s="424" t="str">
        <f>ASS!J17</f>
        <v>Life (Yrs)</v>
      </c>
      <c r="C71" s="446">
        <f>ASS!J23</f>
        <v>28.5</v>
      </c>
      <c r="D71" s="424"/>
      <c r="E71" s="450">
        <v>36767</v>
      </c>
      <c r="F71" s="413" t="s">
        <v>409</v>
      </c>
      <c r="G71" s="424" t="s">
        <v>425</v>
      </c>
    </row>
    <row r="72" spans="1:7" ht="13.5" thickBot="1" x14ac:dyDescent="0.25"/>
    <row r="73" spans="1:7" x14ac:dyDescent="0.2">
      <c r="A73" s="425" t="s">
        <v>397</v>
      </c>
      <c r="B73" s="422" t="str">
        <f>ASS!G26</f>
        <v>Enron</v>
      </c>
      <c r="C73" s="452">
        <f>ASS!I26</f>
        <v>1</v>
      </c>
      <c r="D73" s="422"/>
      <c r="E73" s="451">
        <v>36762</v>
      </c>
      <c r="F73" s="410" t="s">
        <v>408</v>
      </c>
      <c r="G73" s="422"/>
    </row>
    <row r="74" spans="1:7" ht="13.5" thickBot="1" x14ac:dyDescent="0.25">
      <c r="A74" s="424"/>
      <c r="B74" s="424" t="str">
        <f>ASS!G27</f>
        <v xml:space="preserve">   Total</v>
      </c>
      <c r="C74" s="453">
        <f>ASS!I27</f>
        <v>1</v>
      </c>
      <c r="D74" s="424"/>
      <c r="E74" s="450">
        <v>36762</v>
      </c>
      <c r="F74" s="413" t="s">
        <v>408</v>
      </c>
      <c r="G74" s="424"/>
    </row>
    <row r="75" spans="1:7" ht="13.5" thickBot="1" x14ac:dyDescent="0.25"/>
    <row r="76" spans="1:7" x14ac:dyDescent="0.2">
      <c r="A76" s="416" t="str">
        <f>ASS!G30</f>
        <v>Balance Sheet Assumptions</v>
      </c>
      <c r="B76" s="422" t="str">
        <f>ASS!G31</f>
        <v>Account Receivable</v>
      </c>
      <c r="C76" s="444">
        <f>ASS!I31</f>
        <v>0</v>
      </c>
      <c r="D76" s="422"/>
      <c r="E76" s="455">
        <v>36774</v>
      </c>
      <c r="F76" s="422" t="s">
        <v>426</v>
      </c>
      <c r="G76" s="412"/>
    </row>
    <row r="77" spans="1:7" x14ac:dyDescent="0.2">
      <c r="A77" s="426"/>
      <c r="B77" s="423" t="str">
        <f>ASS!G32</f>
        <v>Construction in Progress</v>
      </c>
      <c r="C77" s="445">
        <f>ASS!I32</f>
        <v>0</v>
      </c>
      <c r="D77" s="423"/>
      <c r="E77" s="456">
        <v>36774</v>
      </c>
      <c r="F77" s="423" t="s">
        <v>426</v>
      </c>
      <c r="G77" s="427"/>
    </row>
    <row r="78" spans="1:7" x14ac:dyDescent="0.2">
      <c r="A78" s="426"/>
      <c r="B78" s="423" t="str">
        <f>ASS!G33</f>
        <v>Land</v>
      </c>
      <c r="C78" s="445">
        <f>ASS!I33</f>
        <v>0</v>
      </c>
      <c r="D78" s="423"/>
      <c r="E78" s="456">
        <v>36774</v>
      </c>
      <c r="F78" s="423" t="s">
        <v>426</v>
      </c>
      <c r="G78" s="427"/>
    </row>
    <row r="79" spans="1:7" ht="13.5" thickBot="1" x14ac:dyDescent="0.25">
      <c r="A79" s="413"/>
      <c r="B79" s="424" t="str">
        <f>ASS!G34</f>
        <v>Other liabilities</v>
      </c>
      <c r="C79" s="446">
        <f>ASS!I34</f>
        <v>0</v>
      </c>
      <c r="D79" s="424"/>
      <c r="E79" s="457">
        <v>36774</v>
      </c>
      <c r="F79" s="424" t="s">
        <v>426</v>
      </c>
      <c r="G79" s="415"/>
    </row>
    <row r="80" spans="1:7" ht="13.5" thickBot="1" x14ac:dyDescent="0.25">
      <c r="B80" s="194"/>
    </row>
    <row r="81" spans="1:7" x14ac:dyDescent="0.2">
      <c r="A81" s="425" t="s">
        <v>398</v>
      </c>
      <c r="B81" s="422" t="s">
        <v>399</v>
      </c>
      <c r="C81" s="425">
        <f>ASS!R8</f>
        <v>2000</v>
      </c>
      <c r="D81" s="422"/>
      <c r="E81" s="422"/>
      <c r="F81" s="422"/>
      <c r="G81" s="422"/>
    </row>
    <row r="82" spans="1:7" x14ac:dyDescent="0.2">
      <c r="A82" s="423"/>
      <c r="B82" s="423" t="str">
        <f>ASS!M9</f>
        <v xml:space="preserve">  Major Mechanical &amp; Elec. Equip.</v>
      </c>
      <c r="C82" s="431">
        <f>ASS!R9</f>
        <v>3300</v>
      </c>
      <c r="E82" s="449">
        <v>36762</v>
      </c>
      <c r="F82" s="423" t="s">
        <v>408</v>
      </c>
      <c r="G82" s="423"/>
    </row>
    <row r="83" spans="1:7" x14ac:dyDescent="0.2">
      <c r="A83" s="423"/>
      <c r="B83" s="423" t="str">
        <f>ASS!M10</f>
        <v xml:space="preserve">  Electrical Equip.</v>
      </c>
      <c r="C83" s="431">
        <f>ASS!R10</f>
        <v>0</v>
      </c>
      <c r="D83" s="423"/>
      <c r="E83" s="423"/>
      <c r="F83" s="423"/>
      <c r="G83" s="423"/>
    </row>
    <row r="84" spans="1:7" x14ac:dyDescent="0.2">
      <c r="A84" s="423"/>
      <c r="B84" s="423" t="str">
        <f>ASS!M11</f>
        <v xml:space="preserve">  Import Duties </v>
      </c>
      <c r="C84" s="431">
        <f>ASS!R11</f>
        <v>0</v>
      </c>
      <c r="D84" s="423"/>
      <c r="E84" s="423"/>
      <c r="F84" s="423"/>
      <c r="G84" s="423"/>
    </row>
    <row r="85" spans="1:7" x14ac:dyDescent="0.2">
      <c r="A85" s="423"/>
      <c r="B85" s="423" t="str">
        <f>ASS!M12</f>
        <v xml:space="preserve">   TOTAL POWER PLANT EQUIPMENT, DUTIES &amp; VAT</v>
      </c>
      <c r="C85" s="431">
        <f>ASS!R12</f>
        <v>3300</v>
      </c>
      <c r="E85" s="449">
        <v>36762</v>
      </c>
      <c r="F85" s="423" t="s">
        <v>408</v>
      </c>
      <c r="G85" s="423"/>
    </row>
    <row r="86" spans="1:7" x14ac:dyDescent="0.2">
      <c r="A86" s="423"/>
      <c r="B86" s="423" t="str">
        <f>ASS!M13</f>
        <v xml:space="preserve">  Operations Mobilization</v>
      </c>
      <c r="C86" s="431">
        <f>ASS!R13</f>
        <v>0</v>
      </c>
      <c r="D86" s="423"/>
      <c r="E86" s="423"/>
      <c r="F86" s="423"/>
      <c r="G86" s="423"/>
    </row>
    <row r="87" spans="1:7" x14ac:dyDescent="0.2">
      <c r="A87" s="423"/>
      <c r="B87" s="423" t="str">
        <f>ASS!M14</f>
        <v xml:space="preserve">   TOTAL CONSTRUCTION COSTS</v>
      </c>
      <c r="C87" s="431">
        <f>ASS!R14</f>
        <v>0</v>
      </c>
      <c r="D87" s="423"/>
      <c r="E87" s="423"/>
      <c r="F87" s="423"/>
      <c r="G87" s="423"/>
    </row>
    <row r="88" spans="1:7" x14ac:dyDescent="0.2">
      <c r="A88" s="423"/>
      <c r="B88" s="423" t="str">
        <f>ASS!M15</f>
        <v xml:space="preserve">  Transmission Line</v>
      </c>
      <c r="C88" s="431">
        <f>ASS!R15</f>
        <v>0</v>
      </c>
      <c r="D88" s="423"/>
      <c r="E88" s="423"/>
      <c r="F88" s="423"/>
      <c r="G88" s="423"/>
    </row>
    <row r="89" spans="1:7" x14ac:dyDescent="0.2">
      <c r="A89" s="423"/>
      <c r="B89" s="423" t="str">
        <f>ASS!M16</f>
        <v xml:space="preserve">  Construction Costs</v>
      </c>
      <c r="C89" s="431">
        <f>ASS!R16</f>
        <v>8800</v>
      </c>
      <c r="E89" s="449">
        <v>36762</v>
      </c>
      <c r="F89" s="423" t="s">
        <v>408</v>
      </c>
      <c r="G89" s="423" t="s">
        <v>427</v>
      </c>
    </row>
    <row r="90" spans="1:7" x14ac:dyDescent="0.2">
      <c r="A90" s="423"/>
      <c r="B90" s="423" t="str">
        <f>ASS!M17</f>
        <v xml:space="preserve">  Transmission Mobilization</v>
      </c>
      <c r="C90" s="431">
        <f>ASS!R17</f>
        <v>0</v>
      </c>
      <c r="D90" s="423"/>
      <c r="E90" s="423"/>
      <c r="F90" s="423"/>
      <c r="G90" s="423"/>
    </row>
    <row r="91" spans="1:7" x14ac:dyDescent="0.2">
      <c r="A91" s="423"/>
      <c r="B91" s="423" t="str">
        <f>ASS!M18</f>
        <v xml:space="preserve">   TOTAL TRANSMISSION LINE COSTS</v>
      </c>
      <c r="C91" s="431">
        <f>ASS!R18</f>
        <v>8800</v>
      </c>
      <c r="E91" s="449">
        <v>36762</v>
      </c>
      <c r="F91" s="423" t="s">
        <v>408</v>
      </c>
      <c r="G91" s="423"/>
    </row>
    <row r="92" spans="1:7" x14ac:dyDescent="0.2">
      <c r="A92" s="423"/>
      <c r="B92" s="423" t="str">
        <f>ASS!M19</f>
        <v xml:space="preserve">  Mainline Pipe - 20"</v>
      </c>
      <c r="C92" s="431">
        <f>ASS!R19</f>
        <v>0</v>
      </c>
      <c r="D92" s="423"/>
      <c r="E92" s="423"/>
      <c r="F92" s="423"/>
      <c r="G92" s="423"/>
    </row>
    <row r="93" spans="1:7" x14ac:dyDescent="0.2">
      <c r="A93" s="423"/>
      <c r="B93" s="423" t="str">
        <f>ASS!M20</f>
        <v xml:space="preserve">  Lateral Pipe</v>
      </c>
      <c r="C93" s="431">
        <f>ASS!R20</f>
        <v>0</v>
      </c>
      <c r="D93" s="423"/>
      <c r="E93" s="423"/>
      <c r="F93" s="423"/>
      <c r="G93" s="423"/>
    </row>
    <row r="94" spans="1:7" x14ac:dyDescent="0.2">
      <c r="A94" s="423"/>
      <c r="B94" s="423" t="str">
        <f>ASS!M21</f>
        <v xml:space="preserve">  Pipeline Mobilization</v>
      </c>
      <c r="C94" s="431">
        <f>ASS!R21</f>
        <v>0</v>
      </c>
      <c r="D94" s="423"/>
      <c r="E94" s="423"/>
      <c r="F94" s="423"/>
      <c r="G94" s="423"/>
    </row>
    <row r="95" spans="1:7" x14ac:dyDescent="0.2">
      <c r="A95" s="423"/>
      <c r="B95" s="423" t="str">
        <f>ASS!M22</f>
        <v xml:space="preserve">   TOTAL PIPELINE COSTS</v>
      </c>
      <c r="C95" s="431">
        <f>ASS!R22</f>
        <v>0</v>
      </c>
      <c r="D95" s="423"/>
      <c r="E95" s="423"/>
      <c r="F95" s="423"/>
      <c r="G95" s="423"/>
    </row>
    <row r="96" spans="1:7" x14ac:dyDescent="0.2">
      <c r="A96" s="423"/>
      <c r="B96" s="423" t="str">
        <f>ASS!M23</f>
        <v xml:space="preserve">  IDC (Interest During Construction)</v>
      </c>
      <c r="C96" s="431">
        <f>ASS!R23</f>
        <v>0</v>
      </c>
      <c r="D96" s="423"/>
      <c r="E96" s="423"/>
      <c r="F96" s="423"/>
      <c r="G96" s="423"/>
    </row>
    <row r="97" spans="1:7" x14ac:dyDescent="0.2">
      <c r="A97" s="423"/>
      <c r="B97" s="423" t="str">
        <f>ASS!M24</f>
        <v xml:space="preserve">  Withholding Tax on IDC</v>
      </c>
      <c r="C97" s="431">
        <f>ASS!R24</f>
        <v>0</v>
      </c>
      <c r="D97" s="423"/>
      <c r="E97" s="423"/>
      <c r="F97" s="423"/>
      <c r="G97" s="423"/>
    </row>
    <row r="98" spans="1:7" x14ac:dyDescent="0.2">
      <c r="A98" s="423"/>
      <c r="B98" s="423" t="str">
        <f>ASS!M25</f>
        <v xml:space="preserve">  Financing Costs</v>
      </c>
      <c r="C98" s="431">
        <f>ASS!R25</f>
        <v>0</v>
      </c>
      <c r="D98" s="423"/>
      <c r="E98" s="423"/>
      <c r="F98" s="423"/>
      <c r="G98" s="423"/>
    </row>
    <row r="99" spans="1:7" x14ac:dyDescent="0.2">
      <c r="A99" s="423"/>
      <c r="B99" s="423" t="str">
        <f>ASS!M26</f>
        <v xml:space="preserve">  Misc Lenders' Expenses</v>
      </c>
      <c r="C99" s="431">
        <f>ASS!R26</f>
        <v>0</v>
      </c>
      <c r="D99" s="423"/>
      <c r="E99" s="423"/>
      <c r="F99" s="423"/>
      <c r="G99" s="423"/>
    </row>
    <row r="100" spans="1:7" x14ac:dyDescent="0.2">
      <c r="A100" s="423"/>
      <c r="B100" s="423" t="str">
        <f>ASS!M27</f>
        <v xml:space="preserve">  Bank Environmental Consultant</v>
      </c>
      <c r="C100" s="431">
        <f>ASS!R27</f>
        <v>0</v>
      </c>
      <c r="D100" s="423"/>
      <c r="E100" s="423"/>
      <c r="F100" s="423"/>
      <c r="G100" s="423"/>
    </row>
    <row r="101" spans="1:7" x14ac:dyDescent="0.2">
      <c r="A101" s="423"/>
      <c r="B101" s="423" t="str">
        <f>ASS!M28</f>
        <v xml:space="preserve">  Bank Independent Engineer</v>
      </c>
      <c r="C101" s="431">
        <f>ASS!R28</f>
        <v>0</v>
      </c>
      <c r="D101" s="423"/>
      <c r="E101" s="423"/>
      <c r="F101" s="423"/>
      <c r="G101" s="423"/>
    </row>
    <row r="102" spans="1:7" x14ac:dyDescent="0.2">
      <c r="A102" s="423"/>
      <c r="B102" s="423" t="str">
        <f>ASS!M29</f>
        <v xml:space="preserve">  Completion Bond</v>
      </c>
      <c r="C102" s="431">
        <f>ASS!R29</f>
        <v>0</v>
      </c>
      <c r="D102" s="423"/>
      <c r="E102" s="423"/>
      <c r="F102" s="423"/>
      <c r="G102" s="423"/>
    </row>
    <row r="103" spans="1:7" x14ac:dyDescent="0.2">
      <c r="A103" s="423"/>
      <c r="B103" s="423" t="str">
        <f>ASS!M30</f>
        <v xml:space="preserve">  Overheads</v>
      </c>
      <c r="C103" s="431">
        <f>ASS!R30</f>
        <v>0</v>
      </c>
      <c r="D103" s="423"/>
      <c r="E103" s="423"/>
      <c r="F103" s="423"/>
      <c r="G103" s="423"/>
    </row>
    <row r="104" spans="1:7" x14ac:dyDescent="0.2">
      <c r="A104" s="423"/>
      <c r="B104" s="423" t="str">
        <f>ASS!M31</f>
        <v xml:space="preserve">  Insurance -Builders Risk </v>
      </c>
      <c r="C104" s="431">
        <f>ASS!R31</f>
        <v>0</v>
      </c>
      <c r="D104" s="423"/>
      <c r="E104" s="423"/>
      <c r="F104" s="423"/>
      <c r="G104" s="423"/>
    </row>
    <row r="105" spans="1:7" x14ac:dyDescent="0.2">
      <c r="A105" s="423"/>
      <c r="B105" s="423" t="str">
        <f>ASS!M32</f>
        <v xml:space="preserve">  Permits &amp; Licenses</v>
      </c>
      <c r="C105" s="431">
        <f>ASS!R32</f>
        <v>0</v>
      </c>
      <c r="D105" s="423"/>
      <c r="E105" s="423"/>
      <c r="F105" s="423"/>
      <c r="G105" s="423"/>
    </row>
    <row r="106" spans="1:7" x14ac:dyDescent="0.2">
      <c r="A106" s="423"/>
      <c r="B106" s="423" t="str">
        <f>ASS!M33</f>
        <v xml:space="preserve">  Legal Fees </v>
      </c>
      <c r="C106" s="431">
        <f>ASS!R33</f>
        <v>0</v>
      </c>
      <c r="D106" s="423"/>
      <c r="E106" s="423"/>
      <c r="F106" s="423"/>
      <c r="G106" s="423"/>
    </row>
    <row r="107" spans="1:7" x14ac:dyDescent="0.2">
      <c r="A107" s="423"/>
      <c r="B107" s="423" t="str">
        <f>ASS!M34</f>
        <v xml:space="preserve">   TOTAL THIRD PARTY DEVMT/FINANCING COSTS</v>
      </c>
      <c r="C107" s="431">
        <f>ASS!R34</f>
        <v>0</v>
      </c>
      <c r="D107" s="423"/>
      <c r="E107" s="423"/>
      <c r="F107" s="423"/>
      <c r="G107" s="423"/>
    </row>
    <row r="108" spans="1:7" x14ac:dyDescent="0.2">
      <c r="A108" s="423"/>
      <c r="B108" s="423" t="str">
        <f>ASS!M35</f>
        <v xml:space="preserve">  Development Fees</v>
      </c>
      <c r="C108" s="431">
        <f>ASS!R35</f>
        <v>0</v>
      </c>
      <c r="D108" s="423"/>
      <c r="E108" s="423"/>
      <c r="F108" s="423"/>
      <c r="G108" s="423"/>
    </row>
    <row r="109" spans="1:7" x14ac:dyDescent="0.2">
      <c r="A109" s="423"/>
      <c r="B109" s="423" t="str">
        <f>ASS!M36</f>
        <v xml:space="preserve">  Development Costs</v>
      </c>
      <c r="C109" s="431">
        <f>ASS!R36</f>
        <v>0</v>
      </c>
      <c r="D109" s="423"/>
      <c r="E109" s="423"/>
      <c r="F109" s="423"/>
      <c r="G109" s="423"/>
    </row>
    <row r="110" spans="1:7" x14ac:dyDescent="0.2">
      <c r="A110" s="423"/>
      <c r="B110" s="423" t="str">
        <f>ASS!M37</f>
        <v xml:space="preserve">  Financial Advisor</v>
      </c>
      <c r="C110" s="431">
        <f>ASS!R37</f>
        <v>0</v>
      </c>
      <c r="D110" s="423"/>
      <c r="E110" s="423"/>
      <c r="F110" s="423"/>
      <c r="G110" s="423"/>
    </row>
    <row r="111" spans="1:7" x14ac:dyDescent="0.2">
      <c r="A111" s="423"/>
      <c r="B111" s="423" t="str">
        <f>ASS!M38</f>
        <v xml:space="preserve">  Profit</v>
      </c>
      <c r="C111" s="431">
        <f>ASS!R38</f>
        <v>0</v>
      </c>
      <c r="D111" s="423"/>
      <c r="E111" s="423"/>
      <c r="F111" s="423"/>
      <c r="G111" s="423"/>
    </row>
    <row r="112" spans="1:7" x14ac:dyDescent="0.2">
      <c r="A112" s="423"/>
      <c r="B112" s="423" t="str">
        <f>ASS!M39</f>
        <v xml:space="preserve">  Commission &amp; Startup (Operator)</v>
      </c>
      <c r="C112" s="431">
        <f>ASS!R39</f>
        <v>0</v>
      </c>
      <c r="D112" s="423"/>
      <c r="E112" s="423"/>
      <c r="F112" s="423"/>
      <c r="G112" s="423"/>
    </row>
    <row r="113" spans="1:7" x14ac:dyDescent="0.2">
      <c r="A113" s="423"/>
      <c r="B113" s="423" t="str">
        <f>ASS!M40</f>
        <v xml:space="preserve">   TOTAL ENRON COSTS</v>
      </c>
      <c r="C113" s="431">
        <f>ASS!R40</f>
        <v>0</v>
      </c>
      <c r="D113" s="423"/>
      <c r="E113" s="423"/>
      <c r="F113" s="423"/>
      <c r="G113" s="423"/>
    </row>
    <row r="114" spans="1:7" x14ac:dyDescent="0.2">
      <c r="A114" s="423"/>
      <c r="B114" s="423" t="str">
        <f>ASS!M41</f>
        <v xml:space="preserve">  Vendor Reps</v>
      </c>
      <c r="C114" s="431">
        <f>ASS!R41</f>
        <v>0</v>
      </c>
      <c r="D114" s="423"/>
      <c r="E114" s="423"/>
      <c r="F114" s="423"/>
      <c r="G114" s="423"/>
    </row>
    <row r="115" spans="1:7" x14ac:dyDescent="0.2">
      <c r="A115" s="423"/>
      <c r="B115" s="423" t="str">
        <f>ASS!M42</f>
        <v xml:space="preserve">  Owner's Engineer Services</v>
      </c>
      <c r="C115" s="431">
        <f>ASS!R42</f>
        <v>0</v>
      </c>
      <c r="D115" s="423"/>
      <c r="E115" s="423"/>
      <c r="F115" s="423"/>
      <c r="G115" s="423"/>
    </row>
    <row r="116" spans="1:7" x14ac:dyDescent="0.2">
      <c r="A116" s="423"/>
      <c r="B116" s="423" t="str">
        <f>ASS!M43</f>
        <v xml:space="preserve">   TOTAL TURNKEY OTHER COSTS</v>
      </c>
      <c r="C116" s="431">
        <f>ASS!R43</f>
        <v>0</v>
      </c>
      <c r="D116" s="423"/>
      <c r="E116" s="423"/>
      <c r="F116" s="423"/>
      <c r="G116" s="423"/>
    </row>
    <row r="117" spans="1:7" x14ac:dyDescent="0.2">
      <c r="A117" s="423"/>
      <c r="B117" s="423" t="str">
        <f>ASS!M44</f>
        <v xml:space="preserve">  Working Capital</v>
      </c>
      <c r="C117" s="431">
        <f>ASS!R44</f>
        <v>0</v>
      </c>
      <c r="D117" s="423"/>
      <c r="E117" s="423"/>
      <c r="F117" s="423"/>
      <c r="G117" s="423"/>
    </row>
    <row r="118" spans="1:7" x14ac:dyDescent="0.2">
      <c r="A118" s="423"/>
      <c r="B118" s="423" t="str">
        <f>ASS!M45</f>
        <v>Spare Parts</v>
      </c>
      <c r="C118" s="431">
        <f>ASS!R45</f>
        <v>0</v>
      </c>
      <c r="D118" s="423"/>
      <c r="E118" s="423"/>
      <c r="F118" s="423"/>
      <c r="G118" s="423"/>
    </row>
    <row r="119" spans="1:7" x14ac:dyDescent="0.2">
      <c r="A119" s="423"/>
      <c r="B119" s="423" t="str">
        <f>ASS!M46</f>
        <v>Other Costs</v>
      </c>
      <c r="C119" s="431">
        <f>ASS!R46</f>
        <v>900</v>
      </c>
      <c r="E119" s="449">
        <v>36762</v>
      </c>
      <c r="F119" s="423" t="s">
        <v>408</v>
      </c>
      <c r="G119" s="423" t="s">
        <v>428</v>
      </c>
    </row>
    <row r="120" spans="1:7" x14ac:dyDescent="0.2">
      <c r="A120" s="423"/>
      <c r="B120" s="423" t="str">
        <f>ASS!M47</f>
        <v xml:space="preserve">   TOTAL OTHER COSTS</v>
      </c>
      <c r="C120" s="431">
        <f>ASS!R47</f>
        <v>900</v>
      </c>
      <c r="E120" s="449">
        <v>36762</v>
      </c>
      <c r="F120" s="423" t="s">
        <v>408</v>
      </c>
      <c r="G120" s="423" t="s">
        <v>428</v>
      </c>
    </row>
    <row r="121" spans="1:7" x14ac:dyDescent="0.2">
      <c r="A121" s="423"/>
      <c r="B121" s="423" t="str">
        <f>ASS!M48</f>
        <v xml:space="preserve">  Contingency - Material &amp; Labor</v>
      </c>
      <c r="C121" s="431">
        <f>ASS!R48</f>
        <v>500</v>
      </c>
      <c r="E121" s="449">
        <v>36774</v>
      </c>
      <c r="F121" s="423" t="s">
        <v>407</v>
      </c>
      <c r="G121" s="423"/>
    </row>
    <row r="122" spans="1:7" x14ac:dyDescent="0.2">
      <c r="A122" s="423"/>
      <c r="B122" s="423" t="str">
        <f>ASS!M49</f>
        <v xml:space="preserve">  Contingency -Distribution Service to New Sub</v>
      </c>
      <c r="C122" s="431">
        <f>ASS!R49</f>
        <v>100</v>
      </c>
      <c r="E122" s="449">
        <v>36775</v>
      </c>
      <c r="F122" s="423" t="s">
        <v>407</v>
      </c>
      <c r="G122" s="423"/>
    </row>
    <row r="123" spans="1:7" x14ac:dyDescent="0.2">
      <c r="A123" s="423"/>
      <c r="B123" s="423" t="str">
        <f>ASS!M50</f>
        <v xml:space="preserve">  Contingency -</v>
      </c>
      <c r="C123" s="431">
        <f>ASS!R50</f>
        <v>0</v>
      </c>
      <c r="D123" s="423"/>
      <c r="E123" s="423"/>
      <c r="F123" s="423"/>
      <c r="G123" s="423"/>
    </row>
    <row r="124" spans="1:7" x14ac:dyDescent="0.2">
      <c r="A124" s="423"/>
      <c r="B124" s="423" t="str">
        <f>ASS!M51</f>
        <v xml:space="preserve">   TOTAL CONTINGENCY</v>
      </c>
      <c r="C124" s="431">
        <f>ASS!R51</f>
        <v>600</v>
      </c>
      <c r="D124" s="423"/>
      <c r="E124" s="423"/>
      <c r="F124" s="423"/>
      <c r="G124" s="423"/>
    </row>
    <row r="125" spans="1:7" ht="13.5" thickBot="1" x14ac:dyDescent="0.25">
      <c r="A125" s="424"/>
      <c r="B125" s="424" t="str">
        <f>ASS!M52</f>
        <v xml:space="preserve">   TOTAL PROJECT COSTS</v>
      </c>
      <c r="C125" s="432">
        <f>ASS!R52</f>
        <v>13600</v>
      </c>
      <c r="D125" s="424"/>
      <c r="E125" s="424"/>
      <c r="F125" s="424"/>
      <c r="G125" s="424" t="s">
        <v>432</v>
      </c>
    </row>
    <row r="126" spans="1:7" ht="13.5" thickBot="1" x14ac:dyDescent="0.25"/>
    <row r="127" spans="1:7" x14ac:dyDescent="0.2">
      <c r="A127" s="425" t="str">
        <f>ASS!T7</f>
        <v>Project and Enron Economics ($000)</v>
      </c>
      <c r="B127" s="422"/>
      <c r="C127" s="412"/>
      <c r="D127" s="422"/>
      <c r="E127" s="422"/>
      <c r="F127" s="422"/>
      <c r="G127" s="422"/>
    </row>
    <row r="128" spans="1:7" x14ac:dyDescent="0.2">
      <c r="A128" s="423"/>
      <c r="B128" s="434" t="s">
        <v>10</v>
      </c>
      <c r="C128" s="447">
        <f>DISC</f>
        <v>0.1</v>
      </c>
      <c r="E128" s="449">
        <v>36762</v>
      </c>
      <c r="F128" s="423" t="s">
        <v>408</v>
      </c>
      <c r="G128" s="423"/>
    </row>
    <row r="129" spans="1:7" x14ac:dyDescent="0.2">
      <c r="A129" s="423"/>
      <c r="B129" s="434" t="str">
        <f>ASS!T10</f>
        <v>Target IRR</v>
      </c>
      <c r="C129" s="447">
        <f>DISC</f>
        <v>0.1</v>
      </c>
      <c r="E129" s="449">
        <v>36762</v>
      </c>
      <c r="F129" s="423" t="s">
        <v>408</v>
      </c>
      <c r="G129" s="423" t="s">
        <v>429</v>
      </c>
    </row>
    <row r="130" spans="1:7" x14ac:dyDescent="0.2">
      <c r="A130" s="423"/>
      <c r="B130" s="434" t="s">
        <v>2</v>
      </c>
      <c r="C130" s="447">
        <f>IRR</f>
        <v>9.9473024649200534E-2</v>
      </c>
      <c r="D130" s="423"/>
      <c r="E130" s="423"/>
      <c r="F130" s="423"/>
      <c r="G130" s="423"/>
    </row>
    <row r="131" spans="1:7" x14ac:dyDescent="0.2">
      <c r="A131" s="423"/>
      <c r="B131" s="434" t="s">
        <v>403</v>
      </c>
      <c r="C131" s="447">
        <f>NPV</f>
        <v>-17.213694429614407</v>
      </c>
      <c r="D131" s="423"/>
      <c r="E131" s="423"/>
      <c r="F131" s="423"/>
      <c r="G131" s="423"/>
    </row>
    <row r="132" spans="1:7" x14ac:dyDescent="0.2">
      <c r="A132" s="423"/>
      <c r="B132" s="423" t="s">
        <v>3</v>
      </c>
      <c r="C132" s="447">
        <f>ASS!W12</f>
        <v>9.9473024649200534E-2</v>
      </c>
      <c r="D132" s="423"/>
      <c r="E132" s="423"/>
      <c r="F132" s="423"/>
      <c r="G132" s="423"/>
    </row>
    <row r="133" spans="1:7" x14ac:dyDescent="0.2">
      <c r="A133" s="423"/>
      <c r="B133" s="434" t="s">
        <v>404</v>
      </c>
      <c r="C133" s="447">
        <f>ASS!X12</f>
        <v>-17.213694429614407</v>
      </c>
      <c r="D133" s="423"/>
      <c r="E133" s="423"/>
      <c r="F133" s="423"/>
      <c r="G133" s="423"/>
    </row>
    <row r="134" spans="1:7" ht="13.5" thickBot="1" x14ac:dyDescent="0.25">
      <c r="A134" s="424"/>
      <c r="B134" s="435" t="str">
        <f>ASS!T13</f>
        <v>TOTAL PARTNERS</v>
      </c>
      <c r="C134" s="448">
        <f>ASS!G83</f>
        <v>0</v>
      </c>
      <c r="D134" s="424"/>
      <c r="E134" s="424"/>
      <c r="F134" s="424"/>
      <c r="G134" s="424"/>
    </row>
    <row r="135" spans="1:7" ht="13.5" thickBot="1" x14ac:dyDescent="0.25"/>
    <row r="136" spans="1:7" x14ac:dyDescent="0.2">
      <c r="A136" s="425" t="str">
        <f>ASS!T17</f>
        <v>Financing</v>
      </c>
      <c r="B136" s="412"/>
      <c r="C136" s="412"/>
      <c r="D136" s="422"/>
      <c r="E136" s="422"/>
      <c r="F136" s="422"/>
      <c r="G136" s="422"/>
    </row>
    <row r="137" spans="1:7" x14ac:dyDescent="0.2">
      <c r="A137" s="426"/>
      <c r="B137" s="434" t="str">
        <f>ASS!T20</f>
        <v xml:space="preserve">   Debt</v>
      </c>
      <c r="C137" s="427">
        <f>DEBTPERC</f>
        <v>0</v>
      </c>
      <c r="D137" s="423"/>
      <c r="E137" s="449">
        <v>36762</v>
      </c>
      <c r="F137" s="423" t="s">
        <v>408</v>
      </c>
      <c r="G137" s="423"/>
    </row>
    <row r="138" spans="1:7" x14ac:dyDescent="0.2">
      <c r="A138" s="426"/>
      <c r="B138" s="434" t="str">
        <f>ASS!T21</f>
        <v xml:space="preserve">   Equity</v>
      </c>
      <c r="C138" s="427">
        <f>equityperc</f>
        <v>1</v>
      </c>
      <c r="D138" s="423"/>
      <c r="E138" s="449">
        <v>36762</v>
      </c>
      <c r="F138" s="423" t="s">
        <v>408</v>
      </c>
      <c r="G138" s="423"/>
    </row>
    <row r="139" spans="1:7" x14ac:dyDescent="0.2">
      <c r="A139" s="426"/>
      <c r="B139" s="434" t="str">
        <f>ASS!T22</f>
        <v xml:space="preserve">   Total Investment</v>
      </c>
      <c r="C139" s="427"/>
      <c r="D139" s="423"/>
      <c r="E139" s="449">
        <v>36762</v>
      </c>
      <c r="F139" s="423" t="s">
        <v>408</v>
      </c>
      <c r="G139" s="423"/>
    </row>
    <row r="140" spans="1:7" x14ac:dyDescent="0.2">
      <c r="A140" s="426"/>
      <c r="B140" s="434" t="str">
        <f>ASS!T24</f>
        <v>Interest Rate</v>
      </c>
      <c r="C140" s="428">
        <f>ASS!V24</f>
        <v>0</v>
      </c>
      <c r="D140" s="423"/>
      <c r="E140" s="449">
        <v>36762</v>
      </c>
      <c r="F140" s="423" t="s">
        <v>408</v>
      </c>
      <c r="G140" s="423"/>
    </row>
    <row r="141" spans="1:7" x14ac:dyDescent="0.2">
      <c r="A141" s="426"/>
      <c r="B141" s="434" t="str">
        <f>ASS!T25</f>
        <v>Dividend Rate</v>
      </c>
      <c r="C141" s="428">
        <f>ASS!V25</f>
        <v>0</v>
      </c>
      <c r="D141" s="423"/>
      <c r="E141" s="449">
        <v>36762</v>
      </c>
      <c r="F141" s="423" t="s">
        <v>408</v>
      </c>
      <c r="G141" s="423"/>
    </row>
    <row r="142" spans="1:7" ht="13.5" thickBot="1" x14ac:dyDescent="0.25">
      <c r="A142" s="413"/>
      <c r="B142" s="435" t="str">
        <f>ASS!T26</f>
        <v>New additions</v>
      </c>
      <c r="C142" s="440">
        <f>ASS!V26</f>
        <v>0</v>
      </c>
      <c r="D142" s="424"/>
      <c r="E142" s="450">
        <v>36762</v>
      </c>
      <c r="F142" s="424" t="s">
        <v>408</v>
      </c>
      <c r="G142" s="424"/>
    </row>
    <row r="143" spans="1:7" ht="13.5" thickBot="1" x14ac:dyDescent="0.25"/>
    <row r="144" spans="1:7" x14ac:dyDescent="0.2">
      <c r="A144" s="425" t="str">
        <f>ASS!T28</f>
        <v>Revenue Analysis</v>
      </c>
      <c r="B144" s="412"/>
      <c r="C144" s="412"/>
      <c r="D144" s="422"/>
      <c r="E144" s="422"/>
      <c r="F144" s="422"/>
      <c r="G144" s="422"/>
    </row>
    <row r="145" spans="1:7" x14ac:dyDescent="0.2">
      <c r="A145" s="423"/>
      <c r="B145" s="434" t="s">
        <v>405</v>
      </c>
      <c r="C145" s="427" t="str">
        <f>ASS!U29</f>
        <v>Year 2001</v>
      </c>
      <c r="D145" s="423"/>
      <c r="E145" s="449">
        <v>36762</v>
      </c>
      <c r="F145" s="423" t="s">
        <v>408</v>
      </c>
      <c r="G145" s="423" t="s">
        <v>430</v>
      </c>
    </row>
    <row r="146" spans="1:7" x14ac:dyDescent="0.2">
      <c r="A146" s="423"/>
      <c r="B146" s="434" t="str">
        <f>ASS!T30</f>
        <v>Forward Curve ($/MWh)</v>
      </c>
      <c r="C146" s="427">
        <f>ASS!U30</f>
        <v>120</v>
      </c>
      <c r="D146" s="423"/>
      <c r="E146" s="449">
        <v>36762</v>
      </c>
      <c r="F146" s="423" t="s">
        <v>408</v>
      </c>
      <c r="G146" s="423"/>
    </row>
    <row r="147" spans="1:7" x14ac:dyDescent="0.2">
      <c r="A147" s="423"/>
      <c r="B147" s="434" t="str">
        <f>ASS!T31</f>
        <v>Days w/o transmission from TVA to SOCO</v>
      </c>
      <c r="C147" s="427">
        <f>ASS!U31</f>
        <v>20</v>
      </c>
      <c r="D147" s="423"/>
      <c r="E147" s="449">
        <v>36762</v>
      </c>
      <c r="F147" s="423" t="s">
        <v>408</v>
      </c>
      <c r="G147" s="423"/>
    </row>
    <row r="148" spans="1:7" x14ac:dyDescent="0.2">
      <c r="A148" s="423"/>
      <c r="B148" s="434" t="str">
        <f>ASS!T32</f>
        <v>Peaker Hours</v>
      </c>
      <c r="C148" s="427">
        <f>ASS!U32</f>
        <v>16</v>
      </c>
      <c r="D148" s="423"/>
      <c r="E148" s="449">
        <v>36762</v>
      </c>
      <c r="F148" s="423" t="s">
        <v>408</v>
      </c>
      <c r="G148" s="423"/>
    </row>
    <row r="149" spans="1:7" x14ac:dyDescent="0.2">
      <c r="A149" s="423"/>
      <c r="B149" s="434" t="str">
        <f>ASS!T33</f>
        <v>SOCO premium over TVA ($ in 10 x 3)</v>
      </c>
      <c r="C149" s="427">
        <f>ASS!U33</f>
        <v>0.02</v>
      </c>
      <c r="D149" s="423"/>
      <c r="E149" s="449">
        <v>36762</v>
      </c>
      <c r="F149" s="423" t="s">
        <v>408</v>
      </c>
      <c r="G149" s="423"/>
    </row>
    <row r="150" spans="1:7" x14ac:dyDescent="0.2">
      <c r="A150" s="423"/>
      <c r="B150" s="434" t="str">
        <f>ASS!T34</f>
        <v>Decrease TVA Transmission Cost (in 000's)</v>
      </c>
      <c r="C150" s="427">
        <f>ASS!U34</f>
        <v>3300</v>
      </c>
      <c r="D150" s="423"/>
      <c r="E150" s="449">
        <v>36762</v>
      </c>
      <c r="F150" s="423" t="s">
        <v>408</v>
      </c>
      <c r="G150" s="423"/>
    </row>
    <row r="151" spans="1:7" x14ac:dyDescent="0.2">
      <c r="A151" s="423"/>
      <c r="B151" s="434" t="str">
        <f>ASS!T35</f>
        <v>Decrease Transmission Losses to TVA (in 000's)</v>
      </c>
      <c r="C151" s="427">
        <f>ASS!U35</f>
        <v>600</v>
      </c>
      <c r="D151" s="423"/>
      <c r="E151" s="449">
        <v>36762</v>
      </c>
      <c r="F151" s="423" t="s">
        <v>408</v>
      </c>
      <c r="G151" s="423"/>
    </row>
    <row r="152" spans="1:7" x14ac:dyDescent="0.2">
      <c r="A152" s="423"/>
      <c r="B152" s="434" t="s">
        <v>405</v>
      </c>
      <c r="C152" s="428" t="str">
        <f>ASS!V29</f>
        <v>Year 2002</v>
      </c>
      <c r="D152" s="423"/>
      <c r="E152" s="449">
        <v>36762</v>
      </c>
      <c r="F152" s="423" t="s">
        <v>408</v>
      </c>
      <c r="G152" s="423"/>
    </row>
    <row r="153" spans="1:7" x14ac:dyDescent="0.2">
      <c r="A153" s="423"/>
      <c r="B153" s="434" t="str">
        <f t="shared" ref="B153:B165" si="0">B146</f>
        <v>Forward Curve ($/MWh)</v>
      </c>
      <c r="C153" s="436">
        <f>ASS!V30</f>
        <v>93</v>
      </c>
      <c r="D153" s="423"/>
      <c r="E153" s="449">
        <v>36762</v>
      </c>
      <c r="F153" s="423" t="s">
        <v>408</v>
      </c>
      <c r="G153" s="423"/>
    </row>
    <row r="154" spans="1:7" x14ac:dyDescent="0.2">
      <c r="A154" s="423"/>
      <c r="B154" s="434" t="str">
        <f t="shared" si="0"/>
        <v>Days w/o transmission from TVA to SOCO</v>
      </c>
      <c r="C154" s="436">
        <f>ASS!V31</f>
        <v>20</v>
      </c>
      <c r="D154" s="423"/>
      <c r="E154" s="449">
        <v>36762</v>
      </c>
      <c r="F154" s="423" t="s">
        <v>408</v>
      </c>
      <c r="G154" s="423"/>
    </row>
    <row r="155" spans="1:7" x14ac:dyDescent="0.2">
      <c r="A155" s="423"/>
      <c r="B155" s="434" t="str">
        <f t="shared" si="0"/>
        <v>Peaker Hours</v>
      </c>
      <c r="C155" s="436">
        <f>ASS!V32</f>
        <v>16</v>
      </c>
      <c r="D155" s="423"/>
      <c r="E155" s="449">
        <v>36762</v>
      </c>
      <c r="F155" s="423" t="s">
        <v>408</v>
      </c>
      <c r="G155" s="423"/>
    </row>
    <row r="156" spans="1:7" x14ac:dyDescent="0.2">
      <c r="A156" s="423"/>
      <c r="B156" s="434" t="str">
        <f t="shared" si="0"/>
        <v>SOCO premium over TVA ($ in 10 x 3)</v>
      </c>
      <c r="C156" s="436">
        <f>ASS!V33</f>
        <v>1.4999999999999999E-2</v>
      </c>
      <c r="D156" s="423"/>
      <c r="E156" s="449">
        <v>36762</v>
      </c>
      <c r="F156" s="423" t="s">
        <v>408</v>
      </c>
      <c r="G156" s="423"/>
    </row>
    <row r="157" spans="1:7" x14ac:dyDescent="0.2">
      <c r="A157" s="423"/>
      <c r="B157" s="434" t="str">
        <f t="shared" si="0"/>
        <v>Decrease TVA Transmission Cost (in 000's)</v>
      </c>
      <c r="C157" s="436">
        <f>ASS!V34</f>
        <v>3300</v>
      </c>
      <c r="D157" s="423"/>
      <c r="E157" s="449">
        <v>36762</v>
      </c>
      <c r="F157" s="423" t="s">
        <v>408</v>
      </c>
      <c r="G157" s="423"/>
    </row>
    <row r="158" spans="1:7" x14ac:dyDescent="0.2">
      <c r="A158" s="423"/>
      <c r="B158" s="434" t="str">
        <f t="shared" si="0"/>
        <v>Decrease Transmission Losses to TVA (in 000's)</v>
      </c>
      <c r="C158" s="436">
        <f>ASS!V35</f>
        <v>500</v>
      </c>
      <c r="D158" s="423"/>
      <c r="E158" s="449">
        <v>36762</v>
      </c>
      <c r="F158" s="423" t="s">
        <v>408</v>
      </c>
      <c r="G158" s="423"/>
    </row>
    <row r="159" spans="1:7" x14ac:dyDescent="0.2">
      <c r="A159" s="423"/>
      <c r="B159" s="434" t="str">
        <f t="shared" si="0"/>
        <v xml:space="preserve">Year </v>
      </c>
      <c r="C159" s="428" t="str">
        <f>ASS!W29</f>
        <v>Year 2003</v>
      </c>
      <c r="D159" s="423"/>
      <c r="E159" s="449">
        <v>36762</v>
      </c>
      <c r="F159" s="423" t="s">
        <v>408</v>
      </c>
      <c r="G159" s="423"/>
    </row>
    <row r="160" spans="1:7" x14ac:dyDescent="0.2">
      <c r="A160" s="423"/>
      <c r="B160" s="434" t="str">
        <f t="shared" si="0"/>
        <v>Forward Curve ($/MWh)</v>
      </c>
      <c r="C160" s="436">
        <f>ASS!W30</f>
        <v>80</v>
      </c>
      <c r="D160" s="423"/>
      <c r="E160" s="449">
        <v>36762</v>
      </c>
      <c r="F160" s="423" t="s">
        <v>408</v>
      </c>
      <c r="G160" s="423"/>
    </row>
    <row r="161" spans="1:7" x14ac:dyDescent="0.2">
      <c r="A161" s="423"/>
      <c r="B161" s="434" t="str">
        <f t="shared" si="0"/>
        <v>Days w/o transmission from TVA to SOCO</v>
      </c>
      <c r="C161" s="436">
        <f>ASS!W31</f>
        <v>20</v>
      </c>
      <c r="D161" s="423"/>
      <c r="E161" s="449">
        <v>36762</v>
      </c>
      <c r="F161" s="423" t="s">
        <v>408</v>
      </c>
      <c r="G161" s="423"/>
    </row>
    <row r="162" spans="1:7" x14ac:dyDescent="0.2">
      <c r="A162" s="423"/>
      <c r="B162" s="434" t="str">
        <f t="shared" si="0"/>
        <v>Peaker Hours</v>
      </c>
      <c r="C162" s="436">
        <f>ASS!W32</f>
        <v>16</v>
      </c>
      <c r="D162" s="423"/>
      <c r="E162" s="449">
        <v>36762</v>
      </c>
      <c r="F162" s="423" t="s">
        <v>408</v>
      </c>
      <c r="G162" s="423"/>
    </row>
    <row r="163" spans="1:7" x14ac:dyDescent="0.2">
      <c r="A163" s="423"/>
      <c r="B163" s="434" t="str">
        <f t="shared" si="0"/>
        <v>SOCO premium over TVA ($ in 10 x 3)</v>
      </c>
      <c r="C163" s="436">
        <f>ASS!W33</f>
        <v>0.01</v>
      </c>
      <c r="D163" s="423"/>
      <c r="E163" s="449">
        <v>36762</v>
      </c>
      <c r="F163" s="423" t="s">
        <v>408</v>
      </c>
      <c r="G163" s="423"/>
    </row>
    <row r="164" spans="1:7" x14ac:dyDescent="0.2">
      <c r="A164" s="423"/>
      <c r="B164" s="434" t="str">
        <f t="shared" si="0"/>
        <v>Decrease TVA Transmission Cost (in 000's)</v>
      </c>
      <c r="C164" s="436">
        <f>ASS!W34</f>
        <v>3300</v>
      </c>
      <c r="D164" s="423"/>
      <c r="E164" s="449">
        <v>36762</v>
      </c>
      <c r="F164" s="423" t="s">
        <v>408</v>
      </c>
      <c r="G164" s="423"/>
    </row>
    <row r="165" spans="1:7" ht="13.5" thickBot="1" x14ac:dyDescent="0.25">
      <c r="A165" s="424"/>
      <c r="B165" s="435" t="str">
        <f t="shared" si="0"/>
        <v>Decrease Transmission Losses to TVA (in 000's)</v>
      </c>
      <c r="C165" s="437">
        <f>ASS!W35</f>
        <v>400</v>
      </c>
      <c r="D165" s="424"/>
      <c r="E165" s="450">
        <v>36762</v>
      </c>
      <c r="F165" s="424" t="s">
        <v>408</v>
      </c>
      <c r="G165" s="424"/>
    </row>
    <row r="166" spans="1:7" ht="13.5" thickBot="1" x14ac:dyDescent="0.25"/>
    <row r="167" spans="1:7" x14ac:dyDescent="0.2">
      <c r="A167" s="425" t="s">
        <v>364</v>
      </c>
      <c r="B167" s="412"/>
      <c r="C167" s="411"/>
      <c r="D167" s="422"/>
      <c r="E167" s="422"/>
      <c r="F167" s="422"/>
      <c r="G167" s="422"/>
    </row>
    <row r="168" spans="1:7" x14ac:dyDescent="0.2">
      <c r="A168" s="423"/>
      <c r="B168" s="438">
        <f>ASS!T40</f>
        <v>36739</v>
      </c>
      <c r="C168" s="429">
        <f>ASS!U40</f>
        <v>3.1E-2</v>
      </c>
      <c r="D168" s="423"/>
      <c r="E168" s="449">
        <v>36762</v>
      </c>
      <c r="F168" s="423" t="s">
        <v>408</v>
      </c>
      <c r="G168" s="423" t="s">
        <v>431</v>
      </c>
    </row>
    <row r="169" spans="1:7" x14ac:dyDescent="0.2">
      <c r="A169" s="423"/>
      <c r="B169" s="438">
        <f>ASS!T41</f>
        <v>36770</v>
      </c>
      <c r="C169" s="429">
        <f>ASS!U41</f>
        <v>0.20499999999999999</v>
      </c>
      <c r="D169" s="423"/>
      <c r="E169" s="449">
        <v>36762</v>
      </c>
      <c r="F169" s="423" t="s">
        <v>408</v>
      </c>
      <c r="G169" s="423"/>
    </row>
    <row r="170" spans="1:7" x14ac:dyDescent="0.2">
      <c r="A170" s="423"/>
      <c r="B170" s="438">
        <f>ASS!T42</f>
        <v>36800</v>
      </c>
      <c r="C170" s="429">
        <f>ASS!U42</f>
        <v>0</v>
      </c>
      <c r="D170" s="423"/>
      <c r="E170" s="449">
        <v>36762</v>
      </c>
      <c r="F170" s="423" t="s">
        <v>408</v>
      </c>
      <c r="G170" s="423"/>
    </row>
    <row r="171" spans="1:7" x14ac:dyDescent="0.2">
      <c r="A171" s="423"/>
      <c r="B171" s="438">
        <f>ASS!T43</f>
        <v>36831</v>
      </c>
      <c r="C171" s="429">
        <f>ASS!U43</f>
        <v>6.3E-2</v>
      </c>
      <c r="D171" s="423"/>
      <c r="E171" s="449">
        <v>36762</v>
      </c>
      <c r="F171" s="423" t="s">
        <v>408</v>
      </c>
      <c r="G171" s="423"/>
    </row>
    <row r="172" spans="1:7" x14ac:dyDescent="0.2">
      <c r="A172" s="423"/>
      <c r="B172" s="438">
        <f>ASS!T44</f>
        <v>36861</v>
      </c>
      <c r="C172" s="429">
        <f>ASS!U44</f>
        <v>0.7</v>
      </c>
      <c r="D172" s="423"/>
      <c r="E172" s="449">
        <v>36762</v>
      </c>
      <c r="F172" s="423" t="s">
        <v>408</v>
      </c>
      <c r="G172" s="423"/>
    </row>
    <row r="173" spans="1:7" ht="13.5" thickBot="1" x14ac:dyDescent="0.25">
      <c r="A173" s="424"/>
      <c r="B173" s="439">
        <f>ASS!T45</f>
        <v>36892</v>
      </c>
      <c r="C173" s="430">
        <f>ASS!U45</f>
        <v>0</v>
      </c>
      <c r="D173" s="424"/>
      <c r="E173" s="450">
        <v>36762</v>
      </c>
      <c r="F173" s="424" t="s">
        <v>408</v>
      </c>
      <c r="G173" s="424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2" workbookViewId="0">
      <selection activeCell="I14" sqref="I14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IF(ABS(SUM(BS_IS!F36:L36))&lt;0.01," ","WARNING:  BALANCE SHEET IS NOT BALANCED")</f>
        <v xml:space="preserve"> </v>
      </c>
      <c r="H4"/>
      <c r="J4" s="77" t="str">
        <f>IF(ABS(RETURNS!J7+EQUITY)&lt;0.1," ","WARNING:  EQUITY DISTRIBUTED IN THE RETURNS CALC DOES NOT EQUAL TOTAL EQUITY")</f>
        <v xml:space="preserve"> 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321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">
      <c r="A9" s="86" t="s">
        <v>16</v>
      </c>
      <c r="B9" s="49"/>
      <c r="C9" s="49"/>
      <c r="D9" s="247">
        <v>1</v>
      </c>
      <c r="E9" s="87"/>
      <c r="G9" s="86" t="s">
        <v>330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9.9473024649200534E-2</v>
      </c>
      <c r="X9" s="92">
        <f>RETURNS!D14</f>
        <v>-17.213694429614407</v>
      </c>
      <c r="Z9" s="327"/>
      <c r="AA9" s="327"/>
      <c r="AC9" s="49"/>
      <c r="AD9" s="49"/>
      <c r="AE9" s="127"/>
      <c r="AF9" s="127"/>
      <c r="AG9" s="328"/>
    </row>
    <row r="10" spans="1:33" ht="13.5" thickBot="1" x14ac:dyDescent="0.25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5" thickBot="1" x14ac:dyDescent="0.25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5" thickBot="1" x14ac:dyDescent="0.25">
      <c r="A12" s="95" t="s">
        <v>324</v>
      </c>
      <c r="B12" s="96"/>
      <c r="C12" s="96"/>
      <c r="D12" s="343"/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9.9473024649200534E-2</v>
      </c>
      <c r="X12" s="94">
        <f>RETURNS!D27</f>
        <v>-17.213694429614407</v>
      </c>
      <c r="AC12" s="49"/>
      <c r="AD12" s="49"/>
      <c r="AE12" s="127"/>
      <c r="AF12" s="127"/>
      <c r="AG12" s="328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-17.213694429614407</v>
      </c>
      <c r="AC13" s="49"/>
      <c r="AD13" s="49"/>
      <c r="AE13" s="127"/>
      <c r="AF13" s="127"/>
      <c r="AG13" s="328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326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348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49"/>
      <c r="E18" s="337" t="s">
        <v>343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595" t="s">
        <v>300</v>
      </c>
      <c r="X18" s="596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96"/>
      <c r="E19" s="338" t="s">
        <v>343</v>
      </c>
      <c r="G19" s="86" t="s">
        <v>54</v>
      </c>
      <c r="H19" s="49" t="s">
        <v>335</v>
      </c>
      <c r="I19" s="248">
        <v>12100</v>
      </c>
      <c r="J19" s="246">
        <v>20</v>
      </c>
      <c r="K19" s="356" t="s">
        <v>307</v>
      </c>
      <c r="M19" s="86" t="s">
        <v>318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335</v>
      </c>
      <c r="I21" s="248">
        <v>12100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13600</v>
      </c>
    </row>
    <row r="22" spans="1:36" x14ac:dyDescent="0.2">
      <c r="A22" s="86" t="s">
        <v>327</v>
      </c>
      <c r="B22" s="49"/>
      <c r="C22" s="291"/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13600</v>
      </c>
      <c r="AB22" s="69"/>
      <c r="AC22" s="69"/>
      <c r="AD22" s="49"/>
      <c r="AE22" s="49"/>
      <c r="AF22" s="49"/>
      <c r="AI22" s="324"/>
      <c r="AJ22" s="325"/>
    </row>
    <row r="23" spans="1:36" ht="13.5" thickBot="1" x14ac:dyDescent="0.25">
      <c r="A23" s="86" t="s">
        <v>328</v>
      </c>
      <c r="B23" s="49"/>
      <c r="C23" s="291"/>
      <c r="D23" s="49"/>
      <c r="E23" s="87"/>
      <c r="G23" s="358" t="s">
        <v>69</v>
      </c>
      <c r="H23" s="96" t="s">
        <v>335</v>
      </c>
      <c r="I23" s="359">
        <v>12100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5" thickBot="1" x14ac:dyDescent="0.25">
      <c r="A24" s="86" t="s">
        <v>329</v>
      </c>
      <c r="B24" s="49"/>
      <c r="C24" s="291"/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370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5" thickBot="1" x14ac:dyDescent="0.25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371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5" thickBot="1" x14ac:dyDescent="0.25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360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349</v>
      </c>
      <c r="V29" s="107" t="s">
        <v>350</v>
      </c>
      <c r="W29" s="107" t="s">
        <v>351</v>
      </c>
      <c r="X29" s="87"/>
      <c r="AC29"/>
      <c r="AD29"/>
      <c r="AE29"/>
    </row>
    <row r="30" spans="1:36" x14ac:dyDescent="0.2">
      <c r="A30" s="86" t="s">
        <v>325</v>
      </c>
      <c r="B30" s="49"/>
      <c r="C30" s="104">
        <v>0</v>
      </c>
      <c r="D30" s="49" t="s">
        <v>63</v>
      </c>
      <c r="E30" s="332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354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364">
        <v>0</v>
      </c>
      <c r="T31" s="86" t="s">
        <v>375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">
      <c r="A32" s="112" t="s">
        <v>304</v>
      </c>
      <c r="B32" s="64"/>
      <c r="C32" s="329"/>
      <c r="D32" s="113" t="s">
        <v>305</v>
      </c>
      <c r="E32" s="330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353</v>
      </c>
      <c r="U32" s="93">
        <v>16</v>
      </c>
      <c r="V32" s="93">
        <v>16</v>
      </c>
      <c r="W32" s="93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359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">
      <c r="A34" s="80" t="s">
        <v>331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356</v>
      </c>
      <c r="U34" s="322">
        <v>3300</v>
      </c>
      <c r="V34" s="322">
        <v>3300</v>
      </c>
      <c r="W34" s="322">
        <v>3300</v>
      </c>
      <c r="X34" s="87"/>
    </row>
    <row r="35" spans="1:31" ht="13.5" thickBot="1" x14ac:dyDescent="0.25">
      <c r="A35" s="313" t="s">
        <v>13</v>
      </c>
      <c r="B35" s="156"/>
      <c r="C35" s="281"/>
      <c r="D35" s="287">
        <v>1500</v>
      </c>
      <c r="E35" s="341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355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5" thickBot="1" x14ac:dyDescent="0.25">
      <c r="A37" s="95" t="s">
        <v>322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364</v>
      </c>
      <c r="U38" s="319"/>
      <c r="V38" s="319"/>
      <c r="W38" s="81"/>
      <c r="X38" s="99"/>
    </row>
    <row r="39" spans="1:31" x14ac:dyDescent="0.2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368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364">
        <v>500</v>
      </c>
      <c r="Y48" s="74"/>
    </row>
    <row r="49" spans="1:25" x14ac:dyDescent="0.2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364">
        <v>100</v>
      </c>
    </row>
    <row r="50" spans="1:25" x14ac:dyDescent="0.2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600</v>
      </c>
    </row>
    <row r="52" spans="1:25" ht="13.5" thickBot="1" x14ac:dyDescent="0.25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13600</v>
      </c>
    </row>
    <row r="53" spans="1:25" x14ac:dyDescent="0.2">
      <c r="A53" s="86" t="s">
        <v>319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">
      <c r="A57" s="86" t="s">
        <v>323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K82"/>
  <sheetViews>
    <sheetView topLeftCell="A30" zoomScale="75" workbookViewId="0">
      <selection activeCell="I67" sqref="I67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9" width="10.7109375" style="34" customWidth="1"/>
    <col min="10" max="16384" width="9.140625" style="34"/>
  </cols>
  <sheetData>
    <row r="1" spans="1:9" ht="15.75" x14ac:dyDescent="0.25">
      <c r="A1" s="147" t="s">
        <v>114</v>
      </c>
      <c r="B1" s="168"/>
    </row>
    <row r="2" spans="1:9" ht="15.75" x14ac:dyDescent="0.25">
      <c r="A2" s="160">
        <f>ASS!A4</f>
        <v>0</v>
      </c>
      <c r="B2" s="111"/>
    </row>
    <row r="3" spans="1:9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>F3+1</f>
        <v>4</v>
      </c>
      <c r="H3" s="46">
        <f>G3+1</f>
        <v>5</v>
      </c>
      <c r="I3" s="35"/>
    </row>
    <row r="4" spans="1:9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>IF(F4+1-$D$4&gt;TERM, 0, IF(F4&gt;0, F4+1, 0))</f>
        <v>2004</v>
      </c>
      <c r="H4" s="200">
        <f>IF(G4+1-$D$4&gt;TERM, 0, IF(G4&gt;0, G4+1, 0))</f>
        <v>2005</v>
      </c>
      <c r="I4" s="36" t="s">
        <v>117</v>
      </c>
    </row>
    <row r="5" spans="1:9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>IF(H3&lt;=TERM, 12, IF(H3=TERM+1, +MOSYR1-1,))</f>
        <v>12</v>
      </c>
      <c r="I5" s="76"/>
    </row>
    <row r="6" spans="1:9" x14ac:dyDescent="0.2">
      <c r="A6" s="47"/>
      <c r="B6" s="49"/>
      <c r="C6" s="49"/>
      <c r="D6" s="49"/>
      <c r="E6" s="49"/>
      <c r="F6" s="49"/>
      <c r="G6" s="49"/>
      <c r="H6" s="49"/>
      <c r="I6" s="48"/>
    </row>
    <row r="7" spans="1:9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>IF(G3&gt;TERM,0,capacity)</f>
        <v>500</v>
      </c>
      <c r="H7" s="46">
        <f>IF(H3&gt;TERM,0,capacity)</f>
        <v>500</v>
      </c>
      <c r="I7" s="35"/>
    </row>
    <row r="8" spans="1:9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>20*16*G7*avail*dispatch*G5/12</f>
        <v>160000</v>
      </c>
      <c r="H8" s="106">
        <f>20*16*H7*avail*dispatch*H5/12</f>
        <v>160000</v>
      </c>
      <c r="I8" s="37"/>
    </row>
    <row r="9" spans="1:9" x14ac:dyDescent="0.2">
      <c r="A9" s="85" t="s">
        <v>358</v>
      </c>
      <c r="B9" s="49"/>
      <c r="C9" s="49"/>
      <c r="D9" s="49"/>
      <c r="E9" s="49"/>
      <c r="F9" s="49"/>
      <c r="G9" s="49"/>
      <c r="H9" s="49"/>
      <c r="I9" s="37"/>
    </row>
    <row r="10" spans="1:9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37"/>
    </row>
    <row r="11" spans="1:9" x14ac:dyDescent="0.2">
      <c r="A11" s="47" t="s">
        <v>346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68">
        <f>SUM(D11:H11)</f>
        <v>10400</v>
      </c>
    </row>
    <row r="12" spans="1:9" x14ac:dyDescent="0.2">
      <c r="A12" s="47" t="s">
        <v>332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68">
        <f>SUM(D12:H12)</f>
        <v>16500</v>
      </c>
    </row>
    <row r="13" spans="1:9" x14ac:dyDescent="0.2">
      <c r="A13" s="47" t="s">
        <v>347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85">
        <f>SUM(D13:H13)</f>
        <v>2300</v>
      </c>
    </row>
    <row r="14" spans="1:9" x14ac:dyDescent="0.2">
      <c r="A14" s="47" t="s">
        <v>333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>SUM(G11:G13)</f>
        <v>5300</v>
      </c>
      <c r="H14" s="320">
        <f>SUM(H11:H13)</f>
        <v>5300</v>
      </c>
      <c r="I14" s="68">
        <f>SUM(D14:H14)</f>
        <v>29200</v>
      </c>
    </row>
    <row r="15" spans="1:9" x14ac:dyDescent="0.2">
      <c r="A15" s="85"/>
      <c r="B15" s="49"/>
      <c r="C15" s="49"/>
      <c r="D15" s="49"/>
      <c r="E15" s="49"/>
      <c r="F15" s="49"/>
      <c r="G15" s="49"/>
      <c r="H15" s="49"/>
      <c r="I15" s="68">
        <f>SUM(D15:F15)</f>
        <v>0</v>
      </c>
    </row>
    <row r="16" spans="1:9" x14ac:dyDescent="0.2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ASS!$D$62*BS_IS!L7*H5/12</f>
        <v>0</v>
      </c>
      <c r="I16" s="68">
        <f>SUM(D16:F16)</f>
        <v>0</v>
      </c>
    </row>
    <row r="17" spans="1:9" x14ac:dyDescent="0.2">
      <c r="A17" s="47"/>
      <c r="B17" s="49"/>
      <c r="C17" s="49"/>
      <c r="D17" s="115"/>
      <c r="E17" s="115"/>
      <c r="F17" s="115"/>
      <c r="G17" s="115"/>
      <c r="H17" s="115"/>
      <c r="I17" s="68">
        <f>SUM(D17:F17)</f>
        <v>0</v>
      </c>
    </row>
    <row r="18" spans="1:9" x14ac:dyDescent="0.2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>G14+G16</f>
        <v>5300</v>
      </c>
      <c r="H18" s="142">
        <f>H14+H16</f>
        <v>5300</v>
      </c>
      <c r="I18" s="68">
        <f>SUM(D18:H18)</f>
        <v>29200</v>
      </c>
    </row>
    <row r="19" spans="1:9" x14ac:dyDescent="0.2">
      <c r="A19" s="47"/>
      <c r="B19" s="49"/>
      <c r="C19" s="49"/>
      <c r="D19" s="275"/>
      <c r="E19" s="49"/>
      <c r="F19" s="49"/>
      <c r="G19" s="49"/>
      <c r="H19" s="49"/>
      <c r="I19" s="37"/>
    </row>
    <row r="20" spans="1:9" x14ac:dyDescent="0.2">
      <c r="A20" s="47"/>
      <c r="B20" s="49"/>
      <c r="C20" s="49"/>
      <c r="D20" s="275"/>
      <c r="E20" s="268"/>
      <c r="F20" s="268"/>
      <c r="G20" s="268"/>
      <c r="H20" s="268"/>
      <c r="I20" s="37"/>
    </row>
    <row r="21" spans="1:9" x14ac:dyDescent="0.2">
      <c r="A21" s="85" t="s">
        <v>122</v>
      </c>
      <c r="B21" s="49"/>
      <c r="C21" s="49"/>
      <c r="D21" s="268"/>
      <c r="E21" s="276"/>
      <c r="F21" s="49"/>
      <c r="G21" s="49"/>
      <c r="H21" s="49"/>
      <c r="I21" s="37"/>
    </row>
    <row r="22" spans="1:9" x14ac:dyDescent="0.2">
      <c r="A22" s="47"/>
      <c r="B22" s="49"/>
      <c r="C22" s="49"/>
      <c r="D22" s="115"/>
      <c r="E22" s="115"/>
      <c r="F22" s="115"/>
      <c r="G22" s="115"/>
      <c r="H22" s="115"/>
      <c r="I22" s="67"/>
    </row>
    <row r="23" spans="1:9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67"/>
    </row>
    <row r="24" spans="1:9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67"/>
    </row>
    <row r="25" spans="1:9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67">
        <f t="shared" ref="I25:I37" si="0">SUM(D25:H25)</f>
        <v>254.78980623360002</v>
      </c>
    </row>
    <row r="26" spans="1:9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67">
        <f t="shared" si="0"/>
        <v>0</v>
      </c>
    </row>
    <row r="27" spans="1:9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67">
        <f t="shared" si="0"/>
        <v>0</v>
      </c>
    </row>
    <row r="28" spans="1:9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67">
        <f t="shared" si="0"/>
        <v>0</v>
      </c>
    </row>
    <row r="29" spans="1:9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67">
        <f t="shared" si="0"/>
        <v>0</v>
      </c>
    </row>
    <row r="30" spans="1:9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67">
        <f t="shared" si="0"/>
        <v>0</v>
      </c>
    </row>
    <row r="31" spans="1:9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67">
        <f t="shared" si="0"/>
        <v>0</v>
      </c>
    </row>
    <row r="32" spans="1:9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67">
        <f t="shared" si="0"/>
        <v>0</v>
      </c>
    </row>
    <row r="33" spans="1:9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67">
        <f t="shared" si="0"/>
        <v>0</v>
      </c>
    </row>
    <row r="34" spans="1:9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67">
        <f t="shared" si="0"/>
        <v>0</v>
      </c>
    </row>
    <row r="35" spans="1:9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67">
        <f t="shared" si="0"/>
        <v>0</v>
      </c>
    </row>
    <row r="36" spans="1:9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72">
        <f t="shared" si="0"/>
        <v>0</v>
      </c>
    </row>
    <row r="37" spans="1:9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>SUM(G25:G36)</f>
        <v>51.95674368000001</v>
      </c>
      <c r="H37" s="115">
        <f>SUM(H25:H36)</f>
        <v>52.995878553600001</v>
      </c>
      <c r="I37" s="67">
        <f t="shared" si="0"/>
        <v>254.78980623360002</v>
      </c>
    </row>
    <row r="38" spans="1:9" x14ac:dyDescent="0.2">
      <c r="A38" s="47"/>
      <c r="B38" s="49"/>
      <c r="C38" s="49"/>
      <c r="D38" s="115"/>
      <c r="E38" s="115"/>
      <c r="F38" s="115"/>
      <c r="G38" s="115"/>
      <c r="H38" s="115"/>
      <c r="I38" s="67"/>
    </row>
    <row r="39" spans="1:9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67"/>
    </row>
    <row r="40" spans="1:9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67">
        <f>SUM(D40:H40)</f>
        <v>0</v>
      </c>
    </row>
    <row r="41" spans="1:9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67">
        <f>SUM(D41:H41)</f>
        <v>0</v>
      </c>
    </row>
    <row r="42" spans="1:9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67">
        <f>SUM(D42:H42)</f>
        <v>0</v>
      </c>
    </row>
    <row r="43" spans="1:9" x14ac:dyDescent="0.2">
      <c r="A43" s="47" t="s">
        <v>127</v>
      </c>
      <c r="B43" s="49"/>
      <c r="C43" s="49"/>
      <c r="D43" s="115">
        <f>SUM(D40:D42)</f>
        <v>0</v>
      </c>
      <c r="E43" s="115">
        <f>SUM(E40:E42)</f>
        <v>0</v>
      </c>
      <c r="F43" s="115">
        <f>SUM(F40:F42)</f>
        <v>0</v>
      </c>
      <c r="G43" s="115">
        <f>SUM(G40:G42)</f>
        <v>0</v>
      </c>
      <c r="H43" s="115">
        <f>SUM(H40:H42)</f>
        <v>0</v>
      </c>
      <c r="I43" s="67">
        <f>SUM(D43:H43)</f>
        <v>0</v>
      </c>
    </row>
    <row r="44" spans="1:9" x14ac:dyDescent="0.2">
      <c r="A44" s="47"/>
      <c r="B44" s="49"/>
      <c r="C44" s="49"/>
      <c r="D44" s="115"/>
      <c r="E44" s="115"/>
      <c r="F44" s="115"/>
      <c r="G44" s="115"/>
      <c r="H44" s="115"/>
      <c r="I44" s="67"/>
    </row>
    <row r="45" spans="1:9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>G37+G43</f>
        <v>51.95674368000001</v>
      </c>
      <c r="H45" s="115">
        <f>H37+H43</f>
        <v>52.995878553600001</v>
      </c>
      <c r="I45" s="67">
        <f>SUM(D45:H45)</f>
        <v>254.78980623360002</v>
      </c>
    </row>
    <row r="46" spans="1:9" x14ac:dyDescent="0.2">
      <c r="A46" s="47"/>
      <c r="B46" s="49"/>
      <c r="C46" s="49"/>
      <c r="D46" s="115"/>
      <c r="E46" s="115"/>
      <c r="F46" s="115"/>
      <c r="G46" s="115"/>
      <c r="H46" s="115"/>
      <c r="I46" s="67"/>
    </row>
    <row r="47" spans="1:9" s="38" customFormat="1" x14ac:dyDescent="0.2">
      <c r="A47" s="85" t="s">
        <v>129</v>
      </c>
      <c r="B47" s="69"/>
      <c r="C47" s="69"/>
      <c r="D47" s="142">
        <f t="shared" ref="D47:I47" si="1">D45</f>
        <v>48.96</v>
      </c>
      <c r="E47" s="142">
        <f t="shared" si="1"/>
        <v>49.9392</v>
      </c>
      <c r="F47" s="142">
        <f t="shared" si="1"/>
        <v>50.937984</v>
      </c>
      <c r="G47" s="142">
        <f t="shared" si="1"/>
        <v>51.95674368000001</v>
      </c>
      <c r="H47" s="142">
        <f t="shared" si="1"/>
        <v>52.995878553600001</v>
      </c>
      <c r="I47" s="68">
        <f t="shared" si="1"/>
        <v>254.78980623360002</v>
      </c>
    </row>
    <row r="48" spans="1:9" x14ac:dyDescent="0.2">
      <c r="A48" s="47"/>
      <c r="B48" s="49"/>
      <c r="C48" s="49"/>
      <c r="D48" s="49"/>
      <c r="E48" s="49"/>
      <c r="F48" s="49"/>
      <c r="G48" s="49"/>
      <c r="H48" s="49"/>
      <c r="I48" s="37"/>
    </row>
    <row r="49" spans="1:11" s="38" customFormat="1" x14ac:dyDescent="0.2">
      <c r="A49" s="85" t="s">
        <v>301</v>
      </c>
      <c r="B49" s="69"/>
      <c r="C49" s="270" t="s">
        <v>334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>G18-G47</f>
        <v>5248.0432563200002</v>
      </c>
      <c r="H49" s="142">
        <f>H18-H47</f>
        <v>5247.0041214463999</v>
      </c>
      <c r="I49" s="68">
        <f>SUM(D49:H49)</f>
        <v>28945.210193766401</v>
      </c>
    </row>
    <row r="50" spans="1:11" x14ac:dyDescent="0.2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72">
        <f>SUM(D50:H50)</f>
        <v>2122.8070175438597</v>
      </c>
      <c r="J50" s="306" t="str">
        <f>IF(ABS(-$I$50-ASS!$I$21)&lt;0.1," ","WARNING:  CHECK DEPRECIATION")</f>
        <v>WARNING:  CHECK DEPRECIATION</v>
      </c>
    </row>
    <row r="51" spans="1:11" x14ac:dyDescent="0.2">
      <c r="A51" s="47"/>
      <c r="B51" s="49"/>
      <c r="C51" s="49"/>
      <c r="D51" s="115"/>
      <c r="E51" s="115"/>
      <c r="F51" s="115"/>
      <c r="G51" s="115"/>
      <c r="H51" s="115"/>
      <c r="I51" s="67"/>
      <c r="J51"/>
      <c r="K51"/>
    </row>
    <row r="52" spans="1:11" s="38" customFormat="1" x14ac:dyDescent="0.2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>G49-G50</f>
        <v>4823.4818528112282</v>
      </c>
      <c r="H52" s="142">
        <f>H49-H50</f>
        <v>4822.442717937628</v>
      </c>
      <c r="I52" s="68">
        <f>SUM(D52:H52)</f>
        <v>26822.403176222542</v>
      </c>
    </row>
    <row r="53" spans="1:11" x14ac:dyDescent="0.2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67">
        <f>SUM(D53:H53)</f>
        <v>0</v>
      </c>
      <c r="J53" s="77"/>
    </row>
    <row r="54" spans="1:11" x14ac:dyDescent="0.2">
      <c r="A54" s="47"/>
      <c r="B54" s="49"/>
      <c r="C54" s="49"/>
      <c r="D54" s="116"/>
      <c r="E54" s="116"/>
      <c r="F54" s="116"/>
      <c r="G54" s="116"/>
      <c r="H54" s="116"/>
      <c r="I54" s="72"/>
    </row>
    <row r="55" spans="1:11" s="38" customFormat="1" x14ac:dyDescent="0.2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>SUM(G52:G53)</f>
        <v>4823.4818528112282</v>
      </c>
      <c r="H55" s="142">
        <f>SUM(H52:H53)</f>
        <v>4822.442717937628</v>
      </c>
      <c r="I55" s="68">
        <f>SUM(D55:H55)</f>
        <v>26822.403176222542</v>
      </c>
    </row>
    <row r="56" spans="1:11" x14ac:dyDescent="0.2">
      <c r="A56" s="47" t="s">
        <v>134</v>
      </c>
      <c r="B56" s="194"/>
      <c r="C56" s="49"/>
      <c r="D56" s="116">
        <f>IF(D55&lt;0,0,D55*(ASS!$I$14+USTAX))</f>
        <v>2650.5914385964911</v>
      </c>
      <c r="E56" s="116">
        <f>IF(E55&lt;0,0,E55*(ASS!$I$14+USTAX))</f>
        <v>2290.1997585964909</v>
      </c>
      <c r="F56" s="116">
        <f>IF(F55&lt;0,0,F55*(ASS!$I$14+USTAX))</f>
        <v>1929.8002449964911</v>
      </c>
      <c r="G56" s="116">
        <f>IF(G55&lt;0,0,G55*(ASS!$I$14+USTAX))</f>
        <v>1929.3927411244911</v>
      </c>
      <c r="H56" s="116">
        <f>IF(H55&lt;0,0,H55*(ASS!$I$14+USTAX))</f>
        <v>1928.9770871750511</v>
      </c>
      <c r="I56" s="73">
        <f>SUM(D56:H56)</f>
        <v>10728.961270489017</v>
      </c>
    </row>
    <row r="57" spans="1:11" x14ac:dyDescent="0.2">
      <c r="A57" s="47"/>
      <c r="B57" s="49"/>
      <c r="C57" s="49"/>
      <c r="D57" s="115"/>
      <c r="E57" s="115"/>
      <c r="F57" s="115"/>
      <c r="G57" s="115"/>
      <c r="H57" s="115"/>
      <c r="I57" s="67"/>
    </row>
    <row r="58" spans="1:11" s="38" customFormat="1" x14ac:dyDescent="0.2">
      <c r="A58" s="169" t="s">
        <v>135</v>
      </c>
      <c r="B58" s="170"/>
      <c r="C58" s="170"/>
      <c r="D58" s="171">
        <f t="shared" ref="D58:I58" si="2">D55-D56</f>
        <v>3975.8871578947369</v>
      </c>
      <c r="E58" s="171">
        <f t="shared" si="2"/>
        <v>3435.2996378947373</v>
      </c>
      <c r="F58" s="171">
        <f t="shared" si="2"/>
        <v>2894.7003674947368</v>
      </c>
      <c r="G58" s="171">
        <f t="shared" si="2"/>
        <v>2894.0891116867369</v>
      </c>
      <c r="H58" s="171">
        <f t="shared" si="2"/>
        <v>2893.4656307625769</v>
      </c>
      <c r="I58" s="171">
        <f t="shared" si="2"/>
        <v>16093.441905733525</v>
      </c>
    </row>
    <row r="59" spans="1:11" x14ac:dyDescent="0.2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67">
        <f t="shared" ref="I59:I67" si="3">SUM(D59:H59)</f>
        <v>2122.8070175438597</v>
      </c>
    </row>
    <row r="60" spans="1:11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>IF(G3=TERM,SPARES,0)</f>
        <v>0</v>
      </c>
      <c r="H60" s="115">
        <f>IF(H3=TERM,SPARES,0)</f>
        <v>0</v>
      </c>
      <c r="I60" s="67">
        <f t="shared" si="3"/>
        <v>0</v>
      </c>
    </row>
    <row r="61" spans="1:11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>IF(G3=TERM,WCAP,0)</f>
        <v>0</v>
      </c>
      <c r="H61" s="115">
        <f>IF(H3=TERM,WCAP,0)</f>
        <v>0</v>
      </c>
      <c r="I61" s="67">
        <f t="shared" si="3"/>
        <v>0</v>
      </c>
    </row>
    <row r="62" spans="1:11" x14ac:dyDescent="0.2">
      <c r="A62" s="47" t="s">
        <v>140</v>
      </c>
      <c r="B62" s="49"/>
      <c r="C62" s="266"/>
      <c r="D62" s="210">
        <f>-D56</f>
        <v>-2650.5914385964911</v>
      </c>
      <c r="E62" s="210">
        <f>-E56</f>
        <v>-2290.1997585964909</v>
      </c>
      <c r="F62" s="210">
        <f>-F56</f>
        <v>-1929.8002449964911</v>
      </c>
      <c r="G62" s="210">
        <f>-G56</f>
        <v>-1929.3927411244911</v>
      </c>
      <c r="H62" s="210">
        <f>-H56</f>
        <v>-1928.9770871750511</v>
      </c>
      <c r="I62" s="67">
        <f t="shared" si="3"/>
        <v>-10728.961270489017</v>
      </c>
    </row>
    <row r="63" spans="1:11" x14ac:dyDescent="0.2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67">
        <f t="shared" si="3"/>
        <v>0</v>
      </c>
    </row>
    <row r="64" spans="1:11" x14ac:dyDescent="0.2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IF(-H63&gt;H40,H40,IF(H40&gt;(BS_IS!L7+(-H63)),BS_IS!L7+(-H63),H40))</f>
        <v>0</v>
      </c>
      <c r="I64" s="67">
        <f t="shared" si="3"/>
        <v>0</v>
      </c>
    </row>
    <row r="65" spans="1:11" x14ac:dyDescent="0.2">
      <c r="A65" s="47" t="s">
        <v>141</v>
      </c>
      <c r="B65" s="49"/>
      <c r="C65" s="49"/>
      <c r="D65" s="266">
        <f>TAXES_FEES!D14</f>
        <v>2638.9159999999997</v>
      </c>
      <c r="E65" s="266">
        <f>0+TAXES_FEES!E14</f>
        <v>2110.6247199999998</v>
      </c>
      <c r="F65" s="266">
        <f>0+TAXES_FEES!F14</f>
        <v>1776.9420063999996</v>
      </c>
      <c r="G65" s="266">
        <f>0+TAXES_FEES!G14</f>
        <v>1800.2505025279997</v>
      </c>
      <c r="H65" s="266">
        <f>0+TAXES_FEES!H14</f>
        <v>1822.2924485785597</v>
      </c>
      <c r="I65" s="67">
        <f t="shared" si="3"/>
        <v>10149.025677506557</v>
      </c>
      <c r="J65" s="307" t="str">
        <f>IF(ABS(-I65-TAXES_FEES!$I$14)&lt;0.01," ","CHECK:  TOTAL CASH TAXES DOES NOT MATCH TOTAL CASH TAXES CALCD")</f>
        <v>CHECK:  TOTAL CASH TAXES DOES NOT MATCH TOTAL CASH TAXES CALCD</v>
      </c>
      <c r="K65" s="75"/>
    </row>
    <row r="66" spans="1:11" x14ac:dyDescent="0.2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172">
        <f t="shared" si="3"/>
        <v>0</v>
      </c>
      <c r="J66" s="135"/>
      <c r="K66" s="75"/>
    </row>
    <row r="67" spans="1:11" x14ac:dyDescent="0.2">
      <c r="A67" s="173" t="s">
        <v>143</v>
      </c>
      <c r="B67" s="174"/>
      <c r="C67" s="174"/>
      <c r="D67" s="175">
        <f>SUM(D58:D66)</f>
        <v>4388.7731228070179</v>
      </c>
      <c r="E67" s="175">
        <f>SUM(E58:E66)</f>
        <v>3680.2860028070181</v>
      </c>
      <c r="F67" s="175">
        <f>SUM(F58:F66)</f>
        <v>3166.4035324070173</v>
      </c>
      <c r="G67" s="175">
        <f>SUM(G58:G66)</f>
        <v>3189.5082765990173</v>
      </c>
      <c r="H67" s="175">
        <f>SUM(H58:H66)</f>
        <v>3211.3423956748575</v>
      </c>
      <c r="I67" s="176">
        <f t="shared" si="3"/>
        <v>17636.313330294928</v>
      </c>
    </row>
    <row r="68" spans="1:11" x14ac:dyDescent="0.2">
      <c r="A68" s="47"/>
      <c r="B68" s="49"/>
      <c r="C68" s="49"/>
      <c r="D68" s="49"/>
      <c r="E68" s="49"/>
      <c r="F68" s="49"/>
      <c r="G68" s="49"/>
      <c r="H68" s="49"/>
      <c r="I68" s="37"/>
    </row>
    <row r="69" spans="1:11" hidden="1" x14ac:dyDescent="0.2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7"/>
    </row>
    <row r="70" spans="1:11" hidden="1" x14ac:dyDescent="0.2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76"/>
    </row>
    <row r="71" spans="1:11" hidden="1" x14ac:dyDescent="0.2"/>
    <row r="73" spans="1:11" x14ac:dyDescent="0.2">
      <c r="A73" s="273"/>
      <c r="B73" s="273"/>
      <c r="C73" s="273"/>
      <c r="D73" s="273"/>
      <c r="E73" s="273"/>
      <c r="F73" s="273"/>
      <c r="G73" s="273"/>
      <c r="H73" s="273"/>
    </row>
    <row r="74" spans="1:11" x14ac:dyDescent="0.2">
      <c r="B74" s="262"/>
      <c r="C74" s="262"/>
      <c r="D74" s="262"/>
      <c r="E74" s="262"/>
      <c r="F74" s="262"/>
      <c r="G74" s="262"/>
      <c r="H74" s="262"/>
    </row>
    <row r="80" spans="1:11" x14ac:dyDescent="0.2">
      <c r="A80" s="274"/>
    </row>
    <row r="81" spans="1:1" x14ac:dyDescent="0.2">
      <c r="A81" s="274"/>
    </row>
    <row r="82" spans="1:1" x14ac:dyDescent="0.2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53"/>
  <sheetViews>
    <sheetView zoomScale="75" workbookViewId="0">
      <selection activeCell="C32" sqref="C32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9" width="9.140625" style="34"/>
    <col min="10" max="10" width="9.85546875" style="34" bestFit="1" customWidth="1"/>
    <col min="11" max="16384" width="9.140625" style="34"/>
  </cols>
  <sheetData>
    <row r="1" spans="1:12" ht="15.75" x14ac:dyDescent="0.25">
      <c r="A1" s="147" t="s">
        <v>148</v>
      </c>
      <c r="B1" s="159"/>
    </row>
    <row r="2" spans="1:12" ht="15.75" x14ac:dyDescent="0.25">
      <c r="A2" s="160">
        <f>ASS!A4</f>
        <v>0</v>
      </c>
      <c r="B2" s="161"/>
    </row>
    <row r="3" spans="1:12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>IF(H4&lt;STARTYR,0,G3+1)</f>
        <v>4</v>
      </c>
      <c r="I3" s="46">
        <f>IF(I4&lt;STARTYR,0,H3+1)</f>
        <v>5</v>
      </c>
      <c r="J3" s="35"/>
    </row>
    <row r="4" spans="1:12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63" t="s">
        <v>117</v>
      </c>
    </row>
    <row r="5" spans="1:12" x14ac:dyDescent="0.2">
      <c r="A5" s="47"/>
      <c r="B5" s="49"/>
      <c r="C5" s="49"/>
      <c r="D5" s="49"/>
      <c r="E5" s="49"/>
      <c r="F5" s="49"/>
      <c r="G5" s="49"/>
      <c r="H5" s="49"/>
      <c r="I5" s="49"/>
      <c r="J5" s="48"/>
    </row>
    <row r="6" spans="1:12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35"/>
    </row>
    <row r="7" spans="1:12" x14ac:dyDescent="0.2">
      <c r="A7" s="47"/>
      <c r="B7" s="49" t="s">
        <v>151</v>
      </c>
      <c r="C7" s="49"/>
      <c r="D7" s="303">
        <f>-EQUITY</f>
        <v>-13600</v>
      </c>
      <c r="E7" s="302">
        <v>0</v>
      </c>
      <c r="F7" s="303">
        <f>E7</f>
        <v>0</v>
      </c>
      <c r="G7" s="303">
        <f>F7</f>
        <v>0</v>
      </c>
      <c r="H7" s="303">
        <f>G7</f>
        <v>0</v>
      </c>
      <c r="I7" s="303">
        <f>H7</f>
        <v>0</v>
      </c>
      <c r="J7" s="67">
        <f>SUM(D7:I7)</f>
        <v>-13600</v>
      </c>
      <c r="K7" s="77" t="str">
        <f>IF(ABS(J7+EQUITY)&lt;0.1," ", "CHECK")</f>
        <v xml:space="preserve"> </v>
      </c>
    </row>
    <row r="8" spans="1:12" x14ac:dyDescent="0.2">
      <c r="A8" s="47"/>
      <c r="B8" s="49" t="s">
        <v>152</v>
      </c>
      <c r="C8" s="49"/>
      <c r="D8" s="301">
        <f>CF!C67</f>
        <v>0</v>
      </c>
      <c r="E8" s="301">
        <f>CF!D67</f>
        <v>4388.7731228070179</v>
      </c>
      <c r="F8" s="301">
        <f>CF!E67</f>
        <v>3680.2860028070181</v>
      </c>
      <c r="G8" s="301">
        <f>CF!F67</f>
        <v>3166.4035324070173</v>
      </c>
      <c r="H8" s="301">
        <f>CF!G67</f>
        <v>3189.5082765990173</v>
      </c>
      <c r="I8" s="301">
        <f>CF!H67</f>
        <v>3211.3423956748575</v>
      </c>
      <c r="J8" s="67">
        <f>SUM(D8:I8)</f>
        <v>17636.313330294928</v>
      </c>
      <c r="K8" s="77" t="str">
        <f>IF(ABS($J$8-CF!$I$67)&lt;0.01," ","CHECK:  DOES NOT EQUAL TOTAL CF DISTRIBUTED")</f>
        <v xml:space="preserve"> </v>
      </c>
    </row>
    <row r="9" spans="1:12" s="65" customFormat="1" x14ac:dyDescent="0.2">
      <c r="A9" s="101"/>
      <c r="B9" s="49" t="s">
        <v>153</v>
      </c>
      <c r="C9" s="49"/>
      <c r="D9" s="117">
        <f t="shared" ref="D9:I9" si="0">SUM(D7:D8)</f>
        <v>-13600</v>
      </c>
      <c r="E9" s="117">
        <f t="shared" si="0"/>
        <v>4388.7731228070179</v>
      </c>
      <c r="F9" s="117">
        <f t="shared" si="0"/>
        <v>3680.2860028070181</v>
      </c>
      <c r="G9" s="117">
        <f t="shared" si="0"/>
        <v>3166.4035324070173</v>
      </c>
      <c r="H9" s="117">
        <f t="shared" si="0"/>
        <v>3189.5082765990173</v>
      </c>
      <c r="I9" s="117">
        <f t="shared" si="0"/>
        <v>3211.3423956748575</v>
      </c>
      <c r="J9" s="72">
        <f>SUM(D9:I9)</f>
        <v>4036.3133302949291</v>
      </c>
      <c r="L9" s="34"/>
    </row>
    <row r="10" spans="1:12" x14ac:dyDescent="0.2">
      <c r="A10" s="47"/>
      <c r="B10" s="49" t="s">
        <v>154</v>
      </c>
      <c r="C10" s="49"/>
      <c r="D10" s="115">
        <f>D9</f>
        <v>-13600</v>
      </c>
      <c r="E10" s="115">
        <f>$D$9+NPV(DISC, $E$9:E9)</f>
        <v>-9610.2062519936208</v>
      </c>
      <c r="F10" s="115">
        <f>$D$9+NPV(DISC, $E$9:F9)</f>
        <v>-6568.6475719878208</v>
      </c>
      <c r="G10" s="115">
        <f>$D$9+NPV(DISC, $E$9:G9)</f>
        <v>-4189.6817324633903</v>
      </c>
      <c r="H10" s="115">
        <f>$D$9+NPV(DISC, $E$9:H9)</f>
        <v>-2011.2046635480037</v>
      </c>
      <c r="I10" s="115">
        <f>$D$9+NPV(DISC, $E$9:I9)</f>
        <v>-17.213694429614407</v>
      </c>
      <c r="J10" s="67">
        <f>SUM(D10:I10)</f>
        <v>-35996.953914422447</v>
      </c>
    </row>
    <row r="11" spans="1:12" x14ac:dyDescent="0.2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-0.29399795959355002</v>
      </c>
      <c r="G11" s="51">
        <f>IRR($D$9:G9, $D$13)</f>
        <v>-9.4494808284734597E-2</v>
      </c>
      <c r="H11" s="51">
        <f>IRR($D$9:H9, $D$13)</f>
        <v>2.5470944783853103E-2</v>
      </c>
      <c r="I11" s="51">
        <f>IRR($D$9:I9, $D$13)</f>
        <v>9.9473024649200534E-2</v>
      </c>
      <c r="J11" s="67" t="e">
        <f>SUM(D11:I11)</f>
        <v>#NUM!</v>
      </c>
    </row>
    <row r="12" spans="1:12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  <c r="J12" s="37"/>
    </row>
    <row r="13" spans="1:12" x14ac:dyDescent="0.2">
      <c r="A13" s="47"/>
      <c r="B13" s="80" t="s">
        <v>361</v>
      </c>
      <c r="C13" s="339"/>
      <c r="D13" s="373">
        <f>DISC</f>
        <v>0.1</v>
      </c>
      <c r="E13" s="118"/>
      <c r="F13" s="118"/>
      <c r="G13" s="118"/>
      <c r="H13" s="118"/>
      <c r="I13" s="118"/>
      <c r="J13" s="304"/>
      <c r="K13" s="118"/>
      <c r="L13" s="49"/>
    </row>
    <row r="14" spans="1:12" x14ac:dyDescent="0.2">
      <c r="A14" s="47"/>
      <c r="B14" s="90" t="s">
        <v>362</v>
      </c>
      <c r="C14" s="292"/>
      <c r="D14" s="374">
        <f>$D$9+NPV(DISC,$E$9:I9)</f>
        <v>-17.213694429614407</v>
      </c>
      <c r="E14" s="142"/>
      <c r="F14" s="260"/>
      <c r="G14" s="261"/>
      <c r="H14" s="261"/>
      <c r="I14" s="261"/>
      <c r="J14" s="304"/>
      <c r="K14" s="118"/>
      <c r="L14" s="49"/>
    </row>
    <row r="15" spans="1:12" x14ac:dyDescent="0.2">
      <c r="A15" s="47"/>
      <c r="B15" s="90" t="s">
        <v>2</v>
      </c>
      <c r="C15" s="49"/>
      <c r="D15" s="164">
        <f>IRR($D$9:I9,D13)</f>
        <v>9.9473024649200534E-2</v>
      </c>
      <c r="E15" s="283"/>
      <c r="F15" s="118"/>
      <c r="G15" s="118"/>
      <c r="H15" s="118"/>
      <c r="I15" s="118"/>
      <c r="J15" s="304"/>
      <c r="K15" s="118"/>
      <c r="L15" s="49"/>
    </row>
    <row r="16" spans="1:12" ht="13.5" thickBot="1" x14ac:dyDescent="0.25">
      <c r="A16" s="58"/>
      <c r="B16" s="165" t="s">
        <v>156</v>
      </c>
      <c r="C16" s="96"/>
      <c r="D16" s="375">
        <f>MAX(E16:I16)</f>
        <v>0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>IF(AND(H10&gt;0,G10&lt;0),G3,0)</f>
        <v>0</v>
      </c>
      <c r="I16" s="162">
        <f>IF(AND(I10&gt;0,H10&lt;0),H3,0)</f>
        <v>0</v>
      </c>
      <c r="J16" s="305">
        <f>SUM(E16:G16)</f>
        <v>0</v>
      </c>
      <c r="K16" s="300"/>
      <c r="L16" s="49"/>
    </row>
    <row r="17" spans="1:13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49"/>
    </row>
    <row r="18" spans="1:13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35"/>
    </row>
    <row r="20" spans="1:13" x14ac:dyDescent="0.2">
      <c r="A20" s="119">
        <f>ASS!$I$26</f>
        <v>1</v>
      </c>
      <c r="B20" s="49" t="s">
        <v>151</v>
      </c>
      <c r="C20" s="49"/>
      <c r="D20" s="303">
        <f>-EQUITY</f>
        <v>-13600</v>
      </c>
      <c r="E20" s="311">
        <v>0</v>
      </c>
      <c r="F20" s="303">
        <f>E20</f>
        <v>0</v>
      </c>
      <c r="G20" s="115">
        <f>G7*$A$20</f>
        <v>0</v>
      </c>
      <c r="H20" s="115">
        <f>H7*$A$20</f>
        <v>0</v>
      </c>
      <c r="I20" s="115">
        <f>I7*$A$20</f>
        <v>0</v>
      </c>
      <c r="J20" s="67">
        <f>SUM(D20:I20)</f>
        <v>-13600</v>
      </c>
    </row>
    <row r="21" spans="1:13" x14ac:dyDescent="0.2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4388.7731228070179</v>
      </c>
      <c r="F21" s="301">
        <f>CF!E67</f>
        <v>3680.2860028070181</v>
      </c>
      <c r="G21" s="115">
        <f>G8*$A$21</f>
        <v>3166.4035324070173</v>
      </c>
      <c r="H21" s="115">
        <f>H8*$A$21</f>
        <v>3189.5082765990173</v>
      </c>
      <c r="I21" s="115">
        <f>I8*$A$21</f>
        <v>3211.3423956748575</v>
      </c>
      <c r="J21" s="67">
        <f>SUM(D21:I21)</f>
        <v>17636.313330294928</v>
      </c>
    </row>
    <row r="22" spans="1:13" s="121" customFormat="1" x14ac:dyDescent="0.2">
      <c r="A22" s="120"/>
      <c r="B22" s="49" t="s">
        <v>153</v>
      </c>
      <c r="C22" s="49"/>
      <c r="D22" s="117">
        <f>SUM(D20:D21)</f>
        <v>-13600</v>
      </c>
      <c r="E22" s="117">
        <f>SUM(E20:E21)</f>
        <v>4388.7731228070179</v>
      </c>
      <c r="F22" s="117">
        <f>SUM(F20:F21)</f>
        <v>3680.2860028070181</v>
      </c>
      <c r="G22" s="117">
        <f>SUM(G21:G21)</f>
        <v>3166.4035324070173</v>
      </c>
      <c r="H22" s="117">
        <f>SUM(H21:H21)</f>
        <v>3189.5082765990173</v>
      </c>
      <c r="I22" s="117">
        <f>SUM(I21:I21)</f>
        <v>3211.3423956748575</v>
      </c>
      <c r="J22" s="72">
        <f>SUM(D22:I22)</f>
        <v>4036.3133302949291</v>
      </c>
      <c r="L22" s="34"/>
    </row>
    <row r="23" spans="1:13" x14ac:dyDescent="0.2">
      <c r="A23" s="47"/>
      <c r="B23" s="49" t="s">
        <v>154</v>
      </c>
      <c r="C23" s="49"/>
      <c r="D23" s="115">
        <f>D22</f>
        <v>-13600</v>
      </c>
      <c r="E23" s="115">
        <f>$D$22+NPV(DISC, E$22:$E22)</f>
        <v>-9610.2062519936208</v>
      </c>
      <c r="F23" s="115">
        <f>$D$9+NPV(DISC, $E$22:F22)</f>
        <v>-6568.6475719878208</v>
      </c>
      <c r="G23" s="115">
        <f>$D$22+NPV(DISC, $E$22:G22)</f>
        <v>-4189.6817324633903</v>
      </c>
      <c r="H23" s="115">
        <f>$D$22+NPV(DISC, $E$22:H22)</f>
        <v>-2011.2046635480037</v>
      </c>
      <c r="I23" s="115">
        <f>$D$22+NPV(DISC, $E$22:I22)</f>
        <v>-17.213694429614407</v>
      </c>
      <c r="J23" s="67">
        <f>SUM(D23:I23)</f>
        <v>-35996.953914422447</v>
      </c>
    </row>
    <row r="24" spans="1:13" x14ac:dyDescent="0.2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-0.29399795959355002</v>
      </c>
      <c r="G24" s="51">
        <f>IRR($D$9:G9,D26)</f>
        <v>-9.4494808284734597E-2</v>
      </c>
      <c r="H24" s="51">
        <f>IRR($D$9:H9,E26)</f>
        <v>2.5470944783853311E-2</v>
      </c>
      <c r="I24" s="51">
        <f>IRR($D$9:I9,F26)</f>
        <v>9.9473024649200562E-2</v>
      </c>
      <c r="J24" s="67" t="e">
        <f>SUM(D24:I24)</f>
        <v>#NUM!</v>
      </c>
    </row>
    <row r="25" spans="1:13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  <c r="J25" s="37"/>
    </row>
    <row r="26" spans="1:13" x14ac:dyDescent="0.2">
      <c r="A26" s="47"/>
      <c r="B26" s="80" t="s">
        <v>361</v>
      </c>
      <c r="C26" s="339"/>
      <c r="D26" s="373">
        <f>DISC</f>
        <v>0.1</v>
      </c>
      <c r="E26" s="118"/>
      <c r="F26" s="118"/>
      <c r="G26" s="118"/>
      <c r="H26" s="118"/>
      <c r="I26" s="118"/>
      <c r="J26" s="37"/>
    </row>
    <row r="27" spans="1:13" x14ac:dyDescent="0.2">
      <c r="A27" s="47"/>
      <c r="B27" s="90" t="s">
        <v>363</v>
      </c>
      <c r="C27" s="292"/>
      <c r="D27" s="374">
        <f>$D$22+NPV(DISC,$E$22:I22)</f>
        <v>-17.213694429614407</v>
      </c>
      <c r="E27" s="142"/>
      <c r="F27" s="118"/>
      <c r="G27" s="118"/>
      <c r="H27" s="118"/>
      <c r="I27" s="118"/>
      <c r="J27" s="37"/>
    </row>
    <row r="28" spans="1:13" x14ac:dyDescent="0.2">
      <c r="A28" s="47"/>
      <c r="B28" s="90" t="s">
        <v>3</v>
      </c>
      <c r="C28" s="69"/>
      <c r="D28" s="164">
        <f>IRR($D22:I$22,D26)</f>
        <v>9.9473024649200534E-2</v>
      </c>
      <c r="E28" s="283"/>
      <c r="F28" s="118"/>
      <c r="G28" s="118"/>
      <c r="H28" s="118"/>
      <c r="I28" s="118"/>
      <c r="J28" s="37"/>
    </row>
    <row r="29" spans="1:13" ht="13.5" thickBot="1" x14ac:dyDescent="0.25">
      <c r="A29" s="58"/>
      <c r="B29" s="165" t="s">
        <v>156</v>
      </c>
      <c r="C29" s="166"/>
      <c r="D29" s="167">
        <f>MAX(E29:I29)</f>
        <v>0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>IF(AND(H23&gt;0,G23&lt;0),G3,0)</f>
        <v>0</v>
      </c>
      <c r="I29" s="162">
        <f>IF(AND(I23&gt;0,H23&lt;0),H3,0)</f>
        <v>0</v>
      </c>
      <c r="J29" s="305">
        <f>SUM(E29:G29)</f>
        <v>0</v>
      </c>
    </row>
    <row r="30" spans="1:13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3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spans="1:13" x14ac:dyDescent="0.2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8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</row>
    <row r="34" spans="1:18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</row>
    <row r="35" spans="1:18" s="65" customFormat="1" x14ac:dyDescent="0.2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O35" s="34"/>
      <c r="R35" s="66"/>
    </row>
    <row r="36" spans="1:18" s="121" customFormat="1" x14ac:dyDescent="0.2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O36" s="34"/>
    </row>
    <row r="37" spans="1:18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</row>
    <row r="38" spans="1:18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49"/>
    </row>
    <row r="39" spans="1:18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1:18" x14ac:dyDescent="0.2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</row>
    <row r="41" spans="1:18" x14ac:dyDescent="0.2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</row>
    <row r="42" spans="1:18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8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1:18" x14ac:dyDescent="0.2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8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</row>
    <row r="46" spans="1:18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</row>
    <row r="47" spans="1:18" s="65" customFormat="1" x14ac:dyDescent="0.2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O47" s="34"/>
      <c r="R47" s="66"/>
    </row>
    <row r="48" spans="1:18" s="121" customFormat="1" x14ac:dyDescent="0.2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O48" s="34"/>
    </row>
    <row r="49" spans="1:13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</row>
    <row r="50" spans="1:13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49"/>
    </row>
    <row r="51" spans="1:13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1:13" x14ac:dyDescent="0.2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</row>
    <row r="53" spans="1:13" x14ac:dyDescent="0.2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3" workbookViewId="0">
      <selection activeCell="D74" sqref="D74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80">
        <f>COST</f>
        <v>13600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98">
        <v>36739</v>
      </c>
      <c r="C8" s="34" t="s">
        <v>337</v>
      </c>
      <c r="D8" s="48"/>
      <c r="E8" s="378">
        <f>ASS!U40</f>
        <v>3.1E-2</v>
      </c>
      <c r="F8" s="50">
        <f>E8*$D$3</f>
        <v>421.6</v>
      </c>
      <c r="G8" s="57">
        <f>F8</f>
        <v>421.6</v>
      </c>
    </row>
    <row r="9" spans="1:8" x14ac:dyDescent="0.2">
      <c r="A9" s="34">
        <f>A8+1</f>
        <v>2</v>
      </c>
      <c r="B9" s="298">
        <v>36770</v>
      </c>
      <c r="C9" s="49" t="s">
        <v>339</v>
      </c>
      <c r="D9" s="48"/>
      <c r="E9" s="378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">
      <c r="A10" s="34">
        <f t="shared" ref="A10:A25" si="1">A9+1</f>
        <v>3</v>
      </c>
      <c r="B10" s="298">
        <v>36800</v>
      </c>
      <c r="C10" s="34" t="s">
        <v>343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">
      <c r="A11" s="34">
        <f t="shared" si="1"/>
        <v>4</v>
      </c>
      <c r="B11" s="298">
        <v>36831</v>
      </c>
      <c r="C11" s="34" t="s">
        <v>338</v>
      </c>
      <c r="D11" s="48"/>
      <c r="E11" s="378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">
      <c r="A12" s="34">
        <f t="shared" si="1"/>
        <v>5</v>
      </c>
      <c r="B12" s="298">
        <v>36861</v>
      </c>
      <c r="C12" s="49" t="s">
        <v>340</v>
      </c>
      <c r="D12" s="48"/>
      <c r="E12" s="378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">
      <c r="A13" s="34">
        <f t="shared" si="1"/>
        <v>6</v>
      </c>
      <c r="B13" s="298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">
      <c r="A14" s="34">
        <f t="shared" si="1"/>
        <v>7</v>
      </c>
      <c r="B14" s="298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">
      <c r="A15" s="34">
        <f t="shared" si="1"/>
        <v>8</v>
      </c>
      <c r="B15" s="298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">
      <c r="A16" s="34">
        <f t="shared" si="1"/>
        <v>9</v>
      </c>
      <c r="B16" s="298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">
      <c r="A17" s="34">
        <f t="shared" si="1"/>
        <v>10</v>
      </c>
      <c r="B17" s="298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">
      <c r="A18" s="34">
        <f t="shared" si="1"/>
        <v>11</v>
      </c>
      <c r="B18" s="298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">
      <c r="A19" s="34">
        <f t="shared" si="1"/>
        <v>12</v>
      </c>
      <c r="B19" s="298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">
      <c r="A20" s="34">
        <f t="shared" si="1"/>
        <v>13</v>
      </c>
      <c r="B20" s="298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">
      <c r="A21" s="34">
        <f t="shared" si="1"/>
        <v>14</v>
      </c>
      <c r="B21" s="298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">
      <c r="A22" s="34">
        <f t="shared" si="1"/>
        <v>15</v>
      </c>
      <c r="B22" s="298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">
      <c r="A23" s="34">
        <f t="shared" si="1"/>
        <v>16</v>
      </c>
      <c r="B23" s="298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">
      <c r="A24" s="34">
        <f t="shared" si="1"/>
        <v>17</v>
      </c>
      <c r="B24" s="298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">
      <c r="A25" s="34">
        <f t="shared" si="1"/>
        <v>18</v>
      </c>
      <c r="B25" s="298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">
      <c r="A26" s="34">
        <f t="shared" ref="A26:A41" si="6">A25+1</f>
        <v>19</v>
      </c>
      <c r="B26" s="298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">
      <c r="A27" s="34">
        <f t="shared" si="6"/>
        <v>20</v>
      </c>
      <c r="B27" s="298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">
      <c r="A28" s="34">
        <f t="shared" si="6"/>
        <v>21</v>
      </c>
      <c r="B28" s="298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">
      <c r="A29" s="34">
        <f t="shared" si="6"/>
        <v>22</v>
      </c>
      <c r="B29" s="298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">
      <c r="A30" s="34">
        <f t="shared" si="6"/>
        <v>23</v>
      </c>
      <c r="B30" s="298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">
      <c r="A31" s="34">
        <f t="shared" si="6"/>
        <v>24</v>
      </c>
      <c r="B31" s="298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">
      <c r="A32" s="34">
        <f t="shared" si="6"/>
        <v>25</v>
      </c>
      <c r="B32" s="298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">
      <c r="A33" s="34">
        <f t="shared" si="6"/>
        <v>26</v>
      </c>
      <c r="B33" s="298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">
      <c r="A34" s="34">
        <f t="shared" si="6"/>
        <v>27</v>
      </c>
      <c r="B34" s="298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">
      <c r="A35" s="34">
        <f t="shared" si="6"/>
        <v>28</v>
      </c>
      <c r="B35" s="298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">
      <c r="A36" s="34">
        <f t="shared" si="6"/>
        <v>29</v>
      </c>
      <c r="B36" s="298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">
      <c r="A37" s="34">
        <f t="shared" si="6"/>
        <v>30</v>
      </c>
      <c r="B37" s="298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">
      <c r="A38" s="34">
        <f t="shared" si="6"/>
        <v>31</v>
      </c>
      <c r="B38" s="298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">
      <c r="A39" s="34">
        <f t="shared" si="6"/>
        <v>32</v>
      </c>
      <c r="B39" s="298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">
      <c r="A40" s="34">
        <f t="shared" si="6"/>
        <v>33</v>
      </c>
      <c r="B40" s="298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">
      <c r="A41" s="34">
        <f t="shared" si="6"/>
        <v>34</v>
      </c>
      <c r="B41" s="298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">
      <c r="A42" s="34">
        <f t="shared" ref="A42:A57" si="10">A41+1</f>
        <v>35</v>
      </c>
      <c r="B42" s="298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">
      <c r="A43" s="34">
        <f t="shared" si="10"/>
        <v>36</v>
      </c>
      <c r="B43" s="298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">
      <c r="A44" s="34">
        <f t="shared" si="10"/>
        <v>37</v>
      </c>
      <c r="B44" s="298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">
      <c r="A45" s="34">
        <f t="shared" si="10"/>
        <v>38</v>
      </c>
      <c r="B45" s="298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">
      <c r="A46" s="34">
        <f t="shared" si="10"/>
        <v>39</v>
      </c>
      <c r="B46" s="298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">
      <c r="A47" s="34">
        <f t="shared" si="10"/>
        <v>40</v>
      </c>
      <c r="B47" s="298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">
      <c r="A48" s="34">
        <f t="shared" si="10"/>
        <v>41</v>
      </c>
      <c r="B48" s="298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597" t="str">
        <f>ASS!W18</f>
        <v/>
      </c>
      <c r="C11" s="597"/>
      <c r="D11" s="598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5" thickBot="1" x14ac:dyDescent="0.25">
      <c r="A33" s="308" t="s">
        <v>192</v>
      </c>
      <c r="B33" s="309"/>
      <c r="C33" s="309"/>
      <c r="D33" s="310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4"/>
  <sheetViews>
    <sheetView zoomScale="75" workbookViewId="0">
      <selection activeCell="I14" sqref="I14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6" width="11.7109375" style="1" customWidth="1"/>
    <col min="27" max="16384" width="9.140625" style="1"/>
  </cols>
  <sheetData>
    <row r="1" spans="1:9" ht="15.75" x14ac:dyDescent="0.25">
      <c r="A1" s="179" t="s">
        <v>211</v>
      </c>
      <c r="B1" s="180"/>
      <c r="C1" s="181"/>
      <c r="D1" s="183"/>
    </row>
    <row r="2" spans="1:9" ht="15.75" x14ac:dyDescent="0.25">
      <c r="A2" s="182">
        <f>ASS!A4</f>
        <v>0</v>
      </c>
      <c r="B2" s="183"/>
      <c r="C2" s="184"/>
      <c r="D2" s="183"/>
    </row>
    <row r="3" spans="1:9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17"/>
    </row>
    <row r="4" spans="1:9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" t="s">
        <v>194</v>
      </c>
    </row>
    <row r="5" spans="1:9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186"/>
    </row>
    <row r="6" spans="1:9" x14ac:dyDescent="0.2">
      <c r="A6" s="4"/>
      <c r="B6" s="4"/>
      <c r="C6" s="4"/>
      <c r="D6" s="4"/>
      <c r="E6" s="4"/>
      <c r="F6" s="4"/>
      <c r="G6" s="4"/>
      <c r="H6" s="4"/>
      <c r="I6" s="4"/>
    </row>
    <row r="7" spans="1:9" x14ac:dyDescent="0.2">
      <c r="A7" s="7" t="s">
        <v>212</v>
      </c>
      <c r="B7" s="10"/>
      <c r="C7" s="2"/>
      <c r="D7" s="2"/>
      <c r="E7" s="2"/>
      <c r="F7" s="2"/>
      <c r="G7" s="2"/>
      <c r="H7" s="2"/>
      <c r="I7" s="17"/>
    </row>
    <row r="8" spans="1:9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8">
        <f>SUM(D8:F8)</f>
        <v>18450.162816</v>
      </c>
    </row>
    <row r="9" spans="1:9" x14ac:dyDescent="0.2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8">
        <f>SUM(D9:F9)</f>
        <v>-2133.9560000000001</v>
      </c>
    </row>
    <row r="10" spans="1:9" x14ac:dyDescent="0.2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28">
        <f>SUM(D10:F10)</f>
        <v>0</v>
      </c>
    </row>
    <row r="11" spans="1:9" x14ac:dyDescent="0.2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>SUM(G8:G10)</f>
        <v>4500.6262563199998</v>
      </c>
      <c r="H11" s="30">
        <f>SUM(H8:H10)</f>
        <v>4555.7311214463998</v>
      </c>
      <c r="I11" s="60">
        <f>SUM(D11:F11)</f>
        <v>16316.206816</v>
      </c>
    </row>
    <row r="12" spans="1:9" x14ac:dyDescent="0.2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16"/>
    </row>
    <row r="13" spans="1:9" x14ac:dyDescent="0.2">
      <c r="A13" s="3"/>
      <c r="B13" s="4"/>
      <c r="C13" s="4"/>
      <c r="D13" s="4"/>
      <c r="E13" s="4"/>
      <c r="F13" s="4"/>
      <c r="G13" s="4"/>
      <c r="H13" s="4"/>
      <c r="I13" s="16"/>
    </row>
    <row r="14" spans="1:9" x14ac:dyDescent="0.2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>IF(G11&lt;0, 0, G11*G12)</f>
        <v>1800.2505025279997</v>
      </c>
      <c r="H14" s="187">
        <f>IF(H11&lt;0, 0, H11*H12)</f>
        <v>1822.2924485785597</v>
      </c>
      <c r="I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320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401">
        <f>F11/12*F6</f>
        <v>3.7499999999999999E-2</v>
      </c>
      <c r="G7" s="402">
        <f>IF($F$11=12,G6,(12-$F$11)/12*F6+($F$11)/12*G6)</f>
        <v>7.2190000000000004E-2</v>
      </c>
      <c r="H7" s="402">
        <f>IF($F$11=12,H6,(12-$F$11)/12*G6+($F$11)/12*H6)</f>
        <v>6.6669999999999993E-2</v>
      </c>
      <c r="I7" s="402">
        <f t="shared" ref="I7:O7" si="1">IF($F$11=12,I6,(12-$F$11)/12*H6+($F$11)/12*I6)</f>
        <v>6.1769999999999999E-2</v>
      </c>
      <c r="J7" s="402">
        <f t="shared" si="1"/>
        <v>5.713E-2</v>
      </c>
      <c r="K7" s="402">
        <f t="shared" si="1"/>
        <v>5.2850000000000001E-2</v>
      </c>
      <c r="L7" s="402">
        <f t="shared" si="1"/>
        <v>4.888E-2</v>
      </c>
      <c r="M7" s="402">
        <f t="shared" si="1"/>
        <v>4.5220000000000003E-2</v>
      </c>
      <c r="N7" s="402">
        <f t="shared" si="1"/>
        <v>4.462E-2</v>
      </c>
      <c r="O7" s="403">
        <f t="shared" si="1"/>
        <v>4.4609999999999997E-2</v>
      </c>
    </row>
    <row r="8" spans="1:17" ht="13.5" thickTop="1" x14ac:dyDescent="0.2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 t="e">
        <f>CF!#REF!</f>
        <v>#REF!</v>
      </c>
      <c r="L10" s="13" t="e">
        <f>CF!#REF!</f>
        <v>#REF!</v>
      </c>
      <c r="M10" s="13" t="e">
        <f>CF!#REF!</f>
        <v>#REF!</v>
      </c>
      <c r="N10" s="13" t="e">
        <f>CF!#REF!</f>
        <v>#REF!</v>
      </c>
      <c r="O10" s="13" t="e">
        <f>CF!#REF!</f>
        <v>#REF!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 t="e">
        <f>CF!#REF!</f>
        <v>#REF!</v>
      </c>
      <c r="L11" s="6" t="e">
        <f>CF!#REF!</f>
        <v>#REF!</v>
      </c>
      <c r="M11" s="6" t="e">
        <f>CF!#REF!</f>
        <v>#REF!</v>
      </c>
      <c r="N11" s="6" t="e">
        <f>CF!#REF!</f>
        <v>#REF!</v>
      </c>
      <c r="O11" s="6" t="e">
        <f>CF!#REF!</f>
        <v>#REF!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336</v>
      </c>
      <c r="C15" s="4"/>
      <c r="D15" s="4"/>
      <c r="E15" s="28">
        <f>ASS!I19</f>
        <v>12100</v>
      </c>
      <c r="F15" s="297">
        <f>$E$15*F7</f>
        <v>453.75</v>
      </c>
      <c r="G15" s="382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 t="e">
        <f>IF(ASS!$J$21=0, 0, IF(K9=ASS!$J$21,$E$26-SUM($F$26:J26),IF(K9&gt;TERM,0,IF(K9&lt;ASS!$J$21+1, SLN(ASS!$I$21,0,ASS!$J$21)*K11/12, IF(K9=ASS!$J$21+1, SLN(ASS!$I$21,0,ASS!$J$21)*(12-K11)/12, 0)))))</f>
        <v>#REF!</v>
      </c>
      <c r="L26" s="27" t="e">
        <f>IF(ASS!$J$21=0, 0, IF(L9=ASS!$J$21,$E$26-SUM($F$26:K26),IF(L9&gt;TERM,0,IF(L9&lt;ASS!$J$21+1, SLN(ASS!$I$21,0,ASS!$J$21)*L11/12, IF(L9=ASS!$J$21+1, SLN(ASS!$I$21,0,ASS!$J$21)*(12-L11)/12, 0)))))</f>
        <v>#REF!</v>
      </c>
      <c r="M26" s="27" t="e">
        <f>IF(ASS!$J$21=0, 0, IF(M9=ASS!$J$21,$E$26-SUM($F$26:L26),IF(M9&gt;TERM,0,IF(M9&lt;ASS!$J$21+1, SLN(ASS!$I$21,0,ASS!$J$21)*M11/12, IF(M9=ASS!$J$21+1, SLN(ASS!$I$21,0,ASS!$J$21)*(12-M11)/12, 0)))))</f>
        <v>#REF!</v>
      </c>
      <c r="N26" s="27" t="e">
        <f>IF(ASS!$J$21=0, 0, IF(N9=ASS!$J$21,$E$26-SUM($F$26:M26),IF(N9&gt;TERM,0,IF(N9&lt;ASS!$J$21+1, SLN(ASS!$I$21,0,ASS!$J$21)*N11/12, IF(N9=ASS!$J$21+1, SLN(ASS!$I$21,0,ASS!$J$21)*(12-N11)/12, 0)))))</f>
        <v>#REF!</v>
      </c>
      <c r="O26" s="27" t="e">
        <f>IF(ASS!$J$21=0, 0, IF(O9=ASS!$J$21,$E$26-SUM($F$26:N26),IF(O9&gt;TERM,0,IF(O9&lt;ASS!$J$21+1, SLN(ASS!$I$21,0,ASS!$J$21)*O11/12, IF(O9=ASS!$J$21+1, SLN(ASS!$I$21,0,ASS!$J$21)*(12-O11)/12, 0)))))</f>
        <v>#REF!</v>
      </c>
      <c r="P26" s="28" t="e">
        <f>SUM(F26:O26)</f>
        <v>#REF!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 t="e">
        <f t="shared" si="9"/>
        <v>#REF!</v>
      </c>
      <c r="L27" s="27" t="e">
        <f t="shared" si="9"/>
        <v>#REF!</v>
      </c>
      <c r="M27" s="27" t="e">
        <f t="shared" si="9"/>
        <v>#REF!</v>
      </c>
      <c r="N27" s="27" t="e">
        <f t="shared" si="9"/>
        <v>#REF!</v>
      </c>
      <c r="O27" s="27" t="e">
        <f t="shared" si="9"/>
        <v>#REF!</v>
      </c>
      <c r="P27" s="28" t="e">
        <f>SUM(F27:O27)</f>
        <v>#REF!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 t="e">
        <f t="shared" si="10"/>
        <v>#REF!</v>
      </c>
      <c r="L28" s="245" t="e">
        <f t="shared" si="10"/>
        <v>#REF!</v>
      </c>
      <c r="M28" s="245" t="e">
        <f t="shared" si="10"/>
        <v>#REF!</v>
      </c>
      <c r="N28" s="245" t="e">
        <f t="shared" si="10"/>
        <v>#REF!</v>
      </c>
      <c r="O28" s="245" t="e">
        <f t="shared" si="10"/>
        <v>#REF!</v>
      </c>
      <c r="P28" s="28" t="e">
        <f>SUM(F28:O28)</f>
        <v>#REF!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 t="e">
        <f t="shared" si="11"/>
        <v>#REF!</v>
      </c>
      <c r="M30" s="27" t="e">
        <f t="shared" si="11"/>
        <v>#REF!</v>
      </c>
      <c r="N30" s="27" t="e">
        <f t="shared" si="11"/>
        <v>#REF!</v>
      </c>
      <c r="O30" s="27" t="e">
        <f t="shared" si="11"/>
        <v>#REF!</v>
      </c>
      <c r="P30" s="28" t="e">
        <f>SUM(F30:O30)</f>
        <v>#REF!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 t="e">
        <f t="shared" si="12"/>
        <v>#REF!</v>
      </c>
      <c r="L32" s="29" t="e">
        <f t="shared" si="12"/>
        <v>#REF!</v>
      </c>
      <c r="M32" s="29" t="e">
        <f t="shared" si="12"/>
        <v>#REF!</v>
      </c>
      <c r="N32" s="29" t="e">
        <f t="shared" si="12"/>
        <v>#REF!</v>
      </c>
      <c r="O32" s="29" t="e">
        <f t="shared" si="12"/>
        <v>#REF!</v>
      </c>
      <c r="P32" s="28" t="e">
        <f>SUM(F32:O32)</f>
        <v>#REF!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 t="e">
        <f t="shared" si="13"/>
        <v>#REF!</v>
      </c>
      <c r="L33" s="32" t="e">
        <f t="shared" si="13"/>
        <v>#REF!</v>
      </c>
      <c r="M33" s="32" t="e">
        <f t="shared" si="13"/>
        <v>#REF!</v>
      </c>
      <c r="N33" s="32" t="e">
        <f t="shared" si="13"/>
        <v>#REF!</v>
      </c>
      <c r="O33" s="32" t="e">
        <f t="shared" si="13"/>
        <v>#REF!</v>
      </c>
      <c r="P33" s="33" t="e">
        <f>SUM(F33:O33)</f>
        <v>#REF!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 t="e">
        <f>IF(ASS!$J$23=0, 0, IF(K9=ASS!$J$23,$E$37-SUM($F$37:J37),IF(K9&gt;TERM,0,IF(K9&lt;ASS!$J$23, SLN(ASS!$I$23,0,ASS!$J$23)*K11/12, IF(K9=ASS!$J$23, SLN(ASS!$I$23,0,ASS!$J$23)*(12-K11)/12, 0)))))</f>
        <v>#REF!</v>
      </c>
      <c r="L37" s="239" t="e">
        <f>IF(ASS!$J$23=0, 0, IF(L9=ASS!$J$23,$E$37-SUM($F$37:K37),IF(L9&gt;TERM,0,IF(L9&lt;ASS!$J$23, SLN(ASS!$I$23,0,ASS!$J$23)*L11/12, IF(L9=ASS!$J$23, SLN(ASS!$I$23,0,ASS!$J$23)*(12-L11)/12, 0)))))</f>
        <v>#REF!</v>
      </c>
      <c r="M37" s="239" t="e">
        <f>IF(ASS!$J$23=0, 0, IF(M9=ASS!$J$23,$E$37-SUM($F$37:L37),IF(M9&gt;TERM,0,IF(M9&lt;ASS!$J$23, SLN(ASS!$I$23,0,ASS!$J$23)*M11/12, IF(M9=ASS!$J$23, SLN(ASS!$I$23,0,ASS!$J$23)*(12-M11)/12, 0)))))</f>
        <v>#REF!</v>
      </c>
      <c r="N37" s="239" t="e">
        <f>IF(ASS!$J$23=0, 0, IF(N9=ASS!$J$23,$E$37-SUM($F$37:M37),IF(N9&gt;TERM,0,IF(N9&lt;ASS!$J$23, SLN(ASS!$I$23,0,ASS!$J$23)*N11/12, IF(N9=ASS!$J$23, SLN(ASS!$I$23,0,ASS!$J$23)*(12-N11)/12, 0)))))</f>
        <v>#REF!</v>
      </c>
      <c r="O37" s="239" t="e">
        <f>IF(ASS!$J$23=0, 0, IF(O9=ASS!$J$23,$E$37-SUM($F$37:N37),IF(O9&gt;TERM,0,IF(O9&lt;ASS!$J$23, SLN(ASS!$I$23,0,ASS!$J$23)*O11/12, IF(O9=ASS!$J$23, SLN(ASS!$I$23,0,ASS!$J$23)*(12-O11)/12, 0)))))</f>
        <v>#REF!</v>
      </c>
      <c r="P37" s="28" t="e">
        <f>SUM(F37:O37)</f>
        <v>#REF!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 t="e">
        <f t="shared" si="14"/>
        <v>#REF!</v>
      </c>
      <c r="L38" s="27" t="e">
        <f t="shared" si="14"/>
        <v>#REF!</v>
      </c>
      <c r="M38" s="27" t="e">
        <f t="shared" si="14"/>
        <v>#REF!</v>
      </c>
      <c r="N38" s="27" t="e">
        <f t="shared" si="14"/>
        <v>#REF!</v>
      </c>
      <c r="O38" s="27" t="e">
        <f t="shared" si="14"/>
        <v>#REF!</v>
      </c>
      <c r="P38" s="28" t="e">
        <f t="shared" ref="P38:P44" si="15">SUM(F38:O38)</f>
        <v>#REF!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 t="e">
        <f>SUM($F$38:K38)</f>
        <v>#REF!</v>
      </c>
      <c r="L39" s="241" t="e">
        <f>SUM($F$38:L38)</f>
        <v>#REF!</v>
      </c>
      <c r="M39" s="241" t="e">
        <f>SUM($F$38:M38)</f>
        <v>#REF!</v>
      </c>
      <c r="N39" s="241" t="e">
        <f>SUM($F$38:N38)</f>
        <v>#REF!</v>
      </c>
      <c r="O39" s="241" t="e">
        <f>SUM($F$38:O38)</f>
        <v>#REF!</v>
      </c>
      <c r="P39" s="28" t="e">
        <f t="shared" si="15"/>
        <v>#REF!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 t="e">
        <f t="shared" si="16"/>
        <v>#REF!</v>
      </c>
      <c r="M41" s="27" t="e">
        <f t="shared" si="16"/>
        <v>#REF!</v>
      </c>
      <c r="N41" s="27" t="e">
        <f t="shared" si="16"/>
        <v>#REF!</v>
      </c>
      <c r="O41" s="27" t="e">
        <f t="shared" si="16"/>
        <v>#REF!</v>
      </c>
      <c r="P41" s="28" t="e">
        <f t="shared" si="15"/>
        <v>#REF!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 t="e">
        <f t="shared" si="17"/>
        <v>#REF!</v>
      </c>
      <c r="L43" s="29" t="e">
        <f t="shared" si="17"/>
        <v>#REF!</v>
      </c>
      <c r="M43" s="29" t="e">
        <f t="shared" si="17"/>
        <v>#REF!</v>
      </c>
      <c r="N43" s="29" t="e">
        <f t="shared" si="17"/>
        <v>#REF!</v>
      </c>
      <c r="O43" s="29" t="e">
        <f t="shared" si="17"/>
        <v>#REF!</v>
      </c>
      <c r="P43" s="28" t="e">
        <f t="shared" si="15"/>
        <v>#REF!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 t="e">
        <f t="shared" si="18"/>
        <v>#REF!</v>
      </c>
      <c r="L44" s="32" t="e">
        <f t="shared" si="18"/>
        <v>#REF!</v>
      </c>
      <c r="M44" s="32" t="e">
        <f t="shared" si="18"/>
        <v>#REF!</v>
      </c>
      <c r="N44" s="32" t="e">
        <f t="shared" si="18"/>
        <v>#REF!</v>
      </c>
      <c r="O44" s="32" t="e">
        <f t="shared" si="18"/>
        <v>#REF!</v>
      </c>
      <c r="P44" s="33" t="e">
        <f t="shared" si="15"/>
        <v>#REF!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2000-09-11T17:43:39Z</cp:lastPrinted>
  <dcterms:created xsi:type="dcterms:W3CDTF">1997-10-01T15:48:53Z</dcterms:created>
  <dcterms:modified xsi:type="dcterms:W3CDTF">2023-09-13T21:29:16Z</dcterms:modified>
</cp:coreProperties>
</file>