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68BAD3B-5C3D-44A2-A05E-CF546A285272}" xr6:coauthVersionLast="47" xr6:coauthVersionMax="47" xr10:uidLastSave="{00000000-0000-0000-0000-000000000000}"/>
  <bookViews>
    <workbookView xWindow="-120" yWindow="-120" windowWidth="38640" windowHeight="15720" tabRatio="892" activeTab="6"/>
  </bookViews>
  <sheets>
    <sheet name="ASS" sheetId="6" r:id="rId1"/>
    <sheet name="CF" sheetId="7" r:id="rId2"/>
    <sheet name="RETURNS" sheetId="8" r:id="rId3"/>
    <sheet name="DRAWDOWN" sheetId="12" r:id="rId4"/>
    <sheet name="IDC" sheetId="13" state="hidden" r:id="rId5"/>
    <sheet name="FIN" sheetId="14" state="hidden" r:id="rId6"/>
    <sheet name="TAXES_FEES" sheetId="15" r:id="rId7"/>
    <sheet name="DEPR" sheetId="16" r:id="rId8"/>
    <sheet name="BS_IS" sheetId="17" r:id="rId9"/>
  </sheets>
  <externalReferences>
    <externalReference r:id="rId10"/>
  </externalReferences>
  <definedNames>
    <definedName name="ASS">ASS!$A$3:$X$88</definedName>
    <definedName name="avail">ASS!$D$9</definedName>
    <definedName name="BLANK">ASS!$A$6</definedName>
    <definedName name="BS">BS_IS!$A$1:$Q$85</definedName>
    <definedName name="capacity">ASS!$D$8</definedName>
    <definedName name="CCINPUT">ASS!$R$49</definedName>
    <definedName name="CCIRR1">#REF!</definedName>
    <definedName name="CCIRR2">#REF!</definedName>
    <definedName name="CCIRR3">#REF!</definedName>
    <definedName name="CCNPV1">#REF!</definedName>
    <definedName name="CCNPV2">#REF!</definedName>
    <definedName name="CCNPV3">#REF!</definedName>
    <definedName name="CCTAR1">#REF!</definedName>
    <definedName name="CCTAR2">#REF!</definedName>
    <definedName name="CCTAR3">#REF!</definedName>
    <definedName name="CCTEMP">ASS!$Q$48</definedName>
    <definedName name="CCVAR">ASS!$Q$49</definedName>
    <definedName name="CCVAR1">ASS!$P$49</definedName>
    <definedName name="CF">CF!$A$1:$N$70</definedName>
    <definedName name="ch">#REF!</definedName>
    <definedName name="COST">ASS!$R$52</definedName>
    <definedName name="CPI">ASS!$E$39</definedName>
    <definedName name="CT_COMFEE">TAXES_FEES!$A$1:$AJ$15</definedName>
    <definedName name="DEBT">ASS!$X$20</definedName>
    <definedName name="DEBTPERC">ASS!$V$20</definedName>
    <definedName name="DEPR">DEPR!$A$1:$P$44</definedName>
    <definedName name="DISC">ASS!$V$9</definedName>
    <definedName name="dispatch">ASS!$D$11</definedName>
    <definedName name="DRAW_TABLE">DRAWDOWN!$A$8:$G$69</definedName>
    <definedName name="DRAWDOWN">DRAWDOWN!$A$1:$H$70</definedName>
    <definedName name="DUTIES">ASS!#REF!</definedName>
    <definedName name="EINC">#REF!</definedName>
    <definedName name="EITF_91_6">#REF!</definedName>
    <definedName name="EQUITY">ASS!$X$21</definedName>
    <definedName name="equityperc">ASS!$V$21</definedName>
    <definedName name="EST_COMMITT">ASS!$AE$11</definedName>
    <definedName name="EST_COST">ASS!$AE$13</definedName>
    <definedName name="EST_COST1">ASS!$P$48</definedName>
    <definedName name="EST_D1">ASS!$AE$14</definedName>
    <definedName name="EST_D3">ASS!$AE$16</definedName>
    <definedName name="EST_D4">ASS!$AE$17</definedName>
    <definedName name="EST_D5">ASS!$AE$18</definedName>
    <definedName name="EST_D6">ASS!$AE$19</definedName>
    <definedName name="EST_DEBTPERC">ASS!#REF!</definedName>
    <definedName name="EST_DEV">ASS!$AE$12</definedName>
    <definedName name="EST_EXIM">ASS!$AE$15</definedName>
    <definedName name="EST_FIN">ASS!$AF$10</definedName>
    <definedName name="EST_IDC">ASS!$AE$8</definedName>
    <definedName name="EST_IRR">ASS!#REF!</definedName>
    <definedName name="FIN">FIN!$A$1:$AD$61</definedName>
    <definedName name="FIN_TABLE">FIN!$B$21:$AB$60</definedName>
    <definedName name="HR">ASS!$D$10</definedName>
    <definedName name="IDC">IDC!$A$1:$L$34</definedName>
    <definedName name="IDC_TABLE">IDC!$E$5:$J$31</definedName>
    <definedName name="idc_table1">IDC!$E$4:$K$31</definedName>
    <definedName name="INPUTS">ASS!$AF$8:$AF$19</definedName>
    <definedName name="_INT1">ASS!#REF!</definedName>
    <definedName name="_INT2">ASS!#REF!</definedName>
    <definedName name="_INT3">ASS!#REF!</definedName>
    <definedName name="_INT4">ASS!#REF!</definedName>
    <definedName name="_INT5">ASS!#REF!</definedName>
    <definedName name="_INT6">ASS!#REF!</definedName>
    <definedName name="IR1A">ASS!#REF!</definedName>
    <definedName name="IR1B">ASS!#REF!</definedName>
    <definedName name="IR1TEMP">ASS!#REF!</definedName>
    <definedName name="IR2A">ASS!#REF!</definedName>
    <definedName name="IR2B">ASS!#REF!</definedName>
    <definedName name="IR2TEMP">ASS!#REF!</definedName>
    <definedName name="IR3A">ASS!#REF!</definedName>
    <definedName name="IR3B">ASS!#REF!</definedName>
    <definedName name="IR3TEMP">ASS!#REF!</definedName>
    <definedName name="IR4A">ASS!#REF!</definedName>
    <definedName name="IR4B">ASS!#REF!</definedName>
    <definedName name="IR4TEMP">ASS!#REF!</definedName>
    <definedName name="IR5A">ASS!#REF!</definedName>
    <definedName name="IR5B">ASS!#REF!</definedName>
    <definedName name="IR5TEMP">ASS!#REF!</definedName>
    <definedName name="IR6A">ASS!#REF!</definedName>
    <definedName name="IR6B">ASS!#REF!</definedName>
    <definedName name="IR6TEMP">ASS!#REF!</definedName>
    <definedName name="IRIRR1">#REF!</definedName>
    <definedName name="IRIRR2">#REF!</definedName>
    <definedName name="IRIRR3">#REF!</definedName>
    <definedName name="IRNPV1">#REF!</definedName>
    <definedName name="IRNPV2">#REF!</definedName>
    <definedName name="IRNPV3">#REF!</definedName>
    <definedName name="IRR">ASS!$W$9</definedName>
    <definedName name="IRRFACTOR">ASS!$Z$10</definedName>
    <definedName name="IRTAR1">#REF!</definedName>
    <definedName name="IRTAR2">#REF!</definedName>
    <definedName name="IRTAR3">#REF!</definedName>
    <definedName name="Line_Cost">ASS!$R$18</definedName>
    <definedName name="loopfactor">ASS!$AI$23</definedName>
    <definedName name="Loss">ASS!$D$12</definedName>
    <definedName name="MOSYR1">ASS!$D$17</definedName>
    <definedName name="NEG">ASS!$D$20</definedName>
    <definedName name="NPV">ASS!$X$9</definedName>
    <definedName name="OMIRR1">#REF!</definedName>
    <definedName name="OMIRR2">#REF!</definedName>
    <definedName name="OMIRR3">#REF!</definedName>
    <definedName name="OMNPV1">#REF!</definedName>
    <definedName name="OMNPV2">#REF!</definedName>
    <definedName name="OMNPV3">#REF!</definedName>
    <definedName name="OMTAR1">#REF!</definedName>
    <definedName name="OMTAR2">#REF!</definedName>
    <definedName name="OMTAR3">#REF!</definedName>
    <definedName name="OPIC">ASS!#REF!</definedName>
    <definedName name="option">ASS!$R$46</definedName>
    <definedName name="POS">ASS!$C$20</definedName>
    <definedName name="_xlnm.Print_Area" localSheetId="0">ASS!$A$3:$X$88</definedName>
    <definedName name="_xlnm.Print_Area" localSheetId="8">BS_IS!$A$1:$Q$85</definedName>
    <definedName name="_xlnm.Print_Area" localSheetId="1">CF!$A$1:$N$70</definedName>
    <definedName name="_xlnm.Print_Area" localSheetId="7">DEPR!$A$1:$P$44</definedName>
    <definedName name="_xlnm.Print_Area" localSheetId="3">DRAWDOWN!$A$1:$H$70</definedName>
    <definedName name="_xlnm.Print_Area" localSheetId="5">FIN!$A$1:$AD$61</definedName>
    <definedName name="_xlnm.Print_Area" localSheetId="4">IDC!$A$1:$L$34</definedName>
    <definedName name="_xlnm.Print_Area" localSheetId="2">RETURNS!$A$1:$R$66</definedName>
    <definedName name="_xlnm.Print_Area" localSheetId="6">TAXES_FEES!$A$1:$AJ$15</definedName>
    <definedName name="_REF1">#REF!</definedName>
    <definedName name="_REF2">#REF!</definedName>
    <definedName name="_REF3">#REF!</definedName>
    <definedName name="_REF4">#REF!</definedName>
    <definedName name="RET_TABLE">RETURNS!$D$3:$Q$53</definedName>
    <definedName name="RETURNS">RETURNS!$A$1:$R$66</definedName>
    <definedName name="sens">#REF!</definedName>
    <definedName name="SENS_TABLE">#REF!</definedName>
    <definedName name="solver_adj" localSheetId="0" hidden="1">ASS!$C$26</definedName>
    <definedName name="solver_cvg" localSheetId="0" hidden="1">0.001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ASS!#REF!</definedName>
    <definedName name="solver_lin" localSheetId="0" hidden="1">2</definedName>
    <definedName name="solver_neg" localSheetId="0" hidden="1">2</definedName>
    <definedName name="solver_num" localSheetId="0" hidden="1">1</definedName>
    <definedName name="solver_nwt" localSheetId="0" hidden="1">1</definedName>
    <definedName name="solver_opt" localSheetId="0" hidden="1">ASS!$W$9</definedName>
    <definedName name="solver_pre" localSheetId="0" hidden="1">0.000001</definedName>
    <definedName name="solver_rel1" localSheetId="0" hidden="1">3</definedName>
    <definedName name="solver_rhs1" localSheetId="0" hidden="1">1.4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0.15</definedName>
    <definedName name="SPARES">ASS!$R$45</definedName>
    <definedName name="STARTCONST">ASS!$D$15</definedName>
    <definedName name="STARTYR">ASS!$E$17</definedName>
    <definedName name="TARGET">ASS!$W$10</definedName>
    <definedName name="TARIFF">ASS!$C$26</definedName>
    <definedName name="TAX">ASS!$I$9</definedName>
    <definedName name="TEMP">ASS!$E$20</definedName>
    <definedName name="TERM">ASS!$E$18</definedName>
    <definedName name="TERM_C">ASS!$E$16</definedName>
    <definedName name="toc">#REF!</definedName>
    <definedName name="USTAX">ASS!$I$15</definedName>
    <definedName name="VALUES">ASS!$AE$8:$AE$19</definedName>
    <definedName name="VAT">ASS!#REF!</definedName>
    <definedName name="WCAP">ASS!$R$44</definedName>
    <definedName name="WHTAX">ASS!#REF!</definedName>
  </definedNames>
  <calcPr calcId="0"/>
</workbook>
</file>

<file path=xl/calcChain.xml><?xml version="1.0" encoding="utf-8"?>
<calcChain xmlns="http://schemas.openxmlformats.org/spreadsheetml/2006/main">
  <c r="D3" i="6" l="1"/>
  <c r="D4" i="6"/>
  <c r="J4" i="6"/>
  <c r="D7" i="6"/>
  <c r="R8" i="6"/>
  <c r="W9" i="6"/>
  <c r="X9" i="6"/>
  <c r="R12" i="6"/>
  <c r="V12" i="6"/>
  <c r="W12" i="6"/>
  <c r="X12" i="6"/>
  <c r="R13" i="6"/>
  <c r="X13" i="6"/>
  <c r="R14" i="6"/>
  <c r="D15" i="6"/>
  <c r="R15" i="6"/>
  <c r="R17" i="6"/>
  <c r="R18" i="6"/>
  <c r="R19" i="6"/>
  <c r="C20" i="6"/>
  <c r="D20" i="6"/>
  <c r="V20" i="6"/>
  <c r="X20" i="6"/>
  <c r="R21" i="6"/>
  <c r="X21" i="6"/>
  <c r="R22" i="6"/>
  <c r="V22" i="6"/>
  <c r="X22" i="6"/>
  <c r="R24" i="6"/>
  <c r="K26" i="6"/>
  <c r="I27" i="6"/>
  <c r="J27" i="6"/>
  <c r="K27" i="6"/>
  <c r="K28" i="6"/>
  <c r="C29" i="6"/>
  <c r="D34" i="6"/>
  <c r="R34" i="6"/>
  <c r="R40" i="6"/>
  <c r="E42" i="6"/>
  <c r="E43" i="6"/>
  <c r="R43" i="6"/>
  <c r="E44" i="6"/>
  <c r="E45" i="6"/>
  <c r="E46" i="6"/>
  <c r="E47" i="6"/>
  <c r="R47" i="6"/>
  <c r="E48" i="6"/>
  <c r="E49" i="6"/>
  <c r="E50" i="6"/>
  <c r="E51" i="6"/>
  <c r="R51" i="6"/>
  <c r="E52" i="6"/>
  <c r="R52" i="6"/>
  <c r="E53" i="6"/>
  <c r="C54" i="6"/>
  <c r="E54" i="6"/>
  <c r="E56" i="6"/>
  <c r="E57" i="6"/>
  <c r="E58" i="6"/>
  <c r="E59" i="6"/>
  <c r="E60" i="6"/>
  <c r="A2" i="17"/>
  <c r="G3" i="17"/>
  <c r="H3" i="17"/>
  <c r="I3" i="17"/>
  <c r="J3" i="17"/>
  <c r="K3" i="17"/>
  <c r="L3" i="17"/>
  <c r="M3" i="17"/>
  <c r="N3" i="17"/>
  <c r="O3" i="17"/>
  <c r="P3" i="17"/>
  <c r="G4" i="17"/>
  <c r="H4" i="17"/>
  <c r="I4" i="17"/>
  <c r="J4" i="17"/>
  <c r="K4" i="17"/>
  <c r="L4" i="17"/>
  <c r="M4" i="17"/>
  <c r="N4" i="17"/>
  <c r="O4" i="17"/>
  <c r="P4" i="17"/>
  <c r="G6" i="17"/>
  <c r="H6" i="17"/>
  <c r="I6" i="17"/>
  <c r="J6" i="17"/>
  <c r="K6" i="17"/>
  <c r="L6" i="17"/>
  <c r="M6" i="17"/>
  <c r="N6" i="17"/>
  <c r="O6" i="17"/>
  <c r="P6" i="17"/>
  <c r="Q6" i="17"/>
  <c r="G7" i="17"/>
  <c r="H7" i="17"/>
  <c r="I7" i="17"/>
  <c r="J7" i="17"/>
  <c r="K7" i="17"/>
  <c r="L7" i="17"/>
  <c r="M7" i="17"/>
  <c r="N7" i="17"/>
  <c r="O7" i="17"/>
  <c r="P7" i="17"/>
  <c r="F8" i="17"/>
  <c r="G8" i="17"/>
  <c r="H8" i="17"/>
  <c r="I8" i="17"/>
  <c r="J8" i="17"/>
  <c r="K8" i="17"/>
  <c r="L8" i="17"/>
  <c r="M8" i="17"/>
  <c r="N8" i="17"/>
  <c r="O8" i="17"/>
  <c r="P8" i="17"/>
  <c r="Q8" i="17"/>
  <c r="G9" i="17"/>
  <c r="H9" i="17"/>
  <c r="I9" i="17"/>
  <c r="J9" i="17"/>
  <c r="K9" i="17"/>
  <c r="L9" i="17"/>
  <c r="M9" i="17"/>
  <c r="N9" i="17"/>
  <c r="O9" i="17"/>
  <c r="P9" i="17"/>
  <c r="Q9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G12" i="17"/>
  <c r="H12" i="17"/>
  <c r="I12" i="17"/>
  <c r="J12" i="17"/>
  <c r="K12" i="17"/>
  <c r="L12" i="17"/>
  <c r="M12" i="17"/>
  <c r="N12" i="17"/>
  <c r="O12" i="17"/>
  <c r="P12" i="17"/>
  <c r="Q12" i="17"/>
  <c r="G13" i="17"/>
  <c r="H13" i="17"/>
  <c r="I13" i="17"/>
  <c r="J13" i="17"/>
  <c r="K13" i="17"/>
  <c r="L13" i="17"/>
  <c r="M13" i="17"/>
  <c r="N13" i="17"/>
  <c r="O13" i="17"/>
  <c r="P13" i="17"/>
  <c r="Q13" i="17"/>
  <c r="G14" i="17"/>
  <c r="H14" i="17"/>
  <c r="I14" i="17"/>
  <c r="J14" i="17"/>
  <c r="K14" i="17"/>
  <c r="L14" i="17"/>
  <c r="M14" i="17"/>
  <c r="N14" i="17"/>
  <c r="O14" i="17"/>
  <c r="P14" i="17"/>
  <c r="Q14" i="17"/>
  <c r="F15" i="17"/>
  <c r="G15" i="17"/>
  <c r="H15" i="17"/>
  <c r="I15" i="17"/>
  <c r="J15" i="17"/>
  <c r="K15" i="17"/>
  <c r="L15" i="17"/>
  <c r="M15" i="17"/>
  <c r="N15" i="17"/>
  <c r="O15" i="17"/>
  <c r="P15" i="17"/>
  <c r="Q15" i="17"/>
  <c r="G17" i="17"/>
  <c r="H17" i="17"/>
  <c r="I17" i="17"/>
  <c r="J17" i="17"/>
  <c r="K17" i="17"/>
  <c r="L17" i="17"/>
  <c r="M17" i="17"/>
  <c r="N17" i="17"/>
  <c r="O17" i="17"/>
  <c r="P17" i="17"/>
  <c r="Q17" i="17"/>
  <c r="Q20" i="17"/>
  <c r="Q21" i="17"/>
  <c r="Q22" i="17"/>
  <c r="G23" i="17"/>
  <c r="H23" i="17"/>
  <c r="I23" i="17"/>
  <c r="J23" i="17"/>
  <c r="K23" i="17"/>
  <c r="L23" i="17"/>
  <c r="M23" i="17"/>
  <c r="N23" i="17"/>
  <c r="O23" i="17"/>
  <c r="P23" i="17"/>
  <c r="Q23" i="17"/>
  <c r="F24" i="17"/>
  <c r="G24" i="17"/>
  <c r="H24" i="17"/>
  <c r="I24" i="17"/>
  <c r="J24" i="17"/>
  <c r="K24" i="17"/>
  <c r="L24" i="17"/>
  <c r="M24" i="17"/>
  <c r="N24" i="17"/>
  <c r="O24" i="17"/>
  <c r="P24" i="17"/>
  <c r="Q24" i="17"/>
  <c r="G25" i="17"/>
  <c r="H25" i="17"/>
  <c r="I25" i="17"/>
  <c r="J25" i="17"/>
  <c r="K25" i="17"/>
  <c r="L25" i="17"/>
  <c r="M25" i="17"/>
  <c r="N25" i="17"/>
  <c r="O25" i="17"/>
  <c r="P25" i="17"/>
  <c r="Q25" i="17"/>
  <c r="G28" i="17"/>
  <c r="H28" i="17"/>
  <c r="I28" i="17"/>
  <c r="J28" i="17"/>
  <c r="K28" i="17"/>
  <c r="L28" i="17"/>
  <c r="M28" i="17"/>
  <c r="N28" i="17"/>
  <c r="O28" i="17"/>
  <c r="P28" i="17"/>
  <c r="Q28" i="17"/>
  <c r="G29" i="17"/>
  <c r="H29" i="17"/>
  <c r="I29" i="17"/>
  <c r="J29" i="17"/>
  <c r="K29" i="17"/>
  <c r="L29" i="17"/>
  <c r="M29" i="17"/>
  <c r="N29" i="17"/>
  <c r="O29" i="17"/>
  <c r="P29" i="17"/>
  <c r="Q29" i="17"/>
  <c r="G30" i="17"/>
  <c r="H30" i="17"/>
  <c r="I30" i="17"/>
  <c r="J30" i="17"/>
  <c r="K30" i="17"/>
  <c r="L30" i="17"/>
  <c r="M30" i="17"/>
  <c r="N30" i="17"/>
  <c r="O30" i="17"/>
  <c r="P30" i="17"/>
  <c r="Q30" i="17"/>
  <c r="G31" i="17"/>
  <c r="H31" i="17"/>
  <c r="I31" i="17"/>
  <c r="J31" i="17"/>
  <c r="K31" i="17"/>
  <c r="L31" i="17"/>
  <c r="M31" i="17"/>
  <c r="N31" i="17"/>
  <c r="O31" i="17"/>
  <c r="P31" i="17"/>
  <c r="Q31" i="17"/>
  <c r="Q32" i="17"/>
  <c r="G33" i="17"/>
  <c r="H33" i="17"/>
  <c r="I33" i="17"/>
  <c r="J33" i="17"/>
  <c r="K33" i="17"/>
  <c r="L33" i="17"/>
  <c r="M33" i="17"/>
  <c r="N33" i="17"/>
  <c r="O33" i="17"/>
  <c r="P33" i="17"/>
  <c r="Q33" i="17"/>
  <c r="G35" i="17"/>
  <c r="H35" i="17"/>
  <c r="I35" i="17"/>
  <c r="J35" i="17"/>
  <c r="K35" i="17"/>
  <c r="L35" i="17"/>
  <c r="M35" i="17"/>
  <c r="N35" i="17"/>
  <c r="O35" i="17"/>
  <c r="P35" i="17"/>
  <c r="Q35" i="17"/>
  <c r="G39" i="17"/>
  <c r="H39" i="17"/>
  <c r="I39" i="17"/>
  <c r="J39" i="17"/>
  <c r="K39" i="17"/>
  <c r="L39" i="17"/>
  <c r="M39" i="17"/>
  <c r="N39" i="17"/>
  <c r="O39" i="17"/>
  <c r="P39" i="17"/>
  <c r="G40" i="17"/>
  <c r="H40" i="17"/>
  <c r="I40" i="17"/>
  <c r="J40" i="17"/>
  <c r="K40" i="17"/>
  <c r="L40" i="17"/>
  <c r="M40" i="17"/>
  <c r="N40" i="17"/>
  <c r="O40" i="17"/>
  <c r="P40" i="17"/>
  <c r="G41" i="17"/>
  <c r="H41" i="17"/>
  <c r="I41" i="17"/>
  <c r="J41" i="17"/>
  <c r="K41" i="17"/>
  <c r="L41" i="17"/>
  <c r="M41" i="17"/>
  <c r="N41" i="17"/>
  <c r="O41" i="17"/>
  <c r="P41" i="17"/>
  <c r="Q41" i="17"/>
  <c r="G43" i="17"/>
  <c r="H43" i="17"/>
  <c r="I43" i="17"/>
  <c r="J43" i="17"/>
  <c r="K43" i="17"/>
  <c r="L43" i="17"/>
  <c r="M43" i="17"/>
  <c r="N43" i="17"/>
  <c r="O43" i="17"/>
  <c r="P43" i="17"/>
  <c r="Q43" i="17"/>
  <c r="G44" i="17"/>
  <c r="H44" i="17"/>
  <c r="I44" i="17"/>
  <c r="J44" i="17"/>
  <c r="K44" i="17"/>
  <c r="L44" i="17"/>
  <c r="M44" i="17"/>
  <c r="N44" i="17"/>
  <c r="O44" i="17"/>
  <c r="P44" i="17"/>
  <c r="Q44" i="17"/>
  <c r="G45" i="17"/>
  <c r="H45" i="17"/>
  <c r="I45" i="17"/>
  <c r="J45" i="17"/>
  <c r="K45" i="17"/>
  <c r="L45" i="17"/>
  <c r="M45" i="17"/>
  <c r="N45" i="17"/>
  <c r="O45" i="17"/>
  <c r="P45" i="17"/>
  <c r="Q45" i="17"/>
  <c r="G46" i="17"/>
  <c r="H46" i="17"/>
  <c r="I46" i="17"/>
  <c r="J46" i="17"/>
  <c r="K46" i="17"/>
  <c r="L46" i="17"/>
  <c r="M46" i="17"/>
  <c r="N46" i="17"/>
  <c r="O46" i="17"/>
  <c r="P46" i="17"/>
  <c r="Q46" i="17"/>
  <c r="G47" i="17"/>
  <c r="H47" i="17"/>
  <c r="I47" i="17"/>
  <c r="J47" i="17"/>
  <c r="K47" i="17"/>
  <c r="L47" i="17"/>
  <c r="M47" i="17"/>
  <c r="N47" i="17"/>
  <c r="O47" i="17"/>
  <c r="P47" i="17"/>
  <c r="Q47" i="17"/>
  <c r="Q48" i="17"/>
  <c r="G49" i="17"/>
  <c r="H49" i="17"/>
  <c r="I49" i="17"/>
  <c r="J49" i="17"/>
  <c r="K49" i="17"/>
  <c r="L49" i="17"/>
  <c r="M49" i="17"/>
  <c r="N49" i="17"/>
  <c r="O49" i="17"/>
  <c r="P49" i="17"/>
  <c r="Q49" i="17"/>
  <c r="G50" i="17"/>
  <c r="H50" i="17"/>
  <c r="I50" i="17"/>
  <c r="J50" i="17"/>
  <c r="K50" i="17"/>
  <c r="L50" i="17"/>
  <c r="M50" i="17"/>
  <c r="N50" i="17"/>
  <c r="O50" i="17"/>
  <c r="P50" i="17"/>
  <c r="Q50" i="17"/>
  <c r="Q51" i="17"/>
  <c r="G52" i="17"/>
  <c r="H52" i="17"/>
  <c r="I52" i="17"/>
  <c r="J52" i="17"/>
  <c r="K52" i="17"/>
  <c r="L52" i="17"/>
  <c r="M52" i="17"/>
  <c r="N52" i="17"/>
  <c r="O52" i="17"/>
  <c r="P52" i="17"/>
  <c r="Q52" i="17"/>
  <c r="G57" i="17"/>
  <c r="H57" i="17"/>
  <c r="I57" i="17"/>
  <c r="J57" i="17"/>
  <c r="K57" i="17"/>
  <c r="L57" i="17"/>
  <c r="M57" i="17"/>
  <c r="N57" i="17"/>
  <c r="O57" i="17"/>
  <c r="P57" i="17"/>
  <c r="G58" i="17"/>
  <c r="H58" i="17"/>
  <c r="I58" i="17"/>
  <c r="J58" i="17"/>
  <c r="K58" i="17"/>
  <c r="L58" i="17"/>
  <c r="M58" i="17"/>
  <c r="N58" i="17"/>
  <c r="O58" i="17"/>
  <c r="P58" i="17"/>
  <c r="G60" i="17"/>
  <c r="H60" i="17"/>
  <c r="I60" i="17"/>
  <c r="J60" i="17"/>
  <c r="K60" i="17"/>
  <c r="L60" i="17"/>
  <c r="M60" i="17"/>
  <c r="N60" i="17"/>
  <c r="O60" i="17"/>
  <c r="P60" i="17"/>
  <c r="Q60" i="17"/>
  <c r="G61" i="17"/>
  <c r="H61" i="17"/>
  <c r="I61" i="17"/>
  <c r="J61" i="17"/>
  <c r="K61" i="17"/>
  <c r="L61" i="17"/>
  <c r="M61" i="17"/>
  <c r="N61" i="17"/>
  <c r="O61" i="17"/>
  <c r="P61" i="17"/>
  <c r="Q61" i="17"/>
  <c r="G62" i="17"/>
  <c r="H62" i="17"/>
  <c r="I62" i="17"/>
  <c r="J62" i="17"/>
  <c r="K62" i="17"/>
  <c r="L62" i="17"/>
  <c r="M62" i="17"/>
  <c r="N62" i="17"/>
  <c r="O62" i="17"/>
  <c r="P62" i="17"/>
  <c r="Q62" i="17"/>
  <c r="G63" i="17"/>
  <c r="H63" i="17"/>
  <c r="I63" i="17"/>
  <c r="J63" i="17"/>
  <c r="K63" i="17"/>
  <c r="L63" i="17"/>
  <c r="M63" i="17"/>
  <c r="N63" i="17"/>
  <c r="O63" i="17"/>
  <c r="P63" i="17"/>
  <c r="Q63" i="17"/>
  <c r="G64" i="17"/>
  <c r="H64" i="17"/>
  <c r="I64" i="17"/>
  <c r="J64" i="17"/>
  <c r="K64" i="17"/>
  <c r="L64" i="17"/>
  <c r="M64" i="17"/>
  <c r="N64" i="17"/>
  <c r="O64" i="17"/>
  <c r="P64" i="17"/>
  <c r="Q64" i="17"/>
  <c r="G65" i="17"/>
  <c r="H65" i="17"/>
  <c r="I65" i="17"/>
  <c r="J65" i="17"/>
  <c r="K65" i="17"/>
  <c r="L65" i="17"/>
  <c r="M65" i="17"/>
  <c r="N65" i="17"/>
  <c r="O65" i="17"/>
  <c r="P65" i="17"/>
  <c r="Q65" i="17"/>
  <c r="G66" i="17"/>
  <c r="H66" i="17"/>
  <c r="I66" i="17"/>
  <c r="J66" i="17"/>
  <c r="K66" i="17"/>
  <c r="L66" i="17"/>
  <c r="M66" i="17"/>
  <c r="N66" i="17"/>
  <c r="O66" i="17"/>
  <c r="P66" i="17"/>
  <c r="Q66" i="17"/>
  <c r="G69" i="17"/>
  <c r="H69" i="17"/>
  <c r="I69" i="17"/>
  <c r="J69" i="17"/>
  <c r="K69" i="17"/>
  <c r="L69" i="17"/>
  <c r="M69" i="17"/>
  <c r="N69" i="17"/>
  <c r="O69" i="17"/>
  <c r="P69" i="17"/>
  <c r="Q69" i="17"/>
  <c r="G70" i="17"/>
  <c r="Q70" i="17"/>
  <c r="Q71" i="17"/>
  <c r="Q72" i="17"/>
  <c r="Q73" i="17"/>
  <c r="Q74" i="17"/>
  <c r="Q75" i="17"/>
  <c r="G76" i="17"/>
  <c r="Q76" i="17"/>
  <c r="G77" i="17"/>
  <c r="Q77" i="17"/>
  <c r="G78" i="17"/>
  <c r="H78" i="17"/>
  <c r="I78" i="17"/>
  <c r="J78" i="17"/>
  <c r="K78" i="17"/>
  <c r="L78" i="17"/>
  <c r="M78" i="17"/>
  <c r="N78" i="17"/>
  <c r="O78" i="17"/>
  <c r="P78" i="17"/>
  <c r="Q78" i="17"/>
  <c r="G79" i="17"/>
  <c r="H79" i="17"/>
  <c r="I79" i="17"/>
  <c r="J79" i="17"/>
  <c r="K79" i="17"/>
  <c r="L79" i="17"/>
  <c r="M79" i="17"/>
  <c r="N79" i="17"/>
  <c r="O79" i="17"/>
  <c r="P79" i="17"/>
  <c r="Q79" i="17"/>
  <c r="Q80" i="17"/>
  <c r="G81" i="17"/>
  <c r="H81" i="17"/>
  <c r="I81" i="17"/>
  <c r="J81" i="17"/>
  <c r="K81" i="17"/>
  <c r="L81" i="17"/>
  <c r="M81" i="17"/>
  <c r="N81" i="17"/>
  <c r="O81" i="17"/>
  <c r="P81" i="17"/>
  <c r="Q81" i="17"/>
  <c r="Q82" i="17"/>
  <c r="H83" i="17"/>
  <c r="I83" i="17"/>
  <c r="J83" i="17"/>
  <c r="K83" i="17"/>
  <c r="L83" i="17"/>
  <c r="M83" i="17"/>
  <c r="N83" i="17"/>
  <c r="O83" i="17"/>
  <c r="P83" i="17"/>
  <c r="Q83" i="17"/>
  <c r="Q84" i="17"/>
  <c r="G85" i="17"/>
  <c r="H85" i="17"/>
  <c r="I85" i="17"/>
  <c r="J85" i="17"/>
  <c r="K85" i="17"/>
  <c r="L85" i="17"/>
  <c r="M85" i="17"/>
  <c r="N85" i="17"/>
  <c r="O85" i="17"/>
  <c r="P85" i="17"/>
  <c r="Q85" i="17"/>
  <c r="A2" i="7"/>
  <c r="E3" i="7"/>
  <c r="F3" i="7"/>
  <c r="G3" i="7"/>
  <c r="H3" i="7"/>
  <c r="I3" i="7"/>
  <c r="J3" i="7"/>
  <c r="K3" i="7"/>
  <c r="L3" i="7"/>
  <c r="M3" i="7"/>
  <c r="D4" i="7"/>
  <c r="E4" i="7"/>
  <c r="F4" i="7"/>
  <c r="G4" i="7"/>
  <c r="H4" i="7"/>
  <c r="I4" i="7"/>
  <c r="J4" i="7"/>
  <c r="K4" i="7"/>
  <c r="L4" i="7"/>
  <c r="M4" i="7"/>
  <c r="D5" i="7"/>
  <c r="E5" i="7"/>
  <c r="F5" i="7"/>
  <c r="G5" i="7"/>
  <c r="H5" i="7"/>
  <c r="I5" i="7"/>
  <c r="J5" i="7"/>
  <c r="K5" i="7"/>
  <c r="L5" i="7"/>
  <c r="M5" i="7"/>
  <c r="D7" i="7"/>
  <c r="E7" i="7"/>
  <c r="F7" i="7"/>
  <c r="G7" i="7"/>
  <c r="H7" i="7"/>
  <c r="I7" i="7"/>
  <c r="J7" i="7"/>
  <c r="K7" i="7"/>
  <c r="L7" i="7"/>
  <c r="M7" i="7"/>
  <c r="D8" i="7"/>
  <c r="E8" i="7"/>
  <c r="F8" i="7"/>
  <c r="G8" i="7"/>
  <c r="H8" i="7"/>
  <c r="I8" i="7"/>
  <c r="J8" i="7"/>
  <c r="K8" i="7"/>
  <c r="L8" i="7"/>
  <c r="M8" i="7"/>
  <c r="D11" i="7"/>
  <c r="E11" i="7"/>
  <c r="F11" i="7"/>
  <c r="G11" i="7"/>
  <c r="H11" i="7"/>
  <c r="I11" i="7"/>
  <c r="J11" i="7"/>
  <c r="K11" i="7"/>
  <c r="L11" i="7"/>
  <c r="M11" i="7"/>
  <c r="N11" i="7"/>
  <c r="D12" i="7"/>
  <c r="E12" i="7"/>
  <c r="F12" i="7"/>
  <c r="G12" i="7"/>
  <c r="H12" i="7"/>
  <c r="I12" i="7"/>
  <c r="J12" i="7"/>
  <c r="K12" i="7"/>
  <c r="L12" i="7"/>
  <c r="M12" i="7"/>
  <c r="N12" i="7"/>
  <c r="D13" i="7"/>
  <c r="E13" i="7"/>
  <c r="F13" i="7"/>
  <c r="G13" i="7"/>
  <c r="H13" i="7"/>
  <c r="I13" i="7"/>
  <c r="J13" i="7"/>
  <c r="K13" i="7"/>
  <c r="L13" i="7"/>
  <c r="M13" i="7"/>
  <c r="N13" i="7"/>
  <c r="D14" i="7"/>
  <c r="E14" i="7"/>
  <c r="F14" i="7"/>
  <c r="G14" i="7"/>
  <c r="H14" i="7"/>
  <c r="I14" i="7"/>
  <c r="J14" i="7"/>
  <c r="K14" i="7"/>
  <c r="L14" i="7"/>
  <c r="M14" i="7"/>
  <c r="N14" i="7"/>
  <c r="N15" i="7"/>
  <c r="D16" i="7"/>
  <c r="E16" i="7"/>
  <c r="F16" i="7"/>
  <c r="G16" i="7"/>
  <c r="H16" i="7"/>
  <c r="I16" i="7"/>
  <c r="J16" i="7"/>
  <c r="K16" i="7"/>
  <c r="L16" i="7"/>
  <c r="M16" i="7"/>
  <c r="N16" i="7"/>
  <c r="N17" i="7"/>
  <c r="D18" i="7"/>
  <c r="E18" i="7"/>
  <c r="F18" i="7"/>
  <c r="G18" i="7"/>
  <c r="H18" i="7"/>
  <c r="I18" i="7"/>
  <c r="J18" i="7"/>
  <c r="K18" i="7"/>
  <c r="L18" i="7"/>
  <c r="M18" i="7"/>
  <c r="N18" i="7"/>
  <c r="A25" i="7"/>
  <c r="D25" i="7"/>
  <c r="E25" i="7"/>
  <c r="F25" i="7"/>
  <c r="G25" i="7"/>
  <c r="H25" i="7"/>
  <c r="I25" i="7"/>
  <c r="J25" i="7"/>
  <c r="K25" i="7"/>
  <c r="L25" i="7"/>
  <c r="M25" i="7"/>
  <c r="N25" i="7"/>
  <c r="A26" i="7"/>
  <c r="D26" i="7"/>
  <c r="E26" i="7"/>
  <c r="F26" i="7"/>
  <c r="G26" i="7"/>
  <c r="H26" i="7"/>
  <c r="I26" i="7"/>
  <c r="J26" i="7"/>
  <c r="K26" i="7"/>
  <c r="L26" i="7"/>
  <c r="M26" i="7"/>
  <c r="N26" i="7"/>
  <c r="A27" i="7"/>
  <c r="D27" i="7"/>
  <c r="E27" i="7"/>
  <c r="F27" i="7"/>
  <c r="G27" i="7"/>
  <c r="H27" i="7"/>
  <c r="I27" i="7"/>
  <c r="J27" i="7"/>
  <c r="K27" i="7"/>
  <c r="L27" i="7"/>
  <c r="M27" i="7"/>
  <c r="N27" i="7"/>
  <c r="A28" i="7"/>
  <c r="D28" i="7"/>
  <c r="E28" i="7"/>
  <c r="F28" i="7"/>
  <c r="G28" i="7"/>
  <c r="H28" i="7"/>
  <c r="I28" i="7"/>
  <c r="J28" i="7"/>
  <c r="K28" i="7"/>
  <c r="L28" i="7"/>
  <c r="M28" i="7"/>
  <c r="N28" i="7"/>
  <c r="A29" i="7"/>
  <c r="D29" i="7"/>
  <c r="E29" i="7"/>
  <c r="F29" i="7"/>
  <c r="G29" i="7"/>
  <c r="H29" i="7"/>
  <c r="I29" i="7"/>
  <c r="J29" i="7"/>
  <c r="K29" i="7"/>
  <c r="L29" i="7"/>
  <c r="M29" i="7"/>
  <c r="N29" i="7"/>
  <c r="A30" i="7"/>
  <c r="D30" i="7"/>
  <c r="E30" i="7"/>
  <c r="F30" i="7"/>
  <c r="G30" i="7"/>
  <c r="H30" i="7"/>
  <c r="I30" i="7"/>
  <c r="J30" i="7"/>
  <c r="K30" i="7"/>
  <c r="L30" i="7"/>
  <c r="M30" i="7"/>
  <c r="N30" i="7"/>
  <c r="A31" i="7"/>
  <c r="D31" i="7"/>
  <c r="E31" i="7"/>
  <c r="F31" i="7"/>
  <c r="G31" i="7"/>
  <c r="H31" i="7"/>
  <c r="I31" i="7"/>
  <c r="J31" i="7"/>
  <c r="K31" i="7"/>
  <c r="L31" i="7"/>
  <c r="M31" i="7"/>
  <c r="N31" i="7"/>
  <c r="A32" i="7"/>
  <c r="D32" i="7"/>
  <c r="E32" i="7"/>
  <c r="F32" i="7"/>
  <c r="G32" i="7"/>
  <c r="H32" i="7"/>
  <c r="I32" i="7"/>
  <c r="J32" i="7"/>
  <c r="K32" i="7"/>
  <c r="L32" i="7"/>
  <c r="M32" i="7"/>
  <c r="N32" i="7"/>
  <c r="A33" i="7"/>
  <c r="D33" i="7"/>
  <c r="E33" i="7"/>
  <c r="F33" i="7"/>
  <c r="G33" i="7"/>
  <c r="H33" i="7"/>
  <c r="I33" i="7"/>
  <c r="J33" i="7"/>
  <c r="K33" i="7"/>
  <c r="L33" i="7"/>
  <c r="M33" i="7"/>
  <c r="N33" i="7"/>
  <c r="A34" i="7"/>
  <c r="D34" i="7"/>
  <c r="E34" i="7"/>
  <c r="F34" i="7"/>
  <c r="G34" i="7"/>
  <c r="H34" i="7"/>
  <c r="I34" i="7"/>
  <c r="J34" i="7"/>
  <c r="K34" i="7"/>
  <c r="L34" i="7"/>
  <c r="M34" i="7"/>
  <c r="N34" i="7"/>
  <c r="A35" i="7"/>
  <c r="D35" i="7"/>
  <c r="E35" i="7"/>
  <c r="F35" i="7"/>
  <c r="G35" i="7"/>
  <c r="H35" i="7"/>
  <c r="I35" i="7"/>
  <c r="J35" i="7"/>
  <c r="K35" i="7"/>
  <c r="L35" i="7"/>
  <c r="M35" i="7"/>
  <c r="N35" i="7"/>
  <c r="A36" i="7"/>
  <c r="D36" i="7"/>
  <c r="E36" i="7"/>
  <c r="F36" i="7"/>
  <c r="G36" i="7"/>
  <c r="H36" i="7"/>
  <c r="I36" i="7"/>
  <c r="J36" i="7"/>
  <c r="K36" i="7"/>
  <c r="L36" i="7"/>
  <c r="M36" i="7"/>
  <c r="N36" i="7"/>
  <c r="D37" i="7"/>
  <c r="E37" i="7"/>
  <c r="F37" i="7"/>
  <c r="G37" i="7"/>
  <c r="H37" i="7"/>
  <c r="I37" i="7"/>
  <c r="J37" i="7"/>
  <c r="K37" i="7"/>
  <c r="L37" i="7"/>
  <c r="M37" i="7"/>
  <c r="N37" i="7"/>
  <c r="A40" i="7"/>
  <c r="D40" i="7"/>
  <c r="E40" i="7"/>
  <c r="F40" i="7"/>
  <c r="G40" i="7"/>
  <c r="H40" i="7"/>
  <c r="I40" i="7"/>
  <c r="J40" i="7"/>
  <c r="K40" i="7"/>
  <c r="L40" i="7"/>
  <c r="M40" i="7"/>
  <c r="N40" i="7"/>
  <c r="A41" i="7"/>
  <c r="D41" i="7"/>
  <c r="E41" i="7"/>
  <c r="F41" i="7"/>
  <c r="G41" i="7"/>
  <c r="H41" i="7"/>
  <c r="I41" i="7"/>
  <c r="J41" i="7"/>
  <c r="K41" i="7"/>
  <c r="L41" i="7"/>
  <c r="M41" i="7"/>
  <c r="N41" i="7"/>
  <c r="A42" i="7"/>
  <c r="D42" i="7"/>
  <c r="E42" i="7"/>
  <c r="F42" i="7"/>
  <c r="G42" i="7"/>
  <c r="H42" i="7"/>
  <c r="I42" i="7"/>
  <c r="J42" i="7"/>
  <c r="K42" i="7"/>
  <c r="L42" i="7"/>
  <c r="M42" i="7"/>
  <c r="N42" i="7"/>
  <c r="D43" i="7"/>
  <c r="E43" i="7"/>
  <c r="F43" i="7"/>
  <c r="G43" i="7"/>
  <c r="H43" i="7"/>
  <c r="I43" i="7"/>
  <c r="J43" i="7"/>
  <c r="K43" i="7"/>
  <c r="L43" i="7"/>
  <c r="M43" i="7"/>
  <c r="N43" i="7"/>
  <c r="D45" i="7"/>
  <c r="E45" i="7"/>
  <c r="F45" i="7"/>
  <c r="G45" i="7"/>
  <c r="H45" i="7"/>
  <c r="I45" i="7"/>
  <c r="J45" i="7"/>
  <c r="K45" i="7"/>
  <c r="L45" i="7"/>
  <c r="M45" i="7"/>
  <c r="N45" i="7"/>
  <c r="D47" i="7"/>
  <c r="E47" i="7"/>
  <c r="F47" i="7"/>
  <c r="G47" i="7"/>
  <c r="H47" i="7"/>
  <c r="I47" i="7"/>
  <c r="J47" i="7"/>
  <c r="K47" i="7"/>
  <c r="L47" i="7"/>
  <c r="M47" i="7"/>
  <c r="N47" i="7"/>
  <c r="D49" i="7"/>
  <c r="E49" i="7"/>
  <c r="F49" i="7"/>
  <c r="G49" i="7"/>
  <c r="H49" i="7"/>
  <c r="I49" i="7"/>
  <c r="J49" i="7"/>
  <c r="K49" i="7"/>
  <c r="L49" i="7"/>
  <c r="M49" i="7"/>
  <c r="N49" i="7"/>
  <c r="D50" i="7"/>
  <c r="E50" i="7"/>
  <c r="F50" i="7"/>
  <c r="G50" i="7"/>
  <c r="H50" i="7"/>
  <c r="I50" i="7"/>
  <c r="J50" i="7"/>
  <c r="K50" i="7"/>
  <c r="L50" i="7"/>
  <c r="M50" i="7"/>
  <c r="N50" i="7"/>
  <c r="O50" i="7"/>
  <c r="D52" i="7"/>
  <c r="E52" i="7"/>
  <c r="F52" i="7"/>
  <c r="G52" i="7"/>
  <c r="H52" i="7"/>
  <c r="I52" i="7"/>
  <c r="J52" i="7"/>
  <c r="K52" i="7"/>
  <c r="L52" i="7"/>
  <c r="M52" i="7"/>
  <c r="N52" i="7"/>
  <c r="D53" i="7"/>
  <c r="E53" i="7"/>
  <c r="F53" i="7"/>
  <c r="G53" i="7"/>
  <c r="H53" i="7"/>
  <c r="I53" i="7"/>
  <c r="J53" i="7"/>
  <c r="K53" i="7"/>
  <c r="L53" i="7"/>
  <c r="M53" i="7"/>
  <c r="N53" i="7"/>
  <c r="D55" i="7"/>
  <c r="E55" i="7"/>
  <c r="F55" i="7"/>
  <c r="G55" i="7"/>
  <c r="H55" i="7"/>
  <c r="I55" i="7"/>
  <c r="J55" i="7"/>
  <c r="K55" i="7"/>
  <c r="L55" i="7"/>
  <c r="M55" i="7"/>
  <c r="N55" i="7"/>
  <c r="D56" i="7"/>
  <c r="E56" i="7"/>
  <c r="F56" i="7"/>
  <c r="G56" i="7"/>
  <c r="H56" i="7"/>
  <c r="I56" i="7"/>
  <c r="J56" i="7"/>
  <c r="K56" i="7"/>
  <c r="L56" i="7"/>
  <c r="M56" i="7"/>
  <c r="N56" i="7"/>
  <c r="D58" i="7"/>
  <c r="E58" i="7"/>
  <c r="F58" i="7"/>
  <c r="G58" i="7"/>
  <c r="H58" i="7"/>
  <c r="I58" i="7"/>
  <c r="J58" i="7"/>
  <c r="K58" i="7"/>
  <c r="L58" i="7"/>
  <c r="M58" i="7"/>
  <c r="N58" i="7"/>
  <c r="D59" i="7"/>
  <c r="E59" i="7"/>
  <c r="F59" i="7"/>
  <c r="G59" i="7"/>
  <c r="H59" i="7"/>
  <c r="I59" i="7"/>
  <c r="J59" i="7"/>
  <c r="K59" i="7"/>
  <c r="L59" i="7"/>
  <c r="M59" i="7"/>
  <c r="N59" i="7"/>
  <c r="D60" i="7"/>
  <c r="E60" i="7"/>
  <c r="F60" i="7"/>
  <c r="G60" i="7"/>
  <c r="H60" i="7"/>
  <c r="I60" i="7"/>
  <c r="J60" i="7"/>
  <c r="K60" i="7"/>
  <c r="L60" i="7"/>
  <c r="M60" i="7"/>
  <c r="N60" i="7"/>
  <c r="D61" i="7"/>
  <c r="E61" i="7"/>
  <c r="F61" i="7"/>
  <c r="G61" i="7"/>
  <c r="H61" i="7"/>
  <c r="I61" i="7"/>
  <c r="J61" i="7"/>
  <c r="K61" i="7"/>
  <c r="L61" i="7"/>
  <c r="M61" i="7"/>
  <c r="N61" i="7"/>
  <c r="D62" i="7"/>
  <c r="E62" i="7"/>
  <c r="F62" i="7"/>
  <c r="G62" i="7"/>
  <c r="H62" i="7"/>
  <c r="I62" i="7"/>
  <c r="J62" i="7"/>
  <c r="K62" i="7"/>
  <c r="L62" i="7"/>
  <c r="M62" i="7"/>
  <c r="N62" i="7"/>
  <c r="D63" i="7"/>
  <c r="E63" i="7"/>
  <c r="F63" i="7"/>
  <c r="G63" i="7"/>
  <c r="H63" i="7"/>
  <c r="I63" i="7"/>
  <c r="J63" i="7"/>
  <c r="K63" i="7"/>
  <c r="L63" i="7"/>
  <c r="M63" i="7"/>
  <c r="N63" i="7"/>
  <c r="D64" i="7"/>
  <c r="E64" i="7"/>
  <c r="F64" i="7"/>
  <c r="G64" i="7"/>
  <c r="H64" i="7"/>
  <c r="I64" i="7"/>
  <c r="J64" i="7"/>
  <c r="K64" i="7"/>
  <c r="L64" i="7"/>
  <c r="M64" i="7"/>
  <c r="N64" i="7"/>
  <c r="D65" i="7"/>
  <c r="E65" i="7"/>
  <c r="F65" i="7"/>
  <c r="G65" i="7"/>
  <c r="H65" i="7"/>
  <c r="I65" i="7"/>
  <c r="J65" i="7"/>
  <c r="K65" i="7"/>
  <c r="L65" i="7"/>
  <c r="M65" i="7"/>
  <c r="N65" i="7"/>
  <c r="O65" i="7"/>
  <c r="D66" i="7"/>
  <c r="E66" i="7"/>
  <c r="F66" i="7"/>
  <c r="G66" i="7"/>
  <c r="H66" i="7"/>
  <c r="I66" i="7"/>
  <c r="J66" i="7"/>
  <c r="K66" i="7"/>
  <c r="L66" i="7"/>
  <c r="M66" i="7"/>
  <c r="N66" i="7"/>
  <c r="D67" i="7"/>
  <c r="E67" i="7"/>
  <c r="F67" i="7"/>
  <c r="G67" i="7"/>
  <c r="H67" i="7"/>
  <c r="I67" i="7"/>
  <c r="J67" i="7"/>
  <c r="K67" i="7"/>
  <c r="L67" i="7"/>
  <c r="M67" i="7"/>
  <c r="N67" i="7"/>
  <c r="D69" i="7"/>
  <c r="E69" i="7"/>
  <c r="F69" i="7"/>
  <c r="D70" i="7"/>
  <c r="E70" i="7"/>
  <c r="F70" i="7"/>
  <c r="A2" i="16"/>
  <c r="C4" i="16"/>
  <c r="D4" i="16"/>
  <c r="E4" i="16"/>
  <c r="C5" i="16"/>
  <c r="D5" i="16"/>
  <c r="E5" i="16"/>
  <c r="C6" i="16"/>
  <c r="D6" i="16"/>
  <c r="E6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G9" i="16"/>
  <c r="H9" i="16"/>
  <c r="I9" i="16"/>
  <c r="J9" i="16"/>
  <c r="K9" i="16"/>
  <c r="L9" i="16"/>
  <c r="M9" i="16"/>
  <c r="N9" i="16"/>
  <c r="O9" i="16"/>
  <c r="F10" i="16"/>
  <c r="G10" i="16"/>
  <c r="H10" i="16"/>
  <c r="I10" i="16"/>
  <c r="J10" i="16"/>
  <c r="K10" i="16"/>
  <c r="L10" i="16"/>
  <c r="M10" i="16"/>
  <c r="N10" i="16"/>
  <c r="O10" i="16"/>
  <c r="F11" i="16"/>
  <c r="G11" i="16"/>
  <c r="H11" i="16"/>
  <c r="I11" i="16"/>
  <c r="J11" i="16"/>
  <c r="K11" i="16"/>
  <c r="L11" i="16"/>
  <c r="M11" i="16"/>
  <c r="N11" i="16"/>
  <c r="O11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F17" i="16"/>
  <c r="G17" i="16"/>
  <c r="H17" i="16"/>
  <c r="I17" i="16"/>
  <c r="J17" i="16"/>
  <c r="K17" i="16"/>
  <c r="L17" i="16"/>
  <c r="M17" i="16"/>
  <c r="N17" i="16"/>
  <c r="O17" i="16"/>
  <c r="P17" i="16"/>
  <c r="G19" i="16"/>
  <c r="H19" i="16"/>
  <c r="I19" i="16"/>
  <c r="J19" i="16"/>
  <c r="K19" i="16"/>
  <c r="L19" i="16"/>
  <c r="M19" i="16"/>
  <c r="N19" i="16"/>
  <c r="O19" i="16"/>
  <c r="P19" i="16"/>
  <c r="F20" i="16"/>
  <c r="G20" i="16"/>
  <c r="H20" i="16"/>
  <c r="I20" i="16"/>
  <c r="J20" i="16"/>
  <c r="K20" i="16"/>
  <c r="L20" i="16"/>
  <c r="M20" i="16"/>
  <c r="N20" i="16"/>
  <c r="O20" i="16"/>
  <c r="P20" i="16"/>
  <c r="F21" i="16"/>
  <c r="G21" i="16"/>
  <c r="H21" i="16"/>
  <c r="I21" i="16"/>
  <c r="J21" i="16"/>
  <c r="K21" i="16"/>
  <c r="L21" i="16"/>
  <c r="M21" i="16"/>
  <c r="N21" i="16"/>
  <c r="O21" i="16"/>
  <c r="P21" i="16"/>
  <c r="F22" i="16"/>
  <c r="G22" i="16"/>
  <c r="H22" i="16"/>
  <c r="I22" i="16"/>
  <c r="J22" i="16"/>
  <c r="K22" i="16"/>
  <c r="L22" i="16"/>
  <c r="M22" i="16"/>
  <c r="N22" i="16"/>
  <c r="O22" i="16"/>
  <c r="P22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F28" i="16"/>
  <c r="G28" i="16"/>
  <c r="H28" i="16"/>
  <c r="I28" i="16"/>
  <c r="J28" i="16"/>
  <c r="K28" i="16"/>
  <c r="L28" i="16"/>
  <c r="M28" i="16"/>
  <c r="N28" i="16"/>
  <c r="O28" i="16"/>
  <c r="P28" i="16"/>
  <c r="G30" i="16"/>
  <c r="H30" i="16"/>
  <c r="I30" i="16"/>
  <c r="J30" i="16"/>
  <c r="K30" i="16"/>
  <c r="L30" i="16"/>
  <c r="M30" i="16"/>
  <c r="N30" i="16"/>
  <c r="O30" i="16"/>
  <c r="P30" i="16"/>
  <c r="F31" i="16"/>
  <c r="G31" i="16"/>
  <c r="H31" i="16"/>
  <c r="I31" i="16"/>
  <c r="J31" i="16"/>
  <c r="K31" i="16"/>
  <c r="L31" i="16"/>
  <c r="M31" i="16"/>
  <c r="N31" i="16"/>
  <c r="O31" i="16"/>
  <c r="P31" i="16"/>
  <c r="F32" i="16"/>
  <c r="G32" i="16"/>
  <c r="H32" i="16"/>
  <c r="I32" i="16"/>
  <c r="J32" i="16"/>
  <c r="K32" i="16"/>
  <c r="L32" i="16"/>
  <c r="M32" i="16"/>
  <c r="N32" i="16"/>
  <c r="O32" i="16"/>
  <c r="P32" i="16"/>
  <c r="F33" i="16"/>
  <c r="G33" i="16"/>
  <c r="H33" i="16"/>
  <c r="I33" i="16"/>
  <c r="J33" i="16"/>
  <c r="K33" i="16"/>
  <c r="L33" i="16"/>
  <c r="M33" i="16"/>
  <c r="N33" i="16"/>
  <c r="O33" i="16"/>
  <c r="P33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F39" i="16"/>
  <c r="G39" i="16"/>
  <c r="H39" i="16"/>
  <c r="I39" i="16"/>
  <c r="J39" i="16"/>
  <c r="K39" i="16"/>
  <c r="L39" i="16"/>
  <c r="M39" i="16"/>
  <c r="N39" i="16"/>
  <c r="O39" i="16"/>
  <c r="P39" i="16"/>
  <c r="G41" i="16"/>
  <c r="H41" i="16"/>
  <c r="I41" i="16"/>
  <c r="J41" i="16"/>
  <c r="K41" i="16"/>
  <c r="L41" i="16"/>
  <c r="M41" i="16"/>
  <c r="N41" i="16"/>
  <c r="O41" i="16"/>
  <c r="P41" i="16"/>
  <c r="F42" i="16"/>
  <c r="G42" i="16"/>
  <c r="H42" i="16"/>
  <c r="I42" i="16"/>
  <c r="J42" i="16"/>
  <c r="K42" i="16"/>
  <c r="L42" i="16"/>
  <c r="M42" i="16"/>
  <c r="N42" i="16"/>
  <c r="O42" i="16"/>
  <c r="P42" i="16"/>
  <c r="F43" i="16"/>
  <c r="G43" i="16"/>
  <c r="H43" i="16"/>
  <c r="I43" i="16"/>
  <c r="J43" i="16"/>
  <c r="K43" i="16"/>
  <c r="L43" i="16"/>
  <c r="M43" i="16"/>
  <c r="N43" i="16"/>
  <c r="O43" i="16"/>
  <c r="P43" i="16"/>
  <c r="F44" i="16"/>
  <c r="G44" i="16"/>
  <c r="H44" i="16"/>
  <c r="I44" i="16"/>
  <c r="J44" i="16"/>
  <c r="K44" i="16"/>
  <c r="L44" i="16"/>
  <c r="M44" i="16"/>
  <c r="N44" i="16"/>
  <c r="O44" i="16"/>
  <c r="P44" i="16"/>
  <c r="A2" i="12"/>
  <c r="D3" i="12"/>
  <c r="E8" i="12"/>
  <c r="F8" i="12"/>
  <c r="G8" i="12"/>
  <c r="A9" i="12"/>
  <c r="E9" i="12"/>
  <c r="F9" i="12"/>
  <c r="G9" i="12"/>
  <c r="A10" i="12"/>
  <c r="E10" i="12"/>
  <c r="F10" i="12"/>
  <c r="G10" i="12"/>
  <c r="A11" i="12"/>
  <c r="E11" i="12"/>
  <c r="F11" i="12"/>
  <c r="G11" i="12"/>
  <c r="A12" i="12"/>
  <c r="E12" i="12"/>
  <c r="F12" i="12"/>
  <c r="G12" i="12"/>
  <c r="A13" i="12"/>
  <c r="F13" i="12"/>
  <c r="G13" i="12"/>
  <c r="A14" i="12"/>
  <c r="E14" i="12"/>
  <c r="F14" i="12"/>
  <c r="G14" i="12"/>
  <c r="A15" i="12"/>
  <c r="E15" i="12"/>
  <c r="F15" i="12"/>
  <c r="G15" i="12"/>
  <c r="A16" i="12"/>
  <c r="E16" i="12"/>
  <c r="F16" i="12"/>
  <c r="G16" i="12"/>
  <c r="A17" i="12"/>
  <c r="E17" i="12"/>
  <c r="F17" i="12"/>
  <c r="G17" i="12"/>
  <c r="A18" i="12"/>
  <c r="E18" i="12"/>
  <c r="F18" i="12"/>
  <c r="G18" i="12"/>
  <c r="A19" i="12"/>
  <c r="E19" i="12"/>
  <c r="F19" i="12"/>
  <c r="G19" i="12"/>
  <c r="A20" i="12"/>
  <c r="E20" i="12"/>
  <c r="F20" i="12"/>
  <c r="G20" i="12"/>
  <c r="A21" i="12"/>
  <c r="E21" i="12"/>
  <c r="F21" i="12"/>
  <c r="G21" i="12"/>
  <c r="A22" i="12"/>
  <c r="E22" i="12"/>
  <c r="F22" i="12"/>
  <c r="G22" i="12"/>
  <c r="A23" i="12"/>
  <c r="E23" i="12"/>
  <c r="F23" i="12"/>
  <c r="G23" i="12"/>
  <c r="A24" i="12"/>
  <c r="E24" i="12"/>
  <c r="F24" i="12"/>
  <c r="G24" i="12"/>
  <c r="A25" i="12"/>
  <c r="E25" i="12"/>
  <c r="F25" i="12"/>
  <c r="G25" i="12"/>
  <c r="A26" i="12"/>
  <c r="E26" i="12"/>
  <c r="F26" i="12"/>
  <c r="G26" i="12"/>
  <c r="A27" i="12"/>
  <c r="E27" i="12"/>
  <c r="F27" i="12"/>
  <c r="G27" i="12"/>
  <c r="A28" i="12"/>
  <c r="E28" i="12"/>
  <c r="F28" i="12"/>
  <c r="G28" i="12"/>
  <c r="A29" i="12"/>
  <c r="E29" i="12"/>
  <c r="F29" i="12"/>
  <c r="G29" i="12"/>
  <c r="A30" i="12"/>
  <c r="E30" i="12"/>
  <c r="F30" i="12"/>
  <c r="G30" i="12"/>
  <c r="A31" i="12"/>
  <c r="E31" i="12"/>
  <c r="F31" i="12"/>
  <c r="G31" i="12"/>
  <c r="A32" i="12"/>
  <c r="E32" i="12"/>
  <c r="F32" i="12"/>
  <c r="G32" i="12"/>
  <c r="A33" i="12"/>
  <c r="E33" i="12"/>
  <c r="F33" i="12"/>
  <c r="G33" i="12"/>
  <c r="A34" i="12"/>
  <c r="E34" i="12"/>
  <c r="F34" i="12"/>
  <c r="G34" i="12"/>
  <c r="A35" i="12"/>
  <c r="E35" i="12"/>
  <c r="F35" i="12"/>
  <c r="G35" i="12"/>
  <c r="A36" i="12"/>
  <c r="E36" i="12"/>
  <c r="F36" i="12"/>
  <c r="G36" i="12"/>
  <c r="A37" i="12"/>
  <c r="E37" i="12"/>
  <c r="F37" i="12"/>
  <c r="G37" i="12"/>
  <c r="A38" i="12"/>
  <c r="E38" i="12"/>
  <c r="F38" i="12"/>
  <c r="G38" i="12"/>
  <c r="A39" i="12"/>
  <c r="E39" i="12"/>
  <c r="F39" i="12"/>
  <c r="G39" i="12"/>
  <c r="A40" i="12"/>
  <c r="E40" i="12"/>
  <c r="F40" i="12"/>
  <c r="G40" i="12"/>
  <c r="A41" i="12"/>
  <c r="E41" i="12"/>
  <c r="F41" i="12"/>
  <c r="G41" i="12"/>
  <c r="A42" i="12"/>
  <c r="E42" i="12"/>
  <c r="F42" i="12"/>
  <c r="G42" i="12"/>
  <c r="A43" i="12"/>
  <c r="E43" i="12"/>
  <c r="F43" i="12"/>
  <c r="G43" i="12"/>
  <c r="A44" i="12"/>
  <c r="E44" i="12"/>
  <c r="F44" i="12"/>
  <c r="G44" i="12"/>
  <c r="A45" i="12"/>
  <c r="E45" i="12"/>
  <c r="F45" i="12"/>
  <c r="G45" i="12"/>
  <c r="A46" i="12"/>
  <c r="E46" i="12"/>
  <c r="F46" i="12"/>
  <c r="G46" i="12"/>
  <c r="A47" i="12"/>
  <c r="E47" i="12"/>
  <c r="F47" i="12"/>
  <c r="G47" i="12"/>
  <c r="A48" i="12"/>
  <c r="E48" i="12"/>
  <c r="F48" i="12"/>
  <c r="G48" i="12"/>
  <c r="A49" i="12"/>
  <c r="E49" i="12"/>
  <c r="F49" i="12"/>
  <c r="G49" i="12"/>
  <c r="A50" i="12"/>
  <c r="E50" i="12"/>
  <c r="F50" i="12"/>
  <c r="G50" i="12"/>
  <c r="A51" i="12"/>
  <c r="E51" i="12"/>
  <c r="F51" i="12"/>
  <c r="G51" i="12"/>
  <c r="A52" i="12"/>
  <c r="E52" i="12"/>
  <c r="F52" i="12"/>
  <c r="G52" i="12"/>
  <c r="A53" i="12"/>
  <c r="E53" i="12"/>
  <c r="F53" i="12"/>
  <c r="G53" i="12"/>
  <c r="A54" i="12"/>
  <c r="E54" i="12"/>
  <c r="F54" i="12"/>
  <c r="G54" i="12"/>
  <c r="A55" i="12"/>
  <c r="E55" i="12"/>
  <c r="F55" i="12"/>
  <c r="G55" i="12"/>
  <c r="A56" i="12"/>
  <c r="E56" i="12"/>
  <c r="F56" i="12"/>
  <c r="G56" i="12"/>
  <c r="A57" i="12"/>
  <c r="E57" i="12"/>
  <c r="F57" i="12"/>
  <c r="G57" i="12"/>
  <c r="A58" i="12"/>
  <c r="E58" i="12"/>
  <c r="F58" i="12"/>
  <c r="G58" i="12"/>
  <c r="A59" i="12"/>
  <c r="E59" i="12"/>
  <c r="F59" i="12"/>
  <c r="G59" i="12"/>
  <c r="A60" i="12"/>
  <c r="E60" i="12"/>
  <c r="F60" i="12"/>
  <c r="G60" i="12"/>
  <c r="A61" i="12"/>
  <c r="E61" i="12"/>
  <c r="F61" i="12"/>
  <c r="G61" i="12"/>
  <c r="A62" i="12"/>
  <c r="E62" i="12"/>
  <c r="F62" i="12"/>
  <c r="G62" i="12"/>
  <c r="A63" i="12"/>
  <c r="E63" i="12"/>
  <c r="F63" i="12"/>
  <c r="G63" i="12"/>
  <c r="A64" i="12"/>
  <c r="E64" i="12"/>
  <c r="F64" i="12"/>
  <c r="G64" i="12"/>
  <c r="A65" i="12"/>
  <c r="E65" i="12"/>
  <c r="F65" i="12"/>
  <c r="G65" i="12"/>
  <c r="A66" i="12"/>
  <c r="E66" i="12"/>
  <c r="F66" i="12"/>
  <c r="G66" i="12"/>
  <c r="A67" i="12"/>
  <c r="E67" i="12"/>
  <c r="F67" i="12"/>
  <c r="G67" i="12"/>
  <c r="E69" i="12"/>
  <c r="F69" i="12"/>
  <c r="B72" i="12"/>
  <c r="C72" i="12"/>
  <c r="D72" i="12"/>
  <c r="E72" i="12"/>
  <c r="F72" i="12"/>
  <c r="G72" i="12"/>
  <c r="A2" i="14"/>
  <c r="D3" i="14"/>
  <c r="E3" i="14"/>
  <c r="F3" i="14"/>
  <c r="D4" i="14"/>
  <c r="E4" i="14"/>
  <c r="F4" i="14"/>
  <c r="D5" i="14"/>
  <c r="E5" i="14"/>
  <c r="F5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C13" i="14"/>
  <c r="G13" i="14"/>
  <c r="K13" i="14"/>
  <c r="O13" i="14"/>
  <c r="S13" i="14"/>
  <c r="W13" i="14"/>
  <c r="E14" i="14"/>
  <c r="I14" i="14"/>
  <c r="M14" i="14"/>
  <c r="Q14" i="14"/>
  <c r="U14" i="14"/>
  <c r="Y14" i="14"/>
  <c r="E15" i="14"/>
  <c r="I15" i="14"/>
  <c r="M15" i="14"/>
  <c r="Q15" i="14"/>
  <c r="U15" i="14"/>
  <c r="Y15" i="14"/>
  <c r="E16" i="14"/>
  <c r="I16" i="14"/>
  <c r="M16" i="14"/>
  <c r="Q16" i="14"/>
  <c r="U16" i="14"/>
  <c r="Y16" i="14"/>
  <c r="E17" i="14"/>
  <c r="I17" i="14"/>
  <c r="M17" i="14"/>
  <c r="Q17" i="14"/>
  <c r="U17" i="14"/>
  <c r="Y17" i="14"/>
  <c r="C18" i="14"/>
  <c r="G18" i="14"/>
  <c r="K18" i="14"/>
  <c r="O18" i="14"/>
  <c r="S18" i="14"/>
  <c r="W18" i="14"/>
  <c r="A21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22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23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24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25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26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27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28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29" i="14"/>
  <c r="B29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30" i="14"/>
  <c r="B30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31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32" i="14"/>
  <c r="B32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33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34" i="14"/>
  <c r="B34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35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36" i="14"/>
  <c r="B36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37" i="14"/>
  <c r="B37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38" i="14"/>
  <c r="B38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39" i="14"/>
  <c r="B39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40" i="14"/>
  <c r="B40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41" i="14"/>
  <c r="B41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42" i="14"/>
  <c r="B42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43" i="14"/>
  <c r="B43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44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45" i="14"/>
  <c r="B45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46" i="14"/>
  <c r="B46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47" i="14"/>
  <c r="B47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Y47" i="14"/>
  <c r="Z47" i="14"/>
  <c r="A48" i="14"/>
  <c r="B48" i="14"/>
  <c r="C48" i="14"/>
  <c r="D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49" i="14"/>
  <c r="B49" i="14"/>
  <c r="C49" i="14"/>
  <c r="D49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50" i="14"/>
  <c r="B50" i="14"/>
  <c r="C50" i="14"/>
  <c r="D50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51" i="14"/>
  <c r="B51" i="14"/>
  <c r="C51" i="14"/>
  <c r="D51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U51" i="14"/>
  <c r="V51" i="14"/>
  <c r="W51" i="14"/>
  <c r="X51" i="14"/>
  <c r="Y51" i="14"/>
  <c r="Z51" i="14"/>
  <c r="A52" i="14"/>
  <c r="B52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AB52" i="14"/>
  <c r="A53" i="14"/>
  <c r="B53" i="14"/>
  <c r="C53" i="14"/>
  <c r="D53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54" i="14"/>
  <c r="B54" i="14"/>
  <c r="C54" i="14"/>
  <c r="D54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55" i="14"/>
  <c r="B55" i="14"/>
  <c r="C55" i="14"/>
  <c r="D55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56" i="14"/>
  <c r="B56" i="14"/>
  <c r="C56" i="14"/>
  <c r="D56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57" i="14"/>
  <c r="B57" i="14"/>
  <c r="C57" i="14"/>
  <c r="D57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58" i="14"/>
  <c r="B58" i="14"/>
  <c r="C58" i="14"/>
  <c r="D58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S58" i="14"/>
  <c r="T58" i="14"/>
  <c r="U58" i="14"/>
  <c r="V58" i="14"/>
  <c r="W58" i="14"/>
  <c r="X58" i="14"/>
  <c r="Y58" i="14"/>
  <c r="Z58" i="14"/>
  <c r="AA58" i="14"/>
  <c r="AB58" i="14"/>
  <c r="A59" i="14"/>
  <c r="B59" i="14"/>
  <c r="C59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60" i="14"/>
  <c r="B60" i="14"/>
  <c r="C60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X60" i="14"/>
  <c r="Y60" i="14"/>
  <c r="Z60" i="14"/>
  <c r="AA60" i="14"/>
  <c r="AB60" i="14"/>
  <c r="D61" i="14"/>
  <c r="E61" i="14"/>
  <c r="H61" i="14"/>
  <c r="I61" i="14"/>
  <c r="L61" i="14"/>
  <c r="M61" i="14"/>
  <c r="P61" i="14"/>
  <c r="Q61" i="14"/>
  <c r="T61" i="14"/>
  <c r="U61" i="14"/>
  <c r="X61" i="14"/>
  <c r="Y61" i="14"/>
  <c r="AA61" i="14"/>
  <c r="AB61" i="14"/>
  <c r="A2" i="13"/>
  <c r="E4" i="13"/>
  <c r="F4" i="13"/>
  <c r="G4" i="13"/>
  <c r="H4" i="13"/>
  <c r="I4" i="13"/>
  <c r="J4" i="13"/>
  <c r="E5" i="13"/>
  <c r="F5" i="13"/>
  <c r="G5" i="13"/>
  <c r="H5" i="13"/>
  <c r="I5" i="13"/>
  <c r="J5" i="13"/>
  <c r="L6" i="13"/>
  <c r="L7" i="13"/>
  <c r="L8" i="13"/>
  <c r="B9" i="13"/>
  <c r="D9" i="13"/>
  <c r="L9" i="13"/>
  <c r="D10" i="13"/>
  <c r="L10" i="13"/>
  <c r="B11" i="13"/>
  <c r="L11" i="13"/>
  <c r="L12" i="13"/>
  <c r="L13" i="13"/>
  <c r="L14" i="13"/>
  <c r="F15" i="13"/>
  <c r="G15" i="13"/>
  <c r="H15" i="13"/>
  <c r="I15" i="13"/>
  <c r="J15" i="13"/>
  <c r="L15" i="13"/>
  <c r="E16" i="13"/>
  <c r="F16" i="13"/>
  <c r="G16" i="13"/>
  <c r="H16" i="13"/>
  <c r="I16" i="13"/>
  <c r="J16" i="13"/>
  <c r="K16" i="13"/>
  <c r="L16" i="13"/>
  <c r="E17" i="13"/>
  <c r="F17" i="13"/>
  <c r="G17" i="13"/>
  <c r="H17" i="13"/>
  <c r="I17" i="13"/>
  <c r="J17" i="13"/>
  <c r="L17" i="13"/>
  <c r="E18" i="13"/>
  <c r="F18" i="13"/>
  <c r="G18" i="13"/>
  <c r="H18" i="13"/>
  <c r="I18" i="13"/>
  <c r="J18" i="13"/>
  <c r="L18" i="13"/>
  <c r="E19" i="13"/>
  <c r="F19" i="13"/>
  <c r="G19" i="13"/>
  <c r="H19" i="13"/>
  <c r="I19" i="13"/>
  <c r="J19" i="13"/>
  <c r="L19" i="13"/>
  <c r="L20" i="13"/>
  <c r="L21" i="13"/>
  <c r="E22" i="13"/>
  <c r="F22" i="13"/>
  <c r="G22" i="13"/>
  <c r="H22" i="13"/>
  <c r="I22" i="13"/>
  <c r="J22" i="13"/>
  <c r="L22" i="13"/>
  <c r="E23" i="13"/>
  <c r="F23" i="13"/>
  <c r="G23" i="13"/>
  <c r="H23" i="13"/>
  <c r="I23" i="13"/>
  <c r="J23" i="13"/>
  <c r="K23" i="13"/>
  <c r="L23" i="13"/>
  <c r="E24" i="13"/>
  <c r="F24" i="13"/>
  <c r="G24" i="13"/>
  <c r="H24" i="13"/>
  <c r="I24" i="13"/>
  <c r="J24" i="13"/>
  <c r="L24" i="13"/>
  <c r="L25" i="13"/>
  <c r="E26" i="13"/>
  <c r="F26" i="13"/>
  <c r="G26" i="13"/>
  <c r="H26" i="13"/>
  <c r="I26" i="13"/>
  <c r="J26" i="13"/>
  <c r="K26" i="13"/>
  <c r="L26" i="13"/>
  <c r="L27" i="13"/>
  <c r="L28" i="13"/>
  <c r="E29" i="13"/>
  <c r="F29" i="13"/>
  <c r="G29" i="13"/>
  <c r="H29" i="13"/>
  <c r="I29" i="13"/>
  <c r="J29" i="13"/>
  <c r="L29" i="13"/>
  <c r="E30" i="13"/>
  <c r="F30" i="13"/>
  <c r="G30" i="13"/>
  <c r="H30" i="13"/>
  <c r="I30" i="13"/>
  <c r="J30" i="13"/>
  <c r="K30" i="13"/>
  <c r="L30" i="13"/>
  <c r="E31" i="13"/>
  <c r="F31" i="13"/>
  <c r="G31" i="13"/>
  <c r="H31" i="13"/>
  <c r="I31" i="13"/>
  <c r="J31" i="13"/>
  <c r="L31" i="13"/>
  <c r="D33" i="13"/>
  <c r="A2" i="8"/>
  <c r="D3" i="8"/>
  <c r="E3" i="8"/>
  <c r="F3" i="8"/>
  <c r="G3" i="8"/>
  <c r="H3" i="8"/>
  <c r="I3" i="8"/>
  <c r="J3" i="8"/>
  <c r="K3" i="8"/>
  <c r="L3" i="8"/>
  <c r="M3" i="8"/>
  <c r="N3" i="8"/>
  <c r="D4" i="8"/>
  <c r="E4" i="8"/>
  <c r="F4" i="8"/>
  <c r="G4" i="8"/>
  <c r="H4" i="8"/>
  <c r="I4" i="8"/>
  <c r="J4" i="8"/>
  <c r="K4" i="8"/>
  <c r="L4" i="8"/>
  <c r="M4" i="8"/>
  <c r="N4" i="8"/>
  <c r="D7" i="8"/>
  <c r="F7" i="8"/>
  <c r="G7" i="8"/>
  <c r="H7" i="8"/>
  <c r="I7" i="8"/>
  <c r="J7" i="8"/>
  <c r="K7" i="8"/>
  <c r="L7" i="8"/>
  <c r="M7" i="8"/>
  <c r="N7" i="8"/>
  <c r="O7" i="8"/>
  <c r="P7" i="8"/>
  <c r="D8" i="8"/>
  <c r="E8" i="8"/>
  <c r="F8" i="8"/>
  <c r="G8" i="8"/>
  <c r="H8" i="8"/>
  <c r="I8" i="8"/>
  <c r="J8" i="8"/>
  <c r="K8" i="8"/>
  <c r="L8" i="8"/>
  <c r="M8" i="8"/>
  <c r="N8" i="8"/>
  <c r="O8" i="8"/>
  <c r="P8" i="8"/>
  <c r="D9" i="8"/>
  <c r="E9" i="8"/>
  <c r="F9" i="8"/>
  <c r="G9" i="8"/>
  <c r="H9" i="8"/>
  <c r="I9" i="8"/>
  <c r="J9" i="8"/>
  <c r="K9" i="8"/>
  <c r="L9" i="8"/>
  <c r="M9" i="8"/>
  <c r="N9" i="8"/>
  <c r="O9" i="8"/>
  <c r="D10" i="8"/>
  <c r="E10" i="8"/>
  <c r="F10" i="8"/>
  <c r="G10" i="8"/>
  <c r="H10" i="8"/>
  <c r="I10" i="8"/>
  <c r="J10" i="8"/>
  <c r="K10" i="8"/>
  <c r="L10" i="8"/>
  <c r="M10" i="8"/>
  <c r="N10" i="8"/>
  <c r="O10" i="8"/>
  <c r="D11" i="8"/>
  <c r="E11" i="8"/>
  <c r="F11" i="8"/>
  <c r="G11" i="8"/>
  <c r="H11" i="8"/>
  <c r="I11" i="8"/>
  <c r="J11" i="8"/>
  <c r="K11" i="8"/>
  <c r="L11" i="8"/>
  <c r="M11" i="8"/>
  <c r="N11" i="8"/>
  <c r="O11" i="8"/>
  <c r="D13" i="8"/>
  <c r="D14" i="8"/>
  <c r="D15" i="8"/>
  <c r="D16" i="8"/>
  <c r="E16" i="8"/>
  <c r="F16" i="8"/>
  <c r="G16" i="8"/>
  <c r="H16" i="8"/>
  <c r="I16" i="8"/>
  <c r="J16" i="8"/>
  <c r="K16" i="8"/>
  <c r="L16" i="8"/>
  <c r="M16" i="8"/>
  <c r="N16" i="8"/>
  <c r="O16" i="8"/>
  <c r="A20" i="8"/>
  <c r="D20" i="8"/>
  <c r="F20" i="8"/>
  <c r="G20" i="8"/>
  <c r="H20" i="8"/>
  <c r="I20" i="8"/>
  <c r="J20" i="8"/>
  <c r="K20" i="8"/>
  <c r="L20" i="8"/>
  <c r="M20" i="8"/>
  <c r="N20" i="8"/>
  <c r="O20" i="8"/>
  <c r="A21" i="8"/>
  <c r="D21" i="8"/>
  <c r="E21" i="8"/>
  <c r="F21" i="8"/>
  <c r="G21" i="8"/>
  <c r="H21" i="8"/>
  <c r="I21" i="8"/>
  <c r="J21" i="8"/>
  <c r="K21" i="8"/>
  <c r="L21" i="8"/>
  <c r="M21" i="8"/>
  <c r="N21" i="8"/>
  <c r="O21" i="8"/>
  <c r="D22" i="8"/>
  <c r="E22" i="8"/>
  <c r="F22" i="8"/>
  <c r="G22" i="8"/>
  <c r="H22" i="8"/>
  <c r="I22" i="8"/>
  <c r="J22" i="8"/>
  <c r="K22" i="8"/>
  <c r="L22" i="8"/>
  <c r="M22" i="8"/>
  <c r="N22" i="8"/>
  <c r="O22" i="8"/>
  <c r="D23" i="8"/>
  <c r="E23" i="8"/>
  <c r="F23" i="8"/>
  <c r="G23" i="8"/>
  <c r="H23" i="8"/>
  <c r="I23" i="8"/>
  <c r="J23" i="8"/>
  <c r="K23" i="8"/>
  <c r="L23" i="8"/>
  <c r="M23" i="8"/>
  <c r="N23" i="8"/>
  <c r="O23" i="8"/>
  <c r="D24" i="8"/>
  <c r="E24" i="8"/>
  <c r="F24" i="8"/>
  <c r="G24" i="8"/>
  <c r="H24" i="8"/>
  <c r="I24" i="8"/>
  <c r="J24" i="8"/>
  <c r="K24" i="8"/>
  <c r="L24" i="8"/>
  <c r="M24" i="8"/>
  <c r="N24" i="8"/>
  <c r="O24" i="8"/>
  <c r="D26" i="8"/>
  <c r="D27" i="8"/>
  <c r="D28" i="8"/>
  <c r="D29" i="8"/>
  <c r="E29" i="8"/>
  <c r="F29" i="8"/>
  <c r="G29" i="8"/>
  <c r="H29" i="8"/>
  <c r="I29" i="8"/>
  <c r="J29" i="8"/>
  <c r="K29" i="8"/>
  <c r="L29" i="8"/>
  <c r="M29" i="8"/>
  <c r="N29" i="8"/>
  <c r="O29" i="8"/>
  <c r="A2" i="15"/>
  <c r="D3" i="15"/>
  <c r="E3" i="15"/>
  <c r="F3" i="15"/>
  <c r="G3" i="15"/>
  <c r="H3" i="15"/>
  <c r="I3" i="15"/>
  <c r="J3" i="15"/>
  <c r="K3" i="15"/>
  <c r="L3" i="15"/>
  <c r="M3" i="15"/>
  <c r="D4" i="15"/>
  <c r="E4" i="15"/>
  <c r="F4" i="15"/>
  <c r="G4" i="15"/>
  <c r="H4" i="15"/>
  <c r="I4" i="15"/>
  <c r="J4" i="15"/>
  <c r="K4" i="15"/>
  <c r="L4" i="15"/>
  <c r="M4" i="15"/>
  <c r="D5" i="15"/>
  <c r="E5" i="15"/>
  <c r="F5" i="15"/>
  <c r="G5" i="15"/>
  <c r="H5" i="15"/>
  <c r="I5" i="15"/>
  <c r="J5" i="15"/>
  <c r="K5" i="15"/>
  <c r="L5" i="15"/>
  <c r="M5" i="15"/>
  <c r="D8" i="15"/>
  <c r="E8" i="15"/>
  <c r="F8" i="15"/>
  <c r="G8" i="15"/>
  <c r="H8" i="15"/>
  <c r="I8" i="15"/>
  <c r="J8" i="15"/>
  <c r="K8" i="15"/>
  <c r="L8" i="15"/>
  <c r="M8" i="15"/>
  <c r="N8" i="15"/>
  <c r="D9" i="15"/>
  <c r="E9" i="15"/>
  <c r="F9" i="15"/>
  <c r="G9" i="15"/>
  <c r="H9" i="15"/>
  <c r="I9" i="15"/>
  <c r="J9" i="15"/>
  <c r="K9" i="15"/>
  <c r="L9" i="15"/>
  <c r="M9" i="15"/>
  <c r="N9" i="15"/>
  <c r="D10" i="15"/>
  <c r="E10" i="15"/>
  <c r="F10" i="15"/>
  <c r="G10" i="15"/>
  <c r="H10" i="15"/>
  <c r="I10" i="15"/>
  <c r="J10" i="15"/>
  <c r="K10" i="15"/>
  <c r="L10" i="15"/>
  <c r="M10" i="15"/>
  <c r="N10" i="15"/>
  <c r="D11" i="15"/>
  <c r="E11" i="15"/>
  <c r="F11" i="15"/>
  <c r="G11" i="15"/>
  <c r="H11" i="15"/>
  <c r="I11" i="15"/>
  <c r="J11" i="15"/>
  <c r="K11" i="15"/>
  <c r="L11" i="15"/>
  <c r="M11" i="15"/>
  <c r="N11" i="15"/>
  <c r="D12" i="15"/>
  <c r="E12" i="15"/>
  <c r="F12" i="15"/>
  <c r="G12" i="15"/>
  <c r="H12" i="15"/>
  <c r="I12" i="15"/>
  <c r="J12" i="15"/>
  <c r="K12" i="15"/>
  <c r="L12" i="15"/>
  <c r="M12" i="15"/>
  <c r="D14" i="15"/>
  <c r="E14" i="15"/>
  <c r="F14" i="15"/>
  <c r="G14" i="15"/>
  <c r="H14" i="15"/>
  <c r="I14" i="15"/>
  <c r="J14" i="15"/>
  <c r="K14" i="15"/>
  <c r="L14" i="15"/>
  <c r="M14" i="15"/>
  <c r="N14" i="15"/>
</calcChain>
</file>

<file path=xl/comments1.xml><?xml version="1.0" encoding="utf-8"?>
<comments xmlns="http://schemas.openxmlformats.org/spreadsheetml/2006/main">
  <authors>
    <author>cwatts</author>
  </authors>
  <commentList>
    <comment ref="D8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R9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Breakout of development cost as per Mitch Robinson's instructions.  Includes all breaker costs.</t>
        </r>
      </text>
    </comment>
    <comment ref="R1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Breakout of development cost as per Mitch Robinson's instructions. Includes E&amp;C costs, ROW, switchyard and towers.</t>
        </r>
      </text>
    </comment>
    <comment ref="E18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This needs to be verified by the development group.  No official legal contract exists.</t>
        </r>
      </text>
    </comment>
    <comment ref="H19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Includes breakers, transformers and lines.  Consistent depreciation rates apply to all (see Patrick Maloy's email 8-31-00)</t>
        </r>
      </text>
    </comment>
    <comment ref="J19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see Patrick Malloy's voice mail 8-31-00.</t>
        </r>
      </text>
    </comment>
    <comment ref="H21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transformers and lines.  Consistent depreciation rates apply to all (see Patrick Maloy's email 8-31-00)</t>
        </r>
      </text>
    </comment>
    <comment ref="J21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Patrick Malloy states that the depreciable life for book and GAAP purposes will exceed MACRS (8-31-00).  Jody Pierce states  that convention is to depreciate the assets over the remaining life of the plant with a 10% salvage value.</t>
        </r>
      </text>
    </comment>
    <comment ref="H23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transformers and lines.  Consistent depreciation rates apply to all (see Patrick Maloy's email 8-31-00)</t>
        </r>
      </text>
    </comment>
    <comment ref="J23" authorId="0" shapeId="0">
      <text>
        <r>
          <rPr>
            <sz val="8"/>
            <color indexed="81"/>
            <rFont val="Tahoma"/>
          </rPr>
          <t xml:space="preserve">cwatts:
Patrick Malloy states that the depreciable life for book and GAAP purposes will exceed MACRS (8-31-00).  Jody Pierce states  that convention is to depreciate the assets over the remaining life of the plant with a 10% salvage value.
</t>
        </r>
      </text>
    </comment>
    <comment ref="C2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fixed capacity payment confirmed by Mitch Robinson.
</t>
        </r>
      </text>
    </comment>
    <comment ref="A3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confirmed data with Mitch Robinson</t>
        </r>
      </text>
    </comment>
    <comment ref="R4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Breakout of development cost as per Mitch Robinson's instructions. Inlcudes all option costs (breakers and land)</t>
        </r>
      </text>
    </comment>
  </commentList>
</comments>
</file>

<file path=xl/comments2.xml><?xml version="1.0" encoding="utf-8"?>
<comments xmlns="http://schemas.openxmlformats.org/spreadsheetml/2006/main">
  <authors>
    <author>cwatts</author>
    <author>Todd Neugebauer</author>
  </authors>
  <commentList>
    <comment ref="D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E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F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G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
</t>
        </r>
      </text>
    </comment>
    <comment ref="H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I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J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K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L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M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D25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This escalated O&amp;M figure reflects a higher fixed O&amp;M of $48K in the initial pertial year.</t>
        </r>
      </text>
    </comment>
    <comment ref="A69" authorId="1" shapeId="0">
      <text>
        <r>
          <rPr>
            <b/>
            <sz val="8"/>
            <color indexed="81"/>
            <rFont val="Tahoma"/>
          </rPr>
          <t>Todd Neugebauer:</t>
        </r>
        <r>
          <rPr>
            <sz val="8"/>
            <color indexed="81"/>
            <rFont val="Tahoma"/>
          </rPr>
          <t xml:space="preserve">
Both Coverage ratios add back maintenance expense because there is a reserve for it.</t>
        </r>
      </text>
    </comment>
  </commentList>
</comments>
</file>

<file path=xl/comments3.xml><?xml version="1.0" encoding="utf-8"?>
<comments xmlns="http://schemas.openxmlformats.org/spreadsheetml/2006/main">
  <authors>
    <author>cwatts</author>
  </authors>
  <commentList>
    <comment ref="F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Depreciation schedule as per Patrick Malloy's email 8-31-00</t>
        </r>
      </text>
    </comment>
  </commentList>
</comments>
</file>

<file path=xl/sharedStrings.xml><?xml version="1.0" encoding="utf-8"?>
<sst xmlns="http://schemas.openxmlformats.org/spreadsheetml/2006/main" count="571" uniqueCount="381">
  <si>
    <t>Depreciation</t>
  </si>
  <si>
    <t xml:space="preserve">   Total</t>
  </si>
  <si>
    <t>Project IRR</t>
  </si>
  <si>
    <t>Enron IRR</t>
  </si>
  <si>
    <t>ASSUMPTIONS</t>
  </si>
  <si>
    <t xml:space="preserve"> </t>
  </si>
  <si>
    <t xml:space="preserve">                                                                                       </t>
  </si>
  <si>
    <t>Taxes</t>
  </si>
  <si>
    <t>Amount</t>
  </si>
  <si>
    <t>Project and Enron Economics ($000)</t>
  </si>
  <si>
    <t>Disc Rate</t>
  </si>
  <si>
    <t>IRR</t>
  </si>
  <si>
    <t>NPV</t>
  </si>
  <si>
    <t>Capacity</t>
  </si>
  <si>
    <t>MW</t>
  </si>
  <si>
    <t>Project Costs ($000)</t>
  </si>
  <si>
    <t>Availability</t>
  </si>
  <si>
    <t>ASSUME EXEMPT</t>
  </si>
  <si>
    <t xml:space="preserve">  Major Mechanical &amp; Elec. Equip.</t>
  </si>
  <si>
    <t>PROJECT</t>
  </si>
  <si>
    <t>Heat Rate</t>
  </si>
  <si>
    <t>HHV</t>
  </si>
  <si>
    <t>Btu/kWh</t>
  </si>
  <si>
    <t xml:space="preserve">  Electrical Equip.</t>
  </si>
  <si>
    <t>Target IRR</t>
  </si>
  <si>
    <t xml:space="preserve">Dispatch </t>
  </si>
  <si>
    <t xml:space="preserve">  Import Duties </t>
  </si>
  <si>
    <t xml:space="preserve">Enron </t>
  </si>
  <si>
    <t xml:space="preserve">   TOTAL POWER PLANT EQUIPMENT, DUTIES &amp; VAT</t>
  </si>
  <si>
    <t xml:space="preserve">   TOTAL PROJECT COSTS</t>
  </si>
  <si>
    <t>Project Operations</t>
  </si>
  <si>
    <t xml:space="preserve">  Operations Mobilization</t>
  </si>
  <si>
    <t xml:space="preserve">   Start of Construction</t>
  </si>
  <si>
    <t>Gross Receipts Tax</t>
  </si>
  <si>
    <t xml:space="preserve">   TOTAL CONSTRUCTION COSTS</t>
  </si>
  <si>
    <t>TOTAL PARTNERS</t>
  </si>
  <si>
    <t xml:space="preserve">   Term of Construction (Mos)</t>
  </si>
  <si>
    <t xml:space="preserve">  Transmission Line</t>
  </si>
  <si>
    <t xml:space="preserve">   Start of Operations - Month / Year</t>
  </si>
  <si>
    <t>US Taxes</t>
  </si>
  <si>
    <t xml:space="preserve">  Construction Costs</t>
  </si>
  <si>
    <t xml:space="preserve">   Term of Contract (Yrs)</t>
  </si>
  <si>
    <t xml:space="preserve">   Federal Income Tax</t>
  </si>
  <si>
    <t xml:space="preserve">  Transmission Mobilization</t>
  </si>
  <si>
    <t xml:space="preserve">   Type of Contract</t>
  </si>
  <si>
    <t xml:space="preserve">   TOTAL TRANSMISSION LINE COSTS</t>
  </si>
  <si>
    <t>Depreciation Assumptions</t>
  </si>
  <si>
    <t>Basis ($000)</t>
  </si>
  <si>
    <t>Life (Yrs)</t>
  </si>
  <si>
    <t>Method</t>
  </si>
  <si>
    <t>Pricing</t>
  </si>
  <si>
    <t xml:space="preserve">  Lateral Pipe</t>
  </si>
  <si>
    <t>Capacity Payments:</t>
  </si>
  <si>
    <t>Escalation</t>
  </si>
  <si>
    <t>Tax:</t>
  </si>
  <si>
    <t>S/L</t>
  </si>
  <si>
    <t xml:space="preserve">Fixed Capacity </t>
  </si>
  <si>
    <t xml:space="preserve"> /kW-Mon</t>
  </si>
  <si>
    <t xml:space="preserve">   (includes ROE, Taxes, Debt Service, Fixed O&amp;M)</t>
  </si>
  <si>
    <t xml:space="preserve">  Pipeline Mobilization</t>
  </si>
  <si>
    <t>Energy (Variable) Payments:</t>
  </si>
  <si>
    <t xml:space="preserve">   TOTAL PIPELINE COSTS</t>
  </si>
  <si>
    <t>Variable O&amp;M</t>
  </si>
  <si>
    <t xml:space="preserve"> /kWh</t>
  </si>
  <si>
    <t>Book:</t>
  </si>
  <si>
    <t xml:space="preserve">  Withholding Tax on IDC</t>
  </si>
  <si>
    <t>Other</t>
  </si>
  <si>
    <t xml:space="preserve">  Financing Costs</t>
  </si>
  <si>
    <t xml:space="preserve">  Misc Lenders' Expenses</t>
  </si>
  <si>
    <t>US GAAP:</t>
  </si>
  <si>
    <t xml:space="preserve">  Bank Environmental Consultant</t>
  </si>
  <si>
    <t xml:space="preserve">  Bank Independent Engineer</t>
  </si>
  <si>
    <t xml:space="preserve">  Completion Bond</t>
  </si>
  <si>
    <t xml:space="preserve">Project Ownership </t>
  </si>
  <si>
    <t>% of Equity</t>
  </si>
  <si>
    <t>% of Cash Flow</t>
  </si>
  <si>
    <t>Equity $s</t>
  </si>
  <si>
    <t xml:space="preserve">  Overheads</t>
  </si>
  <si>
    <t>Enron</t>
  </si>
  <si>
    <t xml:space="preserve">  Permits &amp; Licenses</t>
  </si>
  <si>
    <t>Operating Expenses ($000)</t>
  </si>
  <si>
    <t xml:space="preserve">CPI Rate: </t>
  </si>
  <si>
    <t xml:space="preserve">  Legal Fees </t>
  </si>
  <si>
    <t>Payments</t>
  </si>
  <si>
    <t xml:space="preserve">   TOTAL THIRD PARTY DEVMT/FINANCING COSTS</t>
  </si>
  <si>
    <t>Fixed:</t>
  </si>
  <si>
    <t xml:space="preserve">  Development Fees</t>
  </si>
  <si>
    <t>Miscellaneous O&amp;M</t>
  </si>
  <si>
    <t xml:space="preserve">  Development Costs</t>
  </si>
  <si>
    <t>Miscellaneous G&amp;A</t>
  </si>
  <si>
    <t xml:space="preserve">  Financial Advisor</t>
  </si>
  <si>
    <t>Maintenance Reserve</t>
  </si>
  <si>
    <t xml:space="preserve">  Profit</t>
  </si>
  <si>
    <t>Plant Insurance</t>
  </si>
  <si>
    <t xml:space="preserve">  Commission &amp; Startup (Operator)</t>
  </si>
  <si>
    <t>Payroll</t>
  </si>
  <si>
    <t xml:space="preserve">   TOTAL ENRON COSTS</t>
  </si>
  <si>
    <t xml:space="preserve">Spare Parts </t>
  </si>
  <si>
    <t xml:space="preserve">  Vendor Reps</t>
  </si>
  <si>
    <t>Water &amp; Chemicals</t>
  </si>
  <si>
    <t xml:space="preserve">  Owner's Engineer Services</t>
  </si>
  <si>
    <t xml:space="preserve">   TOTAL TURNKEY OTHER COSTS</t>
  </si>
  <si>
    <t xml:space="preserve">  Working Capital</t>
  </si>
  <si>
    <t>Pipeline Operations</t>
  </si>
  <si>
    <t xml:space="preserve">   TOTAL OTHER COSTS</t>
  </si>
  <si>
    <t>Variable:</t>
  </si>
  <si>
    <t xml:space="preserve">  Contingency -</t>
  </si>
  <si>
    <t xml:space="preserve">   TOTAL CONTINGENCY</t>
  </si>
  <si>
    <t xml:space="preserve">   Debt</t>
  </si>
  <si>
    <t xml:space="preserve">   Equity</t>
  </si>
  <si>
    <t xml:space="preserve">   Total Investment</t>
  </si>
  <si>
    <t>:pss9~qlbcaqqrsROI~g</t>
  </si>
  <si>
    <t>:pss10~qlbcaqqrsNDC~g</t>
  </si>
  <si>
    <t>:pss11~qlbcaqqrsFIN~g</t>
  </si>
  <si>
    <t>CASH FLOW - PROJECT</t>
  </si>
  <si>
    <t>Current Year</t>
  </si>
  <si>
    <t>Calendar Year</t>
  </si>
  <si>
    <t>Totals</t>
  </si>
  <si>
    <t>Months of Operation</t>
  </si>
  <si>
    <t>Capacity (MW) - Gross</t>
  </si>
  <si>
    <t>Units Produced (MWhr)</t>
  </si>
  <si>
    <t>REVENUES:</t>
  </si>
  <si>
    <t>EXPENSES:</t>
  </si>
  <si>
    <t>Operation and Maintenance:</t>
  </si>
  <si>
    <t>Fixed O&amp;M:</t>
  </si>
  <si>
    <t>Total Fixed O&amp;M</t>
  </si>
  <si>
    <t>Variable O&amp;M:</t>
  </si>
  <si>
    <t>Total Variable O&amp;M</t>
  </si>
  <si>
    <t xml:space="preserve">     Total Operations &amp; Maintenance</t>
  </si>
  <si>
    <t xml:space="preserve">          TOTAL EXPENSES</t>
  </si>
  <si>
    <t xml:space="preserve">   Less:  Book Depreciation Expense</t>
  </si>
  <si>
    <t>Earnings Before Int &amp; Taxes (EBIT)</t>
  </si>
  <si>
    <t xml:space="preserve">   Less:  Interest Expense (before W/H Tax)</t>
  </si>
  <si>
    <t>Earnings Before Taxes (EBT)</t>
  </si>
  <si>
    <t xml:space="preserve">  Less:  Book Provision for Income Taxes</t>
  </si>
  <si>
    <t>PROJECT BOOK INCOME</t>
  </si>
  <si>
    <t>Plus:  Book Depreciation</t>
  </si>
  <si>
    <t>Plus:  Spare Parts</t>
  </si>
  <si>
    <t>Plus:  Liquidation Proceeds</t>
  </si>
  <si>
    <t>(Working Capital)</t>
  </si>
  <si>
    <t>Plus:  Book Provision for Income Taxes</t>
  </si>
  <si>
    <t>Less:  Cash Taxes</t>
  </si>
  <si>
    <t>Less:  Principal Payments</t>
  </si>
  <si>
    <t>NET A-T CASH FLOW DISTRIBUTED</t>
  </si>
  <si>
    <t>Pre-Tax Debt Coverage</t>
  </si>
  <si>
    <t>(EBDIT/(Debt Serv+W/H Tax))</t>
  </si>
  <si>
    <t>After-Tax Debt Coverage</t>
  </si>
  <si>
    <t>((EBDIT-Taxes)/(Debt Serv+W/H Tax))</t>
  </si>
  <si>
    <t>RETURNS</t>
  </si>
  <si>
    <t xml:space="preserve">Current Year </t>
  </si>
  <si>
    <t>PROJECT RETURNS</t>
  </si>
  <si>
    <t>Equity Injection</t>
  </si>
  <si>
    <t>Net A-T Cash Flow</t>
  </si>
  <si>
    <t>Total Cash Flow</t>
  </si>
  <si>
    <t>20 Year Running NPV</t>
  </si>
  <si>
    <t>20 Year Running IRR</t>
  </si>
  <si>
    <t>Discounted Payback Year</t>
  </si>
  <si>
    <t>ENRON RETURNS</t>
  </si>
  <si>
    <t>DRAWDOWN SCHEDULE</t>
  </si>
  <si>
    <t>Total Cost Excluding IDC</t>
  </si>
  <si>
    <t>PROJECT COSTS</t>
  </si>
  <si>
    <t>Monthly</t>
  </si>
  <si>
    <t>Cumulative</t>
  </si>
  <si>
    <t>Description</t>
  </si>
  <si>
    <t>% of</t>
  </si>
  <si>
    <t>Cost</t>
  </si>
  <si>
    <t>Month</t>
  </si>
  <si>
    <t>of Activity</t>
  </si>
  <si>
    <t>Total Cost</t>
  </si>
  <si>
    <t>($ 000's)</t>
  </si>
  <si>
    <t>TOTAL</t>
  </si>
  <si>
    <t>INTEREST DURING CONSTRUCTION</t>
  </si>
  <si>
    <t>Current Month</t>
  </si>
  <si>
    <t>Calendar Month</t>
  </si>
  <si>
    <t>(excl IDC)</t>
  </si>
  <si>
    <t>Total</t>
  </si>
  <si>
    <t>Project Cost</t>
  </si>
  <si>
    <t>Interest Rate</t>
  </si>
  <si>
    <t>Construction Balance</t>
  </si>
  <si>
    <t>Beginning Construction Balance</t>
  </si>
  <si>
    <t>Construction Drawdown</t>
  </si>
  <si>
    <t>Ending Construction Balance</t>
  </si>
  <si>
    <t xml:space="preserve">  Cumulative % complete (excl IDC &amp; Prepayment)</t>
  </si>
  <si>
    <t xml:space="preserve">  All-In Cumulative % Complete (excl Prepayment)</t>
  </si>
  <si>
    <t>Debt Balance</t>
  </si>
  <si>
    <t>Beginning Debt Balance</t>
  </si>
  <si>
    <t>Plus:  Debt Proceeds</t>
  </si>
  <si>
    <t>Ending Balance Debt Only</t>
  </si>
  <si>
    <t>Equity Balance</t>
  </si>
  <si>
    <t>Beginning Equity Balance</t>
  </si>
  <si>
    <t>Plus:  Equity Proceeds</t>
  </si>
  <si>
    <t>Ending Equity Balance</t>
  </si>
  <si>
    <t>Total Interest During Construction</t>
  </si>
  <si>
    <t>FINANCING</t>
  </si>
  <si>
    <t xml:space="preserve">Totals  </t>
  </si>
  <si>
    <t>DEBT SERVICE</t>
  </si>
  <si>
    <t xml:space="preserve">   Interest</t>
  </si>
  <si>
    <t xml:space="preserve">   Principal</t>
  </si>
  <si>
    <t xml:space="preserve">         Total Debt Service</t>
  </si>
  <si>
    <t>PRINCIPAL</t>
  </si>
  <si>
    <t>REPAYMENT</t>
  </si>
  <si>
    <t xml:space="preserve">Term </t>
  </si>
  <si>
    <t>Years</t>
  </si>
  <si>
    <t>Grace Period:</t>
  </si>
  <si>
    <t>Year</t>
  </si>
  <si>
    <t>Period</t>
  </si>
  <si>
    <t>Begin Bal</t>
  </si>
  <si>
    <t>Interest</t>
  </si>
  <si>
    <t>Principal</t>
  </si>
  <si>
    <t>End Bal</t>
  </si>
  <si>
    <t>TOTALS</t>
  </si>
  <si>
    <t>CASH TAXES, COMMITMENT FEE</t>
  </si>
  <si>
    <t>CASH TAXES</t>
  </si>
  <si>
    <t xml:space="preserve">  EBDIT</t>
  </si>
  <si>
    <t xml:space="preserve">  Less:  Tax Depreciation</t>
  </si>
  <si>
    <t xml:space="preserve">  Less:  Interest Expense (before W/H Tax)</t>
  </si>
  <si>
    <t xml:space="preserve">  Taxable Income</t>
  </si>
  <si>
    <t>TOTAL CASH TAXES PAID</t>
  </si>
  <si>
    <t>DEPRECIATION CALCULATIONS</t>
  </si>
  <si>
    <t>Tax</t>
  </si>
  <si>
    <t>Book</t>
  </si>
  <si>
    <t>US GAAP</t>
  </si>
  <si>
    <t>Total Project Cost</t>
  </si>
  <si>
    <t>Less:  Working Capital</t>
  </si>
  <si>
    <t>Total Depreciable Basis</t>
  </si>
  <si>
    <t>Tax Depreciation:</t>
  </si>
  <si>
    <t>Original</t>
  </si>
  <si>
    <t>Current Tax Depreciation:</t>
  </si>
  <si>
    <t xml:space="preserve">Basis  </t>
  </si>
  <si>
    <t>Total Current Tax Depreciation</t>
  </si>
  <si>
    <t>Accumulated Tax Depreciation</t>
  </si>
  <si>
    <t>Beginning Tax Basis</t>
  </si>
  <si>
    <t>Plus:  New Additions</t>
  </si>
  <si>
    <t>Less: Current Depreciation</t>
  </si>
  <si>
    <t>Ending Tax Basis</t>
  </si>
  <si>
    <t>Book Depreciation:</t>
  </si>
  <si>
    <t>Current Book Depreciation:</t>
  </si>
  <si>
    <t>Total Current Book Depreciation</t>
  </si>
  <si>
    <t>Accumulated Book Depreciation</t>
  </si>
  <si>
    <t>Beginning Book Basis</t>
  </si>
  <si>
    <t>Ending Book Basis</t>
  </si>
  <si>
    <t>US GAAP Depreciation:</t>
  </si>
  <si>
    <t>BALANCE SHEET</t>
  </si>
  <si>
    <t>Opening</t>
  </si>
  <si>
    <t>Balance</t>
  </si>
  <si>
    <t>Assets:</t>
  </si>
  <si>
    <t>Cash and cash equivalents</t>
  </si>
  <si>
    <t>Accounts Receivable</t>
  </si>
  <si>
    <t>Inventory</t>
  </si>
  <si>
    <t>Construction in progress</t>
  </si>
  <si>
    <t>Property, plant and equipment</t>
  </si>
  <si>
    <t>Accumulated depreciation</t>
  </si>
  <si>
    <t>Property, plant, and equipment, net</t>
  </si>
  <si>
    <t>Land</t>
  </si>
  <si>
    <t>Total Assets</t>
  </si>
  <si>
    <t>Liabilities:</t>
  </si>
  <si>
    <t>Accounts Payable</t>
  </si>
  <si>
    <t>Interest Payable</t>
  </si>
  <si>
    <t>Income taxes payable</t>
  </si>
  <si>
    <t>Long-term debt</t>
  </si>
  <si>
    <t>Other liabilities</t>
  </si>
  <si>
    <t>Total liabilities</t>
  </si>
  <si>
    <t>Stockholders' equity:</t>
  </si>
  <si>
    <t>Capital Stock</t>
  </si>
  <si>
    <t>Dividends</t>
  </si>
  <si>
    <t>Retained earnings</t>
  </si>
  <si>
    <t>Total stockholders' equity</t>
  </si>
  <si>
    <t>Total liabilities and stockholders' equity</t>
  </si>
  <si>
    <t>Balance Check:</t>
  </si>
  <si>
    <t>INCOME STATEMENT</t>
  </si>
  <si>
    <t>Fixed O&amp;M</t>
  </si>
  <si>
    <t>Interest expense</t>
  </si>
  <si>
    <t>Total expenses</t>
  </si>
  <si>
    <t>Income before income taxes</t>
  </si>
  <si>
    <t>Net income</t>
  </si>
  <si>
    <t>STATEMENT OF CASH FLOWS</t>
  </si>
  <si>
    <t>Cash flows from operating activities:</t>
  </si>
  <si>
    <t>Cash received from customers</t>
  </si>
  <si>
    <t>Cash paid to suppliers and employees</t>
  </si>
  <si>
    <t>Spare Parts</t>
  </si>
  <si>
    <t>Interest paid</t>
  </si>
  <si>
    <t>Income taxes paid</t>
  </si>
  <si>
    <t>Net cash provided by operating activities</t>
  </si>
  <si>
    <t>Cash flows from financing activities:</t>
  </si>
  <si>
    <t>Principal payments under long-term debt obligations</t>
  </si>
  <si>
    <t>Proceeds from issuance of long-term debt</t>
  </si>
  <si>
    <t>Proceeds from refinancing of long-term debt</t>
  </si>
  <si>
    <t>Loans to Shareholders - Trapped Cash</t>
  </si>
  <si>
    <t>Loans to Shareholders - Legal Reserve</t>
  </si>
  <si>
    <t>Interest Income - Loans to Shareholders</t>
  </si>
  <si>
    <t>Increase/(Decrease) in Labor Liability</t>
  </si>
  <si>
    <t>Capital contributions</t>
  </si>
  <si>
    <t>Dividends paid</t>
  </si>
  <si>
    <t>Net cash provided by financing activities</t>
  </si>
  <si>
    <t>Net increase in cash and cash equivalents</t>
  </si>
  <si>
    <t>Cash and cash equivalents at beginning of year</t>
  </si>
  <si>
    <t>Cash and cash equivalents at end of year</t>
  </si>
  <si>
    <t>Debt/Equity Structure</t>
  </si>
  <si>
    <t xml:space="preserve">   Debt/Equity Structure</t>
  </si>
  <si>
    <t>(pari-passu, equity last, etc.)</t>
  </si>
  <si>
    <t/>
  </si>
  <si>
    <t>Project Earnings Before Depr, Int &amp; Taxes (EBDIT)</t>
  </si>
  <si>
    <t>Project Company Tax Position</t>
  </si>
  <si>
    <t xml:space="preserve">   Enron's Tax Position</t>
  </si>
  <si>
    <t>All-in-Cost</t>
  </si>
  <si>
    <t>Cents/kWh</t>
  </si>
  <si>
    <t xml:space="preserve">  IDC (Interest During Construction)</t>
  </si>
  <si>
    <t>MACRS</t>
  </si>
  <si>
    <t>Transmission Capacity Pmt.</t>
  </si>
  <si>
    <t>Maintenance Excluding (Major Maint)</t>
  </si>
  <si>
    <t>Plant Operations (O&amp;M Fee)</t>
  </si>
  <si>
    <t>Less:  Major Maintenance Margin</t>
  </si>
  <si>
    <t>Major Maintenance Margin Adjustment</t>
  </si>
  <si>
    <t>Major Maintenance Reserve</t>
  </si>
  <si>
    <t xml:space="preserve">  Insurance -Builders Risk (30 BP on Total Cost)  and delay of operation (.25 of 1st yr DS)</t>
  </si>
  <si>
    <t>Interest on Maintenance Reserve Account</t>
  </si>
  <si>
    <t xml:space="preserve">         TOTAL REVENUES (+int inc.)</t>
  </si>
  <si>
    <t>Interest Income</t>
  </si>
  <si>
    <t>Sales/Revenues (includes int. inc.)</t>
  </si>
  <si>
    <t xml:space="preserve">  Mainline Pipe - 20"</t>
  </si>
  <si>
    <t>Property Tax</t>
  </si>
  <si>
    <t>MACRS Schedule</t>
  </si>
  <si>
    <t>Power Line Data</t>
  </si>
  <si>
    <t>Historical Dispatch</t>
  </si>
  <si>
    <t>Power Cost</t>
  </si>
  <si>
    <t>Line Loss (Cross-Sound Cable Only)</t>
  </si>
  <si>
    <t>Misc</t>
  </si>
  <si>
    <t xml:space="preserve">   State Corporate Tax</t>
  </si>
  <si>
    <t>Margin to SOCO/FL</t>
  </si>
  <si>
    <t>Lower transmission costs</t>
  </si>
  <si>
    <t>Decrease transmission losses</t>
  </si>
  <si>
    <t>hardcoded</t>
  </si>
  <si>
    <t xml:space="preserve">AL Corporate Net Income Tax </t>
  </si>
  <si>
    <t xml:space="preserve">Conn.  Line Data </t>
  </si>
  <si>
    <t>kv</t>
  </si>
  <si>
    <t>Lower Transmission Costs</t>
  </si>
  <si>
    <t xml:space="preserve">   Total Benefits</t>
  </si>
  <si>
    <t>=D27-D56</t>
  </si>
  <si>
    <t xml:space="preserve">Asset  </t>
  </si>
  <si>
    <t xml:space="preserve">Asset 1 </t>
  </si>
  <si>
    <t>Circuit breaker option</t>
  </si>
  <si>
    <t>Circuit breaker purchase</t>
  </si>
  <si>
    <t>Towers, breakers, land options</t>
  </si>
  <si>
    <t>Breakers, ROW, E&amp;C, switchyard</t>
  </si>
  <si>
    <t>Construction</t>
  </si>
  <si>
    <t>Operations</t>
  </si>
  <si>
    <t>n/a</t>
  </si>
  <si>
    <t>($ in 000s)</t>
  </si>
  <si>
    <t>Interest During Construction -- Monthly</t>
  </si>
  <si>
    <t>SOCO premium over TVA</t>
  </si>
  <si>
    <t>Lower Transmission Losses</t>
  </si>
  <si>
    <t>Financing</t>
  </si>
  <si>
    <t>Year 2001</t>
  </si>
  <si>
    <t>Year 2002</t>
  </si>
  <si>
    <t>Year 2003</t>
  </si>
  <si>
    <t xml:space="preserve">  Tax Rate</t>
  </si>
  <si>
    <t>Peaker Hours</t>
  </si>
  <si>
    <t>Forward Curve ($/MWh)</t>
  </si>
  <si>
    <t>Decrease Transmission Losses to TVA (in 000's)</t>
  </si>
  <si>
    <t>Decrease TVA Transmission Cost (in 000's)</t>
  </si>
  <si>
    <t>($ in 000's)</t>
  </si>
  <si>
    <t>(in 000's)</t>
  </si>
  <si>
    <t>SOCO premium over TVA ($ in 10 x 3)</t>
  </si>
  <si>
    <t xml:space="preserve">  Contingency - Material &amp; Labor ?</t>
  </si>
  <si>
    <t xml:space="preserve">  Contingency -Distribution Service to New Sub?</t>
  </si>
  <si>
    <t>Revenue Analysis</t>
  </si>
  <si>
    <t>Discount Rate</t>
  </si>
  <si>
    <t xml:space="preserve">Project NPV                       </t>
  </si>
  <si>
    <t xml:space="preserve">Enron NPV                        </t>
  </si>
  <si>
    <t>Cost Analysis</t>
  </si>
  <si>
    <t xml:space="preserve">Month </t>
  </si>
  <si>
    <t>% of Total Cost</t>
  </si>
  <si>
    <t>Less:  Other Costs</t>
  </si>
  <si>
    <t>Other Costs</t>
  </si>
  <si>
    <t>Provision for income taxes (natl &amp; state)</t>
  </si>
  <si>
    <t>Dividend Rate</t>
  </si>
  <si>
    <t>New additions</t>
  </si>
  <si>
    <t>Balance Sheet Assumptions</t>
  </si>
  <si>
    <t>Account Receivable</t>
  </si>
  <si>
    <t>Construction in Progress</t>
  </si>
  <si>
    <t>Days w/o transmission from TVA to SOCO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</si>
</sst>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5" formatCode="&quot;$&quot;#,##0.0000_);[Red]\(&quot;$&quot;#,##0.0000\)"/>
    <numFmt numFmtId="167" formatCode="0.0%"/>
    <numFmt numFmtId="170" formatCode=";;;"/>
    <numFmt numFmtId="180" formatCode="0.000%"/>
    <numFmt numFmtId="200" formatCode="_(* #,##0.0000_);_(* \(#,##0.0000\);_(* &quot;-&quot;??_);_(@_)"/>
    <numFmt numFmtId="203" formatCode="_(* #,##0_);_(* \(#,##0\);_(* &quot;-&quot;??_);_(@_)"/>
  </numFmts>
  <fonts count="49" x14ac:knownFonts="1">
    <font>
      <sz val="10"/>
      <name val="Arial"/>
    </font>
    <font>
      <i/>
      <sz val="10"/>
      <name val="Arial"/>
    </font>
    <font>
      <sz val="10"/>
      <name val="Arial"/>
    </font>
    <font>
      <b/>
      <sz val="10"/>
      <name val="Times"/>
      <family val="1"/>
    </font>
    <font>
      <sz val="10"/>
      <name val="Times"/>
      <family val="1"/>
    </font>
    <font>
      <b/>
      <sz val="10"/>
      <name val="Times"/>
    </font>
    <font>
      <u/>
      <sz val="10"/>
      <name val="Times"/>
      <family val="1"/>
    </font>
    <font>
      <b/>
      <u/>
      <sz val="10"/>
      <name val="Times"/>
      <family val="1"/>
    </font>
    <font>
      <u val="double"/>
      <sz val="10"/>
      <name val="Times"/>
      <family val="1"/>
    </font>
    <font>
      <b/>
      <sz val="12"/>
      <name val="Times"/>
      <family val="1"/>
    </font>
    <font>
      <b/>
      <sz val="12"/>
      <color indexed="39"/>
      <name val="Times"/>
      <family val="1"/>
    </font>
    <font>
      <sz val="10"/>
      <color indexed="39"/>
      <name val="Times"/>
      <family val="1"/>
    </font>
    <font>
      <u/>
      <sz val="10"/>
      <color indexed="39"/>
      <name val="Times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u/>
      <sz val="10"/>
      <name val="Times New Roman"/>
      <family val="1"/>
    </font>
    <font>
      <sz val="10"/>
      <color indexed="39"/>
      <name val="Times New Roman"/>
      <family val="1"/>
    </font>
    <font>
      <u val="double"/>
      <sz val="10"/>
      <color indexed="39"/>
      <name val="Times"/>
      <family val="1"/>
    </font>
    <font>
      <b/>
      <sz val="12"/>
      <color indexed="39"/>
      <name val="Times New Roman"/>
      <family val="1"/>
    </font>
    <font>
      <b/>
      <sz val="12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i/>
      <sz val="10"/>
      <name val="Times New Roman"/>
      <family val="1"/>
    </font>
    <font>
      <i/>
      <sz val="8"/>
      <name val="Times New Roman"/>
      <family val="1"/>
    </font>
    <font>
      <b/>
      <sz val="10"/>
      <color indexed="8"/>
      <name val="Times New Roman"/>
      <family val="1"/>
    </font>
    <font>
      <sz val="8"/>
      <name val="Times New Roman"/>
      <family val="1"/>
    </font>
    <font>
      <sz val="6"/>
      <name val="Times New Roman"/>
      <family val="1"/>
    </font>
    <font>
      <b/>
      <u/>
      <sz val="8"/>
      <name val="Times New Roman"/>
      <family val="1"/>
    </font>
    <font>
      <i/>
      <sz val="10"/>
      <name val="Times New Roman"/>
      <family val="1"/>
    </font>
    <font>
      <u val="double"/>
      <sz val="10"/>
      <name val="Times New Roman"/>
      <family val="1"/>
    </font>
    <font>
      <b/>
      <sz val="10"/>
      <name val="Times New Roman"/>
    </font>
    <font>
      <u/>
      <sz val="10"/>
      <name val="Times"/>
    </font>
    <font>
      <sz val="10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color indexed="8"/>
      <name val="Times New Roman"/>
      <family val="1"/>
    </font>
    <font>
      <i/>
      <sz val="10"/>
      <name val="Times New Roman"/>
    </font>
    <font>
      <b/>
      <u/>
      <sz val="10"/>
      <name val="Times New Roman"/>
    </font>
    <font>
      <b/>
      <sz val="10"/>
      <name val="Arial"/>
      <family val="2"/>
    </font>
    <font>
      <b/>
      <u/>
      <sz val="10"/>
      <name val="Times"/>
    </font>
    <font>
      <i/>
      <sz val="10"/>
      <name val="Times"/>
    </font>
    <font>
      <i/>
      <sz val="10"/>
      <name val="Times"/>
      <family val="1"/>
    </font>
    <font>
      <sz val="8"/>
      <color indexed="81"/>
      <name val="Tahoma"/>
    </font>
    <font>
      <sz val="10"/>
      <color indexed="56"/>
      <name val="Times New Roman"/>
      <family val="1"/>
    </font>
    <font>
      <u/>
      <sz val="10"/>
      <color indexed="56"/>
      <name val="Times New Roman"/>
      <family val="1"/>
    </font>
    <font>
      <b/>
      <sz val="10"/>
      <color indexed="56"/>
      <name val="Times New Roman"/>
      <family val="1"/>
    </font>
    <font>
      <b/>
      <sz val="8"/>
      <color indexed="81"/>
      <name val="Tahoma"/>
    </font>
    <font>
      <sz val="10"/>
      <color indexed="9"/>
      <name val="Times New Roman"/>
      <family val="1"/>
    </font>
    <font>
      <b/>
      <sz val="10"/>
      <color indexed="39"/>
      <name val="Times"/>
      <family val="1"/>
    </font>
    <font>
      <b/>
      <u val="double"/>
      <sz val="10"/>
      <name val="Times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14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0" xfId="0" applyFont="1" applyBorder="1"/>
    <xf numFmtId="0" fontId="4" fillId="0" borderId="3" xfId="0" applyFont="1" applyBorder="1"/>
    <xf numFmtId="0" fontId="4" fillId="0" borderId="4" xfId="0" applyFont="1" applyBorder="1"/>
    <xf numFmtId="0" fontId="5" fillId="0" borderId="5" xfId="0" applyFont="1" applyBorder="1"/>
    <xf numFmtId="0" fontId="4" fillId="0" borderId="0" xfId="0" applyFont="1" applyAlignment="1">
      <alignment horizontal="center"/>
    </xf>
    <xf numFmtId="10" fontId="4" fillId="0" borderId="0" xfId="0" applyNumberFormat="1" applyFont="1" applyBorder="1"/>
    <xf numFmtId="0" fontId="5" fillId="0" borderId="1" xfId="0" applyFont="1" applyBorder="1"/>
    <xf numFmtId="0" fontId="4" fillId="0" borderId="5" xfId="0" applyFont="1" applyBorder="1"/>
    <xf numFmtId="0" fontId="5" fillId="0" borderId="2" xfId="0" applyFont="1" applyBorder="1"/>
    <xf numFmtId="0" fontId="5" fillId="0" borderId="0" xfId="0" applyFont="1" applyBorder="1"/>
    <xf numFmtId="0" fontId="5" fillId="0" borderId="3" xfId="0" applyFont="1" applyBorder="1"/>
    <xf numFmtId="0" fontId="5" fillId="0" borderId="4" xfId="0" applyFont="1" applyBorder="1"/>
    <xf numFmtId="0" fontId="4" fillId="0" borderId="6" xfId="0" applyFont="1" applyBorder="1"/>
    <xf numFmtId="0" fontId="4" fillId="0" borderId="7" xfId="0" applyFont="1" applyBorder="1"/>
    <xf numFmtId="0" fontId="7" fillId="0" borderId="6" xfId="0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5" fillId="0" borderId="7" xfId="0" applyFont="1" applyBorder="1" applyAlignment="1">
      <alignment horizontal="center"/>
    </xf>
    <xf numFmtId="0" fontId="3" fillId="0" borderId="0" xfId="0" applyFont="1"/>
    <xf numFmtId="0" fontId="3" fillId="0" borderId="13" xfId="0" applyFont="1" applyBorder="1" applyAlignment="1">
      <alignment horizontal="center"/>
    </xf>
    <xf numFmtId="37" fontId="4" fillId="0" borderId="0" xfId="0" applyNumberFormat="1" applyFont="1" applyBorder="1"/>
    <xf numFmtId="37" fontId="4" fillId="0" borderId="6" xfId="0" applyNumberFormat="1" applyFont="1" applyBorder="1"/>
    <xf numFmtId="37" fontId="6" fillId="0" borderId="0" xfId="0" applyNumberFormat="1" applyFont="1" applyBorder="1"/>
    <xf numFmtId="37" fontId="8" fillId="0" borderId="0" xfId="0" applyNumberFormat="1" applyFont="1" applyBorder="1"/>
    <xf numFmtId="0" fontId="3" fillId="0" borderId="6" xfId="0" applyFont="1" applyBorder="1" applyAlignment="1">
      <alignment horizontal="center"/>
    </xf>
    <xf numFmtId="37" fontId="4" fillId="0" borderId="4" xfId="0" applyNumberFormat="1" applyFont="1" applyBorder="1"/>
    <xf numFmtId="37" fontId="4" fillId="0" borderId="13" xfId="0" applyNumberFormat="1" applyFont="1" applyBorder="1"/>
    <xf numFmtId="0" fontId="14" fillId="0" borderId="0" xfId="0" applyFont="1"/>
    <xf numFmtId="0" fontId="14" fillId="0" borderId="7" xfId="0" applyFont="1" applyBorder="1"/>
    <xf numFmtId="0" fontId="15" fillId="0" borderId="6" xfId="0" applyFont="1" applyBorder="1" applyAlignment="1">
      <alignment horizontal="center"/>
    </xf>
    <xf numFmtId="0" fontId="14" fillId="0" borderId="6" xfId="0" applyFont="1" applyBorder="1"/>
    <xf numFmtId="0" fontId="13" fillId="0" borderId="0" xfId="0" applyFont="1"/>
    <xf numFmtId="0" fontId="14" fillId="0" borderId="5" xfId="0" applyFont="1" applyBorder="1"/>
    <xf numFmtId="0" fontId="14" fillId="0" borderId="14" xfId="0" applyFont="1" applyBorder="1"/>
    <xf numFmtId="0" fontId="13" fillId="0" borderId="5" xfId="0" applyFont="1" applyBorder="1" applyAlignment="1">
      <alignment horizontal="centerContinuous"/>
    </xf>
    <xf numFmtId="0" fontId="14" fillId="0" borderId="1" xfId="0" applyFont="1" applyBorder="1" applyAlignment="1">
      <alignment horizontal="centerContinuous"/>
    </xf>
    <xf numFmtId="0" fontId="14" fillId="0" borderId="14" xfId="0" applyFont="1" applyBorder="1" applyAlignment="1">
      <alignment horizontal="centerContinuous"/>
    </xf>
    <xf numFmtId="0" fontId="13" fillId="0" borderId="1" xfId="0" applyFont="1" applyBorder="1" applyAlignment="1">
      <alignment horizontal="centerContinuous"/>
    </xf>
    <xf numFmtId="0" fontId="13" fillId="0" borderId="14" xfId="0" applyFont="1" applyBorder="1" applyAlignment="1">
      <alignment horizontal="centerContinuous"/>
    </xf>
    <xf numFmtId="0" fontId="14" fillId="0" borderId="1" xfId="0" applyFont="1" applyBorder="1"/>
    <xf numFmtId="0" fontId="14" fillId="0" borderId="2" xfId="0" applyFont="1" applyBorder="1"/>
    <xf numFmtId="0" fontId="14" fillId="0" borderId="15" xfId="0" applyFont="1" applyBorder="1"/>
    <xf numFmtId="0" fontId="14" fillId="0" borderId="0" xfId="0" applyFont="1" applyBorder="1"/>
    <xf numFmtId="6" fontId="14" fillId="0" borderId="0" xfId="0" applyNumberFormat="1" applyFont="1" applyBorder="1"/>
    <xf numFmtId="10" fontId="14" fillId="0" borderId="0" xfId="0" applyNumberFormat="1" applyFont="1" applyBorder="1"/>
    <xf numFmtId="0" fontId="13" fillId="0" borderId="0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6" fontId="14" fillId="0" borderId="15" xfId="0" applyNumberFormat="1" applyFont="1" applyBorder="1"/>
    <xf numFmtId="0" fontId="14" fillId="0" borderId="3" xfId="0" applyFont="1" applyBorder="1"/>
    <xf numFmtId="0" fontId="14" fillId="0" borderId="16" xfId="0" applyFont="1" applyBorder="1"/>
    <xf numFmtId="37" fontId="8" fillId="0" borderId="6" xfId="0" applyNumberFormat="1" applyFont="1" applyBorder="1"/>
    <xf numFmtId="37" fontId="11" fillId="0" borderId="0" xfId="0" applyNumberFormat="1" applyFont="1" applyBorder="1"/>
    <xf numFmtId="37" fontId="12" fillId="0" borderId="0" xfId="0" applyNumberFormat="1" applyFont="1" applyBorder="1"/>
    <xf numFmtId="37" fontId="17" fillId="0" borderId="0" xfId="0" applyNumberFormat="1" applyFont="1" applyBorder="1"/>
    <xf numFmtId="0" fontId="14" fillId="0" borderId="4" xfId="0" applyFont="1" applyBorder="1"/>
    <xf numFmtId="0" fontId="20" fillId="0" borderId="0" xfId="0" applyFont="1"/>
    <xf numFmtId="37" fontId="14" fillId="0" borderId="0" xfId="0" applyNumberFormat="1" applyFont="1"/>
    <xf numFmtId="37" fontId="14" fillId="0" borderId="6" xfId="0" applyNumberFormat="1" applyFont="1" applyBorder="1"/>
    <xf numFmtId="37" fontId="13" fillId="0" borderId="6" xfId="0" applyNumberFormat="1" applyFont="1" applyBorder="1"/>
    <xf numFmtId="0" fontId="13" fillId="0" borderId="0" xfId="0" applyFont="1" applyBorder="1"/>
    <xf numFmtId="0" fontId="14" fillId="0" borderId="17" xfId="0" applyFont="1" applyBorder="1"/>
    <xf numFmtId="0" fontId="14" fillId="0" borderId="18" xfId="0" applyFont="1" applyBorder="1"/>
    <xf numFmtId="37" fontId="20" fillId="0" borderId="6" xfId="0" applyNumberFormat="1" applyFont="1" applyBorder="1"/>
    <xf numFmtId="37" fontId="15" fillId="0" borderId="6" xfId="0" applyNumberFormat="1" applyFont="1" applyBorder="1"/>
    <xf numFmtId="10" fontId="14" fillId="0" borderId="0" xfId="0" applyNumberFormat="1" applyFont="1"/>
    <xf numFmtId="38" fontId="14" fillId="0" borderId="0" xfId="0" applyNumberFormat="1" applyFont="1"/>
    <xf numFmtId="0" fontId="14" fillId="0" borderId="13" xfId="0" applyFont="1" applyBorder="1"/>
    <xf numFmtId="0" fontId="21" fillId="0" borderId="0" xfId="0" applyFont="1"/>
    <xf numFmtId="0" fontId="13" fillId="0" borderId="5" xfId="0" applyFont="1" applyBorder="1"/>
    <xf numFmtId="0" fontId="13" fillId="0" borderId="1" xfId="0" applyFont="1" applyBorder="1"/>
    <xf numFmtId="0" fontId="13" fillId="0" borderId="19" xfId="0" applyFont="1" applyBorder="1"/>
    <xf numFmtId="0" fontId="14" fillId="0" borderId="20" xfId="0" applyFont="1" applyBorder="1"/>
    <xf numFmtId="0" fontId="15" fillId="0" borderId="20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2" xfId="0" applyFont="1" applyBorder="1"/>
    <xf numFmtId="0" fontId="14" fillId="0" borderId="22" xfId="0" applyFont="1" applyBorder="1"/>
    <xf numFmtId="0" fontId="14" fillId="0" borderId="23" xfId="0" applyFont="1" applyBorder="1"/>
    <xf numFmtId="0" fontId="23" fillId="0" borderId="0" xfId="0" applyFont="1" applyBorder="1"/>
    <xf numFmtId="0" fontId="23" fillId="0" borderId="0" xfId="0" applyFont="1" applyBorder="1" applyAlignment="1">
      <alignment horizontal="center"/>
    </xf>
    <xf numFmtId="0" fontId="13" fillId="0" borderId="22" xfId="0" applyFont="1" applyBorder="1"/>
    <xf numFmtId="10" fontId="13" fillId="0" borderId="0" xfId="0" applyNumberFormat="1" applyFont="1" applyBorder="1" applyAlignment="1">
      <alignment horizontal="right"/>
    </xf>
    <xf numFmtId="5" fontId="24" fillId="0" borderId="23" xfId="0" applyNumberFormat="1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5" fontId="14" fillId="0" borderId="23" xfId="0" applyNumberFormat="1" applyFont="1" applyBorder="1"/>
    <xf numFmtId="0" fontId="14" fillId="0" borderId="24" xfId="0" applyFont="1" applyBorder="1"/>
    <xf numFmtId="0" fontId="14" fillId="0" borderId="25" xfId="0" applyFont="1" applyBorder="1"/>
    <xf numFmtId="10" fontId="14" fillId="0" borderId="25" xfId="0" applyNumberFormat="1" applyFont="1" applyBorder="1"/>
    <xf numFmtId="5" fontId="14" fillId="0" borderId="26" xfId="0" applyNumberFormat="1" applyFont="1" applyBorder="1"/>
    <xf numFmtId="0" fontId="14" fillId="0" borderId="21" xfId="0" applyFont="1" applyBorder="1"/>
    <xf numFmtId="0" fontId="15" fillId="0" borderId="1" xfId="0" applyFont="1" applyBorder="1" applyAlignment="1">
      <alignment horizontal="center"/>
    </xf>
    <xf numFmtId="0" fontId="20" fillId="0" borderId="2" xfId="0" applyFont="1" applyBorder="1"/>
    <xf numFmtId="0" fontId="14" fillId="0" borderId="26" xfId="0" applyFont="1" applyBorder="1"/>
    <xf numFmtId="0" fontId="14" fillId="0" borderId="0" xfId="0" applyFont="1" applyBorder="1" applyAlignment="1">
      <alignment horizontal="left"/>
    </xf>
    <xf numFmtId="165" fontId="14" fillId="0" borderId="0" xfId="0" applyNumberFormat="1" applyFont="1" applyBorder="1"/>
    <xf numFmtId="0" fontId="15" fillId="0" borderId="14" xfId="0" applyFont="1" applyBorder="1" applyAlignment="1">
      <alignment horizontal="center"/>
    </xf>
    <xf numFmtId="3" fontId="14" fillId="0" borderId="0" xfId="0" applyNumberFormat="1" applyFont="1" applyBorder="1"/>
    <xf numFmtId="0" fontId="14" fillId="0" borderId="0" xfId="0" applyFont="1" applyBorder="1" applyAlignment="1">
      <alignment horizontal="center"/>
    </xf>
    <xf numFmtId="0" fontId="15" fillId="0" borderId="2" xfId="0" applyFont="1" applyBorder="1"/>
    <xf numFmtId="0" fontId="28" fillId="0" borderId="0" xfId="0" applyFont="1" applyBorder="1"/>
    <xf numFmtId="0" fontId="14" fillId="0" borderId="0" xfId="0" applyFont="1" applyFill="1" applyBorder="1" applyAlignment="1">
      <alignment horizontal="center"/>
    </xf>
    <xf numFmtId="0" fontId="14" fillId="0" borderId="15" xfId="0" applyFont="1" applyFill="1" applyBorder="1"/>
    <xf numFmtId="0" fontId="13" fillId="0" borderId="3" xfId="0" applyFont="1" applyBorder="1"/>
    <xf numFmtId="0" fontId="13" fillId="0" borderId="4" xfId="0" applyFont="1" applyBorder="1"/>
    <xf numFmtId="10" fontId="14" fillId="0" borderId="0" xfId="0" applyNumberFormat="1" applyFont="1" applyBorder="1" applyAlignment="1">
      <alignment horizontal="center"/>
    </xf>
    <xf numFmtId="37" fontId="14" fillId="0" borderId="0" xfId="0" applyNumberFormat="1" applyFont="1" applyBorder="1"/>
    <xf numFmtId="37" fontId="20" fillId="0" borderId="0" xfId="0" applyNumberFormat="1" applyFont="1" applyBorder="1"/>
    <xf numFmtId="37" fontId="29" fillId="0" borderId="0" xfId="0" applyNumberFormat="1" applyFont="1" applyBorder="1"/>
    <xf numFmtId="167" fontId="14" fillId="0" borderId="0" xfId="0" applyNumberFormat="1" applyFont="1" applyBorder="1"/>
    <xf numFmtId="10" fontId="13" fillId="0" borderId="2" xfId="0" applyNumberFormat="1" applyFont="1" applyBorder="1" applyAlignment="1">
      <alignment horizontal="right"/>
    </xf>
    <xf numFmtId="0" fontId="29" fillId="0" borderId="2" xfId="0" applyFont="1" applyBorder="1"/>
    <xf numFmtId="0" fontId="29" fillId="0" borderId="0" xfId="0" applyFont="1"/>
    <xf numFmtId="0" fontId="14" fillId="0" borderId="18" xfId="0" applyFont="1" applyBorder="1" applyAlignment="1">
      <alignment horizontal="centerContinuous"/>
    </xf>
    <xf numFmtId="0" fontId="14" fillId="0" borderId="27" xfId="0" applyFont="1" applyBorder="1" applyAlignment="1">
      <alignment horizontal="centerContinuous"/>
    </xf>
    <xf numFmtId="0" fontId="14" fillId="0" borderId="1" xfId="0" applyFont="1" applyBorder="1" applyAlignment="1">
      <alignment horizontal="center"/>
    </xf>
    <xf numFmtId="167" fontId="14" fillId="0" borderId="2" xfId="0" applyNumberFormat="1" applyFont="1" applyBorder="1"/>
    <xf numFmtId="5" fontId="14" fillId="0" borderId="2" xfId="0" applyNumberFormat="1" applyFont="1" applyBorder="1"/>
    <xf numFmtId="5" fontId="14" fillId="0" borderId="0" xfId="0" applyNumberFormat="1" applyFont="1" applyBorder="1"/>
    <xf numFmtId="5" fontId="14" fillId="0" borderId="15" xfId="0" applyNumberFormat="1" applyFont="1" applyBorder="1"/>
    <xf numFmtId="5" fontId="14" fillId="0" borderId="3" xfId="0" applyNumberFormat="1" applyFont="1" applyBorder="1"/>
    <xf numFmtId="5" fontId="14" fillId="0" borderId="4" xfId="0" applyNumberFormat="1" applyFont="1" applyBorder="1"/>
    <xf numFmtId="5" fontId="14" fillId="0" borderId="16" xfId="0" applyNumberFormat="1" applyFont="1" applyBorder="1"/>
    <xf numFmtId="170" fontId="14" fillId="0" borderId="0" xfId="0" applyNumberFormat="1" applyFont="1"/>
    <xf numFmtId="170" fontId="16" fillId="0" borderId="0" xfId="0" applyNumberFormat="1" applyFont="1" applyBorder="1"/>
    <xf numFmtId="37" fontId="31" fillId="0" borderId="0" xfId="0" applyNumberFormat="1" applyFont="1" applyBorder="1"/>
    <xf numFmtId="38" fontId="21" fillId="0" borderId="0" xfId="0" applyNumberFormat="1" applyFont="1"/>
    <xf numFmtId="0" fontId="19" fillId="0" borderId="1" xfId="0" applyFont="1" applyBorder="1"/>
    <xf numFmtId="0" fontId="13" fillId="0" borderId="14" xfId="0" applyFont="1" applyBorder="1"/>
    <xf numFmtId="0" fontId="19" fillId="0" borderId="2" xfId="0" applyFont="1" applyBorder="1"/>
    <xf numFmtId="0" fontId="19" fillId="0" borderId="0" xfId="0" applyFont="1" applyBorder="1"/>
    <xf numFmtId="0" fontId="13" fillId="0" borderId="15" xfId="0" applyFont="1" applyBorder="1"/>
    <xf numFmtId="0" fontId="33" fillId="0" borderId="5" xfId="0" applyFont="1" applyBorder="1"/>
    <xf numFmtId="37" fontId="13" fillId="0" borderId="0" xfId="0" applyNumberFormat="1" applyFont="1" applyBorder="1"/>
    <xf numFmtId="37" fontId="32" fillId="0" borderId="0" xfId="0" applyNumberFormat="1" applyFont="1" applyBorder="1"/>
    <xf numFmtId="10" fontId="14" fillId="0" borderId="0" xfId="2" applyNumberFormat="1" applyFont="1" applyBorder="1"/>
    <xf numFmtId="37" fontId="14" fillId="0" borderId="4" xfId="0" applyNumberFormat="1" applyFont="1" applyBorder="1"/>
    <xf numFmtId="170" fontId="14" fillId="0" borderId="0" xfId="0" applyNumberFormat="1" applyFont="1" applyBorder="1"/>
    <xf numFmtId="0" fontId="18" fillId="0" borderId="5" xfId="0" applyFont="1" applyFill="1" applyBorder="1"/>
    <xf numFmtId="0" fontId="19" fillId="0" borderId="1" xfId="0" applyFont="1" applyFill="1" applyBorder="1"/>
    <xf numFmtId="0" fontId="19" fillId="0" borderId="14" xfId="0" applyFont="1" applyFill="1" applyBorder="1"/>
    <xf numFmtId="0" fontId="18" fillId="0" borderId="2" xfId="0" applyFont="1" applyFill="1" applyBorder="1"/>
    <xf numFmtId="0" fontId="19" fillId="0" borderId="0" xfId="0" applyFont="1" applyFill="1" applyBorder="1"/>
    <xf numFmtId="0" fontId="19" fillId="0" borderId="15" xfId="0" applyFont="1" applyFill="1" applyBorder="1"/>
    <xf numFmtId="0" fontId="18" fillId="0" borderId="3" xfId="0" applyFont="1" applyFill="1" applyBorder="1"/>
    <xf numFmtId="0" fontId="19" fillId="0" borderId="4" xfId="0" applyFont="1" applyFill="1" applyBorder="1"/>
    <xf numFmtId="0" fontId="19" fillId="0" borderId="16" xfId="0" applyFont="1" applyFill="1" applyBorder="1"/>
    <xf numFmtId="0" fontId="14" fillId="0" borderId="0" xfId="0" applyFont="1" applyFill="1" applyBorder="1"/>
    <xf numFmtId="0" fontId="16" fillId="0" borderId="0" xfId="0" applyFont="1" applyFill="1" applyBorder="1"/>
    <xf numFmtId="0" fontId="13" fillId="0" borderId="0" xfId="0" applyFont="1" applyFill="1" applyBorder="1"/>
    <xf numFmtId="0" fontId="13" fillId="0" borderId="14" xfId="0" applyFont="1" applyFill="1" applyBorder="1"/>
    <xf numFmtId="0" fontId="19" fillId="0" borderId="2" xfId="0" applyFont="1" applyFill="1" applyBorder="1"/>
    <xf numFmtId="0" fontId="13" fillId="0" borderId="15" xfId="0" applyFont="1" applyFill="1" applyBorder="1"/>
    <xf numFmtId="37" fontId="14" fillId="0" borderId="4" xfId="1" applyNumberFormat="1" applyFont="1" applyBorder="1"/>
    <xf numFmtId="0" fontId="13" fillId="0" borderId="13" xfId="0" applyFont="1" applyBorder="1" applyAlignment="1">
      <alignment horizontal="center"/>
    </xf>
    <xf numFmtId="10" fontId="13" fillId="0" borderId="23" xfId="0" applyNumberFormat="1" applyFont="1" applyBorder="1"/>
    <xf numFmtId="0" fontId="13" fillId="0" borderId="24" xfId="0" applyFont="1" applyBorder="1"/>
    <xf numFmtId="0" fontId="13" fillId="0" borderId="25" xfId="0" applyFont="1" applyBorder="1"/>
    <xf numFmtId="37" fontId="13" fillId="0" borderId="26" xfId="0" applyNumberFormat="1" applyFont="1" applyBorder="1"/>
    <xf numFmtId="0" fontId="14" fillId="0" borderId="14" xfId="0" applyFont="1" applyFill="1" applyBorder="1"/>
    <xf numFmtId="0" fontId="24" fillId="0" borderId="17" xfId="0" applyFont="1" applyFill="1" applyBorder="1"/>
    <xf numFmtId="0" fontId="24" fillId="0" borderId="18" xfId="0" applyFont="1" applyFill="1" applyBorder="1"/>
    <xf numFmtId="37" fontId="24" fillId="0" borderId="18" xfId="0" applyNumberFormat="1" applyFont="1" applyFill="1" applyBorder="1"/>
    <xf numFmtId="37" fontId="14" fillId="0" borderId="6" xfId="0" quotePrefix="1" applyNumberFormat="1" applyFont="1" applyBorder="1"/>
    <xf numFmtId="0" fontId="13" fillId="0" borderId="17" xfId="0" applyFont="1" applyFill="1" applyBorder="1"/>
    <xf numFmtId="0" fontId="13" fillId="0" borderId="18" xfId="0" applyFont="1" applyFill="1" applyBorder="1"/>
    <xf numFmtId="37" fontId="13" fillId="0" borderId="18" xfId="0" applyNumberFormat="1" applyFont="1" applyFill="1" applyBorder="1"/>
    <xf numFmtId="37" fontId="13" fillId="0" borderId="28" xfId="0" applyNumberFormat="1" applyFont="1" applyFill="1" applyBorder="1"/>
    <xf numFmtId="0" fontId="13" fillId="0" borderId="1" xfId="0" applyFont="1" applyFill="1" applyBorder="1"/>
    <xf numFmtId="0" fontId="13" fillId="0" borderId="4" xfId="0" applyFont="1" applyFill="1" applyBorder="1"/>
    <xf numFmtId="0" fontId="10" fillId="0" borderId="5" xfId="0" applyFont="1" applyFill="1" applyBorder="1"/>
    <xf numFmtId="0" fontId="5" fillId="0" borderId="1" xfId="0" applyFont="1" applyFill="1" applyBorder="1"/>
    <xf numFmtId="0" fontId="5" fillId="0" borderId="14" xfId="0" applyFont="1" applyFill="1" applyBorder="1"/>
    <xf numFmtId="0" fontId="9" fillId="0" borderId="2" xfId="0" applyFont="1" applyFill="1" applyBorder="1"/>
    <xf numFmtId="0" fontId="5" fillId="0" borderId="0" xfId="0" applyFont="1" applyFill="1" applyBorder="1"/>
    <xf numFmtId="0" fontId="5" fillId="0" borderId="15" xfId="0" applyFont="1" applyFill="1" applyBorder="1"/>
    <xf numFmtId="0" fontId="7" fillId="0" borderId="0" xfId="0" applyFont="1" applyBorder="1" applyAlignment="1">
      <alignment horizontal="right"/>
    </xf>
    <xf numFmtId="0" fontId="4" fillId="0" borderId="13" xfId="0" applyFont="1" applyBorder="1"/>
    <xf numFmtId="3" fontId="5" fillId="0" borderId="4" xfId="0" applyNumberFormat="1" applyFont="1" applyBorder="1"/>
    <xf numFmtId="3" fontId="5" fillId="0" borderId="13" xfId="0" applyNumberFormat="1" applyFont="1" applyBorder="1"/>
    <xf numFmtId="0" fontId="3" fillId="0" borderId="1" xfId="0" applyFont="1" applyFill="1" applyBorder="1"/>
    <xf numFmtId="0" fontId="3" fillId="0" borderId="14" xfId="0" applyFont="1" applyFill="1" applyBorder="1"/>
    <xf numFmtId="0" fontId="3" fillId="0" borderId="0" xfId="0" applyFont="1" applyFill="1" applyBorder="1"/>
    <xf numFmtId="0" fontId="3" fillId="0" borderId="15" xfId="0" applyFont="1" applyFill="1" applyBorder="1"/>
    <xf numFmtId="6" fontId="5" fillId="0" borderId="2" xfId="0" applyNumberFormat="1" applyFont="1" applyBorder="1"/>
    <xf numFmtId="0" fontId="0" fillId="0" borderId="0" xfId="0" applyBorder="1"/>
    <xf numFmtId="0" fontId="4" fillId="0" borderId="1" xfId="0" applyFont="1" applyFill="1" applyBorder="1"/>
    <xf numFmtId="0" fontId="4" fillId="0" borderId="0" xfId="0" applyFont="1" applyFill="1" applyBorder="1"/>
    <xf numFmtId="0" fontId="10" fillId="0" borderId="17" xfId="0" applyFont="1" applyFill="1" applyBorder="1"/>
    <xf numFmtId="0" fontId="3" fillId="0" borderId="18" xfId="0" applyFont="1" applyFill="1" applyBorder="1"/>
    <xf numFmtId="0" fontId="3" fillId="0" borderId="27" xfId="0" applyFont="1" applyFill="1" applyBorder="1"/>
    <xf numFmtId="0" fontId="15" fillId="0" borderId="0" xfId="0" applyFont="1" applyBorder="1"/>
    <xf numFmtId="0" fontId="15" fillId="0" borderId="4" xfId="0" applyFont="1" applyBorder="1"/>
    <xf numFmtId="6" fontId="30" fillId="0" borderId="2" xfId="0" applyNumberFormat="1" applyFont="1" applyBorder="1"/>
    <xf numFmtId="0" fontId="30" fillId="0" borderId="5" xfId="0" applyFont="1" applyBorder="1"/>
    <xf numFmtId="0" fontId="30" fillId="0" borderId="2" xfId="0" applyFont="1" applyBorder="1"/>
    <xf numFmtId="0" fontId="30" fillId="0" borderId="29" xfId="0" applyFont="1" applyBorder="1" applyAlignment="1">
      <alignment horizontal="centerContinuous"/>
    </xf>
    <xf numFmtId="0" fontId="14" fillId="0" borderId="30" xfId="0" applyFont="1" applyBorder="1" applyAlignment="1">
      <alignment horizontal="centerContinuous"/>
    </xf>
    <xf numFmtId="0" fontId="14" fillId="0" borderId="30" xfId="0" applyFont="1" applyBorder="1"/>
    <xf numFmtId="5" fontId="14" fillId="0" borderId="30" xfId="0" applyNumberFormat="1" applyFont="1" applyBorder="1"/>
    <xf numFmtId="5" fontId="14" fillId="0" borderId="31" xfId="0" applyNumberFormat="1" applyFont="1" applyBorder="1"/>
    <xf numFmtId="37" fontId="14" fillId="0" borderId="0" xfId="0" quotePrefix="1" applyNumberFormat="1" applyFont="1" applyBorder="1"/>
    <xf numFmtId="0" fontId="30" fillId="0" borderId="3" xfId="0" applyFont="1" applyBorder="1"/>
    <xf numFmtId="0" fontId="14" fillId="0" borderId="32" xfId="0" applyFont="1" applyBorder="1" applyAlignment="1">
      <alignment horizontal="center"/>
    </xf>
    <xf numFmtId="0" fontId="14" fillId="0" borderId="33" xfId="0" applyFont="1" applyBorder="1"/>
    <xf numFmtId="167" fontId="14" fillId="0" borderId="34" xfId="0" applyNumberFormat="1" applyFont="1" applyBorder="1"/>
    <xf numFmtId="6" fontId="14" fillId="0" borderId="30" xfId="0" applyNumberFormat="1" applyFont="1" applyBorder="1"/>
    <xf numFmtId="0" fontId="30" fillId="0" borderId="17" xfId="0" applyFont="1" applyBorder="1"/>
    <xf numFmtId="0" fontId="30" fillId="0" borderId="17" xfId="0" applyFont="1" applyBorder="1" applyAlignment="1">
      <alignment horizontal="centerContinuous"/>
    </xf>
    <xf numFmtId="0" fontId="36" fillId="0" borderId="6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30" fillId="0" borderId="5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0" fillId="0" borderId="14" xfId="0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14" fillId="0" borderId="2" xfId="0" applyFont="1" applyBorder="1" applyAlignment="1"/>
    <xf numFmtId="0" fontId="13" fillId="0" borderId="3" xfId="0" applyFont="1" applyFill="1" applyBorder="1"/>
    <xf numFmtId="37" fontId="13" fillId="0" borderId="4" xfId="0" applyNumberFormat="1" applyFont="1" applyFill="1" applyBorder="1"/>
    <xf numFmtId="37" fontId="13" fillId="0" borderId="13" xfId="0" applyNumberFormat="1" applyFont="1" applyFill="1" applyBorder="1"/>
    <xf numFmtId="37" fontId="4" fillId="0" borderId="35" xfId="0" applyNumberFormat="1" applyFont="1" applyBorder="1"/>
    <xf numFmtId="37" fontId="4" fillId="0" borderId="12" xfId="0" applyNumberFormat="1" applyFont="1" applyBorder="1"/>
    <xf numFmtId="0" fontId="34" fillId="0" borderId="0" xfId="0" applyFont="1" applyBorder="1"/>
    <xf numFmtId="5" fontId="21" fillId="0" borderId="4" xfId="0" applyNumberFormat="1" applyFont="1" applyBorder="1"/>
    <xf numFmtId="0" fontId="32" fillId="0" borderId="0" xfId="0" applyFont="1"/>
    <xf numFmtId="0" fontId="26" fillId="0" borderId="0" xfId="0" applyFont="1"/>
    <xf numFmtId="6" fontId="14" fillId="0" borderId="0" xfId="0" applyNumberFormat="1" applyFont="1"/>
    <xf numFmtId="0" fontId="38" fillId="0" borderId="9" xfId="0" applyFont="1" applyBorder="1" applyAlignment="1">
      <alignment horizontal="center"/>
    </xf>
    <xf numFmtId="0" fontId="38" fillId="0" borderId="36" xfId="0" applyFont="1" applyBorder="1" applyAlignment="1">
      <alignment horizontal="center"/>
    </xf>
    <xf numFmtId="37" fontId="4" fillId="0" borderId="0" xfId="0" quotePrefix="1" applyNumberFormat="1" applyFont="1" applyBorder="1"/>
    <xf numFmtId="0" fontId="39" fillId="0" borderId="0" xfId="0" applyFont="1" applyBorder="1"/>
    <xf numFmtId="37" fontId="39" fillId="0" borderId="0" xfId="0" applyNumberFormat="1" applyFont="1" applyBorder="1"/>
    <xf numFmtId="0" fontId="40" fillId="0" borderId="0" xfId="0" applyFont="1" applyBorder="1"/>
    <xf numFmtId="0" fontId="1" fillId="0" borderId="0" xfId="0" applyFont="1" applyBorder="1"/>
    <xf numFmtId="37" fontId="40" fillId="0" borderId="6" xfId="0" applyNumberFormat="1" applyFont="1" applyBorder="1"/>
    <xf numFmtId="37" fontId="40" fillId="0" borderId="0" xfId="0" applyNumberFormat="1" applyFont="1" applyBorder="1"/>
    <xf numFmtId="0" fontId="42" fillId="2" borderId="0" xfId="0" applyFont="1" applyFill="1" applyBorder="1"/>
    <xf numFmtId="9" fontId="42" fillId="2" borderId="0" xfId="0" applyNumberFormat="1" applyFont="1" applyFill="1" applyBorder="1"/>
    <xf numFmtId="3" fontId="42" fillId="2" borderId="0" xfId="0" applyNumberFormat="1" applyFont="1" applyFill="1" applyBorder="1"/>
    <xf numFmtId="16" fontId="42" fillId="2" borderId="0" xfId="0" applyNumberFormat="1" applyFont="1" applyFill="1" applyBorder="1"/>
    <xf numFmtId="6" fontId="42" fillId="2" borderId="0" xfId="0" applyNumberFormat="1" applyFont="1" applyFill="1" applyBorder="1"/>
    <xf numFmtId="10" fontId="42" fillId="2" borderId="0" xfId="0" applyNumberFormat="1" applyFont="1" applyFill="1" applyBorder="1"/>
    <xf numFmtId="6" fontId="44" fillId="2" borderId="0" xfId="0" applyNumberFormat="1" applyFont="1" applyFill="1" applyBorder="1"/>
    <xf numFmtId="0" fontId="42" fillId="2" borderId="25" xfId="0" applyFont="1" applyFill="1" applyBorder="1"/>
    <xf numFmtId="10" fontId="42" fillId="2" borderId="0" xfId="0" applyNumberFormat="1" applyFont="1" applyFill="1" applyBorder="1" applyAlignment="1">
      <alignment horizontal="right"/>
    </xf>
    <xf numFmtId="10" fontId="44" fillId="2" borderId="0" xfId="0" applyNumberFormat="1" applyFont="1" applyFill="1" applyBorder="1" applyAlignment="1">
      <alignment horizontal="right"/>
    </xf>
    <xf numFmtId="10" fontId="43" fillId="2" borderId="0" xfId="0" applyNumberFormat="1" applyFont="1" applyFill="1" applyBorder="1" applyAlignment="1">
      <alignment horizontal="center"/>
    </xf>
    <xf numFmtId="10" fontId="29" fillId="0" borderId="0" xfId="0" applyNumberFormat="1" applyFont="1" applyBorder="1" applyAlignment="1">
      <alignment horizontal="center"/>
    </xf>
    <xf numFmtId="10" fontId="13" fillId="0" borderId="15" xfId="2" applyNumberFormat="1" applyFont="1" applyBorder="1"/>
    <xf numFmtId="0" fontId="26" fillId="0" borderId="0" xfId="0" applyFont="1" applyFill="1" applyBorder="1" applyAlignment="1">
      <alignment horizontal="left"/>
    </xf>
    <xf numFmtId="167" fontId="13" fillId="0" borderId="0" xfId="0" applyNumberFormat="1" applyFont="1" applyBorder="1" applyAlignment="1">
      <alignment horizontal="right"/>
    </xf>
    <xf numFmtId="167" fontId="13" fillId="0" borderId="0" xfId="0" applyNumberFormat="1" applyFont="1" applyBorder="1" applyAlignment="1">
      <alignment horizontal="left"/>
    </xf>
    <xf numFmtId="2" fontId="14" fillId="0" borderId="0" xfId="0" applyNumberFormat="1" applyFont="1"/>
    <xf numFmtId="2" fontId="14" fillId="0" borderId="18" xfId="0" applyNumberFormat="1" applyFont="1" applyBorder="1" applyAlignment="1">
      <alignment horizontal="right"/>
    </xf>
    <xf numFmtId="2" fontId="14" fillId="0" borderId="4" xfId="0" applyNumberFormat="1" applyFont="1" applyBorder="1" applyAlignment="1">
      <alignment horizontal="right"/>
    </xf>
    <xf numFmtId="7" fontId="42" fillId="2" borderId="0" xfId="0" applyNumberFormat="1" applyFont="1" applyFill="1" applyBorder="1"/>
    <xf numFmtId="37" fontId="14" fillId="0" borderId="0" xfId="0" quotePrefix="1" applyNumberFormat="1" applyFont="1" applyFill="1" applyBorder="1"/>
    <xf numFmtId="180" fontId="4" fillId="0" borderId="0" xfId="2" applyNumberFormat="1" applyFont="1"/>
    <xf numFmtId="203" fontId="14" fillId="0" borderId="0" xfId="1" applyNumberFormat="1" applyFont="1" applyBorder="1"/>
    <xf numFmtId="5" fontId="24" fillId="0" borderId="0" xfId="0" applyNumberFormat="1" applyFont="1" applyBorder="1" applyAlignment="1">
      <alignment horizontal="right"/>
    </xf>
    <xf numFmtId="37" fontId="13" fillId="0" borderId="0" xfId="0" quotePrefix="1" applyNumberFormat="1" applyFont="1" applyBorder="1"/>
    <xf numFmtId="0" fontId="37" fillId="0" borderId="0" xfId="0" applyFont="1" applyBorder="1"/>
    <xf numFmtId="37" fontId="4" fillId="0" borderId="1" xfId="0" quotePrefix="1" applyNumberFormat="1" applyFont="1" applyBorder="1"/>
    <xf numFmtId="1" fontId="20" fillId="0" borderId="0" xfId="0" applyNumberFormat="1" applyFont="1"/>
    <xf numFmtId="8" fontId="14" fillId="0" borderId="0" xfId="0" applyNumberFormat="1" applyFont="1"/>
    <xf numFmtId="1" fontId="14" fillId="0" borderId="0" xfId="0" applyNumberFormat="1" applyFont="1" applyBorder="1"/>
    <xf numFmtId="43" fontId="14" fillId="0" borderId="0" xfId="0" applyNumberFormat="1" applyFont="1" applyBorder="1"/>
    <xf numFmtId="0" fontId="4" fillId="0" borderId="19" xfId="0" applyFont="1" applyBorder="1"/>
    <xf numFmtId="0" fontId="4" fillId="0" borderId="20" xfId="0" applyFont="1" applyBorder="1"/>
    <xf numFmtId="180" fontId="4" fillId="3" borderId="24" xfId="2" applyNumberFormat="1" applyFont="1" applyFill="1" applyBorder="1"/>
    <xf numFmtId="180" fontId="4" fillId="3" borderId="25" xfId="2" applyNumberFormat="1" applyFont="1" applyFill="1" applyBorder="1"/>
    <xf numFmtId="0" fontId="20" fillId="0" borderId="0" xfId="0" applyFont="1" applyFill="1" applyBorder="1" applyAlignment="1">
      <alignment horizontal="center"/>
    </xf>
    <xf numFmtId="8" fontId="42" fillId="0" borderId="0" xfId="0" applyNumberFormat="1" applyFont="1" applyFill="1" applyBorder="1"/>
    <xf numFmtId="10" fontId="13" fillId="0" borderId="0" xfId="0" applyNumberFormat="1" applyFont="1" applyBorder="1"/>
    <xf numFmtId="37" fontId="30" fillId="0" borderId="0" xfId="0" applyNumberFormat="1" applyFont="1" applyBorder="1"/>
    <xf numFmtId="10" fontId="30" fillId="0" borderId="0" xfId="0" applyNumberFormat="1" applyFont="1" applyBorder="1"/>
    <xf numFmtId="9" fontId="42" fillId="2" borderId="0" xfId="2" applyFont="1" applyFill="1" applyBorder="1"/>
    <xf numFmtId="203" fontId="42" fillId="2" borderId="0" xfId="1" applyNumberFormat="1" applyFont="1" applyFill="1" applyBorder="1"/>
    <xf numFmtId="0" fontId="21" fillId="0" borderId="0" xfId="0" applyFont="1" applyBorder="1"/>
    <xf numFmtId="6" fontId="44" fillId="0" borderId="0" xfId="0" applyNumberFormat="1" applyFont="1" applyFill="1" applyBorder="1"/>
    <xf numFmtId="9" fontId="14" fillId="4" borderId="0" xfId="0" applyNumberFormat="1" applyFont="1" applyFill="1" applyBorder="1"/>
    <xf numFmtId="0" fontId="28" fillId="0" borderId="0" xfId="0" applyFont="1" applyBorder="1" applyAlignment="1">
      <alignment horizontal="center"/>
    </xf>
    <xf numFmtId="9" fontId="25" fillId="0" borderId="0" xfId="2" applyFont="1" applyBorder="1"/>
    <xf numFmtId="0" fontId="30" fillId="0" borderId="0" xfId="0" applyFont="1" applyBorder="1"/>
    <xf numFmtId="0" fontId="13" fillId="0" borderId="0" xfId="0" applyFont="1" applyBorder="1" applyAlignment="1">
      <alignment horizontal="left"/>
    </xf>
    <xf numFmtId="0" fontId="20" fillId="0" borderId="0" xfId="0" applyFont="1" applyBorder="1" applyAlignment="1">
      <alignment horizontal="right"/>
    </xf>
    <xf numFmtId="0" fontId="29" fillId="0" borderId="0" xfId="0" applyFont="1" applyBorder="1" applyAlignment="1">
      <alignment horizontal="right"/>
    </xf>
    <xf numFmtId="37" fontId="4" fillId="0" borderId="3" xfId="0" quotePrefix="1" applyNumberFormat="1" applyFont="1" applyBorder="1"/>
    <xf numFmtId="17" fontId="14" fillId="4" borderId="6" xfId="0" applyNumberFormat="1" applyFont="1" applyFill="1" applyBorder="1"/>
    <xf numFmtId="0" fontId="5" fillId="0" borderId="0" xfId="0" applyFont="1"/>
    <xf numFmtId="37" fontId="14" fillId="0" borderId="0" xfId="1" applyNumberFormat="1" applyFont="1" applyBorder="1"/>
    <xf numFmtId="38" fontId="20" fillId="0" borderId="0" xfId="0" applyNumberFormat="1" applyFont="1" applyBorder="1"/>
    <xf numFmtId="37" fontId="32" fillId="2" borderId="0" xfId="0" applyNumberFormat="1" applyFont="1" applyFill="1" applyBorder="1"/>
    <xf numFmtId="37" fontId="14" fillId="0" borderId="0" xfId="0" applyNumberFormat="1" applyFont="1" applyFill="1" applyBorder="1"/>
    <xf numFmtId="167" fontId="14" fillId="0" borderId="6" xfId="0" applyNumberFormat="1" applyFont="1" applyBorder="1"/>
    <xf numFmtId="37" fontId="14" fillId="0" borderId="13" xfId="1" applyNumberFormat="1" applyFont="1" applyBorder="1"/>
    <xf numFmtId="0" fontId="46" fillId="0" borderId="0" xfId="0" applyFont="1"/>
    <xf numFmtId="38" fontId="46" fillId="0" borderId="0" xfId="0" applyNumberFormat="1" applyFont="1"/>
    <xf numFmtId="0" fontId="13" fillId="0" borderId="37" xfId="0" applyFont="1" applyBorder="1"/>
    <xf numFmtId="0" fontId="14" fillId="0" borderId="38" xfId="0" applyFont="1" applyBorder="1"/>
    <xf numFmtId="37" fontId="13" fillId="0" borderId="39" xfId="0" applyNumberFormat="1" applyFont="1" applyBorder="1"/>
    <xf numFmtId="37" fontId="14" fillId="4" borderId="0" xfId="0" applyNumberFormat="1" applyFont="1" applyFill="1" applyBorder="1"/>
    <xf numFmtId="0" fontId="14" fillId="0" borderId="20" xfId="0" applyFont="1" applyFill="1" applyBorder="1" applyAlignment="1">
      <alignment horizontal="center"/>
    </xf>
    <xf numFmtId="0" fontId="14" fillId="0" borderId="22" xfId="0" applyFont="1" applyFill="1" applyBorder="1"/>
    <xf numFmtId="6" fontId="14" fillId="0" borderId="23" xfId="0" applyNumberFormat="1" applyFont="1" applyBorder="1"/>
    <xf numFmtId="6" fontId="20" fillId="0" borderId="23" xfId="0" applyNumberFormat="1" applyFont="1" applyBorder="1"/>
    <xf numFmtId="0" fontId="14" fillId="0" borderId="25" xfId="0" applyFont="1" applyBorder="1" applyAlignment="1">
      <alignment horizontal="center"/>
    </xf>
    <xf numFmtId="6" fontId="29" fillId="0" borderId="26" xfId="0" applyNumberFormat="1" applyFont="1" applyBorder="1"/>
    <xf numFmtId="0" fontId="14" fillId="0" borderId="19" xfId="0" applyFont="1" applyBorder="1"/>
    <xf numFmtId="0" fontId="14" fillId="0" borderId="20" xfId="0" applyFont="1" applyBorder="1" applyAlignment="1">
      <alignment horizontal="center"/>
    </xf>
    <xf numFmtId="3" fontId="14" fillId="0" borderId="0" xfId="0" applyNumberFormat="1" applyFont="1" applyFill="1" applyBorder="1"/>
    <xf numFmtId="3" fontId="14" fillId="0" borderId="4" xfId="0" applyNumberFormat="1" applyFont="1" applyFill="1" applyBorder="1"/>
    <xf numFmtId="3" fontId="14" fillId="0" borderId="0" xfId="0" applyNumberFormat="1" applyFont="1" applyBorder="1" applyAlignment="1">
      <alignment horizontal="right"/>
    </xf>
    <xf numFmtId="3" fontId="14" fillId="0" borderId="25" xfId="0" applyNumberFormat="1" applyFont="1" applyBorder="1" applyAlignment="1">
      <alignment horizontal="right"/>
    </xf>
    <xf numFmtId="0" fontId="13" fillId="0" borderId="0" xfId="0" applyFont="1" applyBorder="1" applyAlignment="1">
      <alignment horizontal="centerContinuous"/>
    </xf>
    <xf numFmtId="0" fontId="14" fillId="0" borderId="0" xfId="0" applyFont="1" applyBorder="1" applyAlignment="1">
      <alignment horizontal="centerContinuous"/>
    </xf>
    <xf numFmtId="38" fontId="13" fillId="0" borderId="0" xfId="0" applyNumberFormat="1" applyFont="1" applyBorder="1" applyAlignment="1">
      <alignment horizontal="centerContinuous"/>
    </xf>
    <xf numFmtId="0" fontId="30" fillId="0" borderId="0" xfId="0" applyFont="1" applyBorder="1" applyAlignment="1">
      <alignment horizontal="centerContinuous"/>
    </xf>
    <xf numFmtId="37" fontId="14" fillId="0" borderId="0" xfId="0" applyNumberFormat="1" applyFont="1" applyBorder="1" applyAlignment="1">
      <alignment horizontal="right"/>
    </xf>
    <xf numFmtId="200" fontId="13" fillId="0" borderId="4" xfId="1" applyNumberFormat="1" applyFont="1" applyBorder="1"/>
    <xf numFmtId="10" fontId="42" fillId="0" borderId="16" xfId="0" applyNumberFormat="1" applyFont="1" applyFill="1" applyBorder="1"/>
    <xf numFmtId="0" fontId="20" fillId="0" borderId="22" xfId="0" applyFont="1" applyBorder="1"/>
    <xf numFmtId="10" fontId="42" fillId="2" borderId="23" xfId="0" applyNumberFormat="1" applyFont="1" applyFill="1" applyBorder="1"/>
    <xf numFmtId="0" fontId="25" fillId="0" borderId="22" xfId="0" applyFont="1" applyBorder="1"/>
    <xf numFmtId="165" fontId="14" fillId="0" borderId="25" xfId="0" applyNumberFormat="1" applyFont="1" applyBorder="1"/>
    <xf numFmtId="10" fontId="42" fillId="2" borderId="26" xfId="0" applyNumberFormat="1" applyFont="1" applyFill="1" applyBorder="1"/>
    <xf numFmtId="0" fontId="42" fillId="2" borderId="23" xfId="0" applyFont="1" applyFill="1" applyBorder="1"/>
    <xf numFmtId="0" fontId="42" fillId="2" borderId="23" xfId="0" applyFont="1" applyFill="1" applyBorder="1" applyAlignment="1">
      <alignment horizontal="right"/>
    </xf>
    <xf numFmtId="0" fontId="42" fillId="2" borderId="26" xfId="0" applyFont="1" applyFill="1" applyBorder="1" applyAlignment="1">
      <alignment horizontal="right"/>
    </xf>
    <xf numFmtId="0" fontId="13" fillId="0" borderId="20" xfId="0" applyFont="1" applyBorder="1"/>
    <xf numFmtId="0" fontId="15" fillId="0" borderId="20" xfId="0" applyFont="1" applyBorder="1" applyAlignment="1">
      <alignment horizontal="right"/>
    </xf>
    <xf numFmtId="0" fontId="35" fillId="0" borderId="23" xfId="0" applyFont="1" applyBorder="1"/>
    <xf numFmtId="0" fontId="28" fillId="0" borderId="23" xfId="0" applyFont="1" applyBorder="1" applyAlignment="1">
      <alignment horizontal="left"/>
    </xf>
    <xf numFmtId="10" fontId="42" fillId="2" borderId="25" xfId="0" applyNumberFormat="1" applyFont="1" applyFill="1" applyBorder="1" applyAlignment="1">
      <alignment horizontal="right"/>
    </xf>
    <xf numFmtId="0" fontId="14" fillId="0" borderId="20" xfId="0" applyFont="1" applyFill="1" applyBorder="1"/>
    <xf numFmtId="0" fontId="14" fillId="0" borderId="21" xfId="0" applyFont="1" applyFill="1" applyBorder="1"/>
    <xf numFmtId="0" fontId="14" fillId="0" borderId="23" xfId="0" applyFont="1" applyFill="1" applyBorder="1"/>
    <xf numFmtId="9" fontId="42" fillId="2" borderId="25" xfId="2" applyFont="1" applyFill="1" applyBorder="1"/>
    <xf numFmtId="0" fontId="14" fillId="0" borderId="26" xfId="0" applyFont="1" applyFill="1" applyBorder="1"/>
    <xf numFmtId="0" fontId="13" fillId="0" borderId="20" xfId="0" applyFont="1" applyBorder="1" applyAlignment="1">
      <alignment horizontal="right"/>
    </xf>
    <xf numFmtId="10" fontId="44" fillId="2" borderId="21" xfId="0" applyNumberFormat="1" applyFont="1" applyFill="1" applyBorder="1"/>
    <xf numFmtId="0" fontId="15" fillId="0" borderId="22" xfId="0" applyFont="1" applyBorder="1"/>
    <xf numFmtId="0" fontId="15" fillId="0" borderId="23" xfId="0" applyFont="1" applyBorder="1" applyAlignment="1">
      <alignment horizontal="center"/>
    </xf>
    <xf numFmtId="0" fontId="16" fillId="0" borderId="23" xfId="0" applyFont="1" applyBorder="1"/>
    <xf numFmtId="6" fontId="42" fillId="2" borderId="25" xfId="0" applyNumberFormat="1" applyFont="1" applyFill="1" applyBorder="1"/>
    <xf numFmtId="10" fontId="42" fillId="2" borderId="25" xfId="0" applyNumberFormat="1" applyFont="1" applyFill="1" applyBorder="1"/>
    <xf numFmtId="0" fontId="14" fillId="0" borderId="23" xfId="0" applyFont="1" applyBorder="1" applyAlignment="1">
      <alignment horizontal="right"/>
    </xf>
    <xf numFmtId="0" fontId="14" fillId="0" borderId="23" xfId="0" applyFont="1" applyFill="1" applyBorder="1" applyAlignment="1">
      <alignment horizontal="right"/>
    </xf>
    <xf numFmtId="0" fontId="14" fillId="0" borderId="24" xfId="0" applyFont="1" applyFill="1" applyBorder="1"/>
    <xf numFmtId="3" fontId="42" fillId="2" borderId="25" xfId="0" applyNumberFormat="1" applyFont="1" applyFill="1" applyBorder="1"/>
    <xf numFmtId="0" fontId="14" fillId="0" borderId="26" xfId="0" applyFont="1" applyFill="1" applyBorder="1" applyAlignment="1">
      <alignment horizontal="right"/>
    </xf>
    <xf numFmtId="0" fontId="27" fillId="0" borderId="2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2" fillId="0" borderId="21" xfId="0" applyFont="1" applyBorder="1" applyAlignment="1">
      <alignment horizontal="center"/>
    </xf>
    <xf numFmtId="6" fontId="42" fillId="2" borderId="23" xfId="0" applyNumberFormat="1" applyFont="1" applyFill="1" applyBorder="1"/>
    <xf numFmtId="0" fontId="13" fillId="0" borderId="22" xfId="0" applyFont="1" applyFill="1" applyBorder="1"/>
    <xf numFmtId="6" fontId="13" fillId="0" borderId="23" xfId="0" applyNumberFormat="1" applyFont="1" applyFill="1" applyBorder="1"/>
    <xf numFmtId="6" fontId="43" fillId="2" borderId="23" xfId="0" applyNumberFormat="1" applyFont="1" applyFill="1" applyBorder="1"/>
    <xf numFmtId="6" fontId="15" fillId="0" borderId="23" xfId="0" applyNumberFormat="1" applyFont="1" applyFill="1" applyBorder="1"/>
    <xf numFmtId="6" fontId="13" fillId="0" borderId="26" xfId="0" applyNumberFormat="1" applyFont="1" applyBorder="1"/>
    <xf numFmtId="38" fontId="14" fillId="0" borderId="0" xfId="0" applyNumberFormat="1" applyFont="1" applyFill="1" applyBorder="1"/>
    <xf numFmtId="6" fontId="14" fillId="2" borderId="23" xfId="0" applyNumberFormat="1" applyFont="1" applyFill="1" applyBorder="1"/>
    <xf numFmtId="6" fontId="29" fillId="0" borderId="23" xfId="0" applyNumberFormat="1" applyFont="1" applyBorder="1"/>
    <xf numFmtId="167" fontId="13" fillId="0" borderId="21" xfId="0" applyNumberFormat="1" applyFont="1" applyBorder="1"/>
    <xf numFmtId="37" fontId="13" fillId="0" borderId="23" xfId="0" applyNumberFormat="1" applyFont="1" applyBorder="1"/>
    <xf numFmtId="37" fontId="13" fillId="0" borderId="26" xfId="1" applyNumberFormat="1" applyFont="1" applyBorder="1"/>
    <xf numFmtId="37" fontId="13" fillId="0" borderId="4" xfId="0" applyNumberFormat="1" applyFont="1" applyBorder="1"/>
    <xf numFmtId="17" fontId="14" fillId="0" borderId="22" xfId="0" applyNumberFormat="1" applyFont="1" applyBorder="1"/>
    <xf numFmtId="167" fontId="14" fillId="0" borderId="2" xfId="0" applyNumberFormat="1" applyFont="1" applyFill="1" applyBorder="1"/>
    <xf numFmtId="9" fontId="14" fillId="0" borderId="0" xfId="0" applyNumberFormat="1" applyFont="1" applyBorder="1"/>
    <xf numFmtId="6" fontId="30" fillId="0" borderId="27" xfId="0" applyNumberFormat="1" applyFont="1" applyFill="1" applyBorder="1"/>
    <xf numFmtId="17" fontId="13" fillId="0" borderId="4" xfId="0" applyNumberFormat="1" applyFont="1" applyFill="1" applyBorder="1" applyAlignment="1">
      <alignment horizontal="center"/>
    </xf>
    <xf numFmtId="37" fontId="4" fillId="0" borderId="4" xfId="0" quotePrefix="1" applyNumberFormat="1" applyFont="1" applyBorder="1"/>
    <xf numFmtId="37" fontId="4" fillId="0" borderId="0" xfId="0" applyNumberFormat="1" applyFont="1" applyFill="1" applyBorder="1"/>
    <xf numFmtId="2" fontId="14" fillId="0" borderId="0" xfId="0" applyNumberFormat="1" applyFont="1" applyBorder="1" applyAlignment="1">
      <alignment horizontal="right"/>
    </xf>
    <xf numFmtId="37" fontId="13" fillId="0" borderId="13" xfId="0" applyNumberFormat="1" applyFont="1" applyBorder="1"/>
    <xf numFmtId="0" fontId="4" fillId="0" borderId="21" xfId="0" applyFont="1" applyBorder="1"/>
    <xf numFmtId="180" fontId="4" fillId="3" borderId="26" xfId="2" applyNumberFormat="1" applyFont="1" applyFill="1" applyBorder="1"/>
    <xf numFmtId="2" fontId="29" fillId="0" borderId="25" xfId="0" applyNumberFormat="1" applyFont="1" applyBorder="1" applyAlignment="1">
      <alignment horizontal="center"/>
    </xf>
    <xf numFmtId="37" fontId="11" fillId="0" borderId="0" xfId="0" applyNumberFormat="1" applyFont="1" applyFill="1" applyBorder="1"/>
    <xf numFmtId="0" fontId="14" fillId="0" borderId="22" xfId="0" applyFont="1" applyBorder="1" applyAlignment="1">
      <alignment horizontal="left"/>
    </xf>
    <xf numFmtId="37" fontId="3" fillId="0" borderId="6" xfId="0" applyNumberFormat="1" applyFont="1" applyBorder="1"/>
    <xf numFmtId="37" fontId="3" fillId="0" borderId="13" xfId="0" applyNumberFormat="1" applyFont="1" applyBorder="1"/>
    <xf numFmtId="0" fontId="3" fillId="0" borderId="17" xfId="0" applyFont="1" applyBorder="1"/>
    <xf numFmtId="0" fontId="3" fillId="0" borderId="18" xfId="0" applyFont="1" applyBorder="1"/>
    <xf numFmtId="37" fontId="47" fillId="0" borderId="18" xfId="0" applyNumberFormat="1" applyFont="1" applyBorder="1"/>
    <xf numFmtId="37" fontId="3" fillId="0" borderId="18" xfId="0" applyNumberFormat="1" applyFont="1" applyBorder="1"/>
    <xf numFmtId="37" fontId="3" fillId="0" borderId="28" xfId="0" applyNumberFormat="1" applyFont="1" applyBorder="1"/>
    <xf numFmtId="37" fontId="7" fillId="0" borderId="6" xfId="0" applyNumberFormat="1" applyFont="1" applyBorder="1"/>
    <xf numFmtId="0" fontId="3" fillId="0" borderId="4" xfId="0" applyFont="1" applyBorder="1"/>
    <xf numFmtId="0" fontId="3" fillId="0" borderId="16" xfId="0" applyFont="1" applyBorder="1"/>
    <xf numFmtId="37" fontId="3" fillId="0" borderId="7" xfId="0" applyNumberFormat="1" applyFont="1" applyBorder="1"/>
    <xf numFmtId="180" fontId="4" fillId="0" borderId="40" xfId="2" applyNumberFormat="1" applyFont="1" applyBorder="1"/>
    <xf numFmtId="180" fontId="4" fillId="0" borderId="41" xfId="2" applyNumberFormat="1" applyFont="1" applyBorder="1"/>
    <xf numFmtId="180" fontId="4" fillId="0" borderId="42" xfId="2" applyNumberFormat="1" applyFont="1" applyBorder="1"/>
    <xf numFmtId="37" fontId="3" fillId="0" borderId="1" xfId="0" quotePrefix="1" applyNumberFormat="1" applyFont="1" applyBorder="1"/>
    <xf numFmtId="37" fontId="3" fillId="0" borderId="1" xfId="0" applyNumberFormat="1" applyFont="1" applyBorder="1"/>
    <xf numFmtId="37" fontId="3" fillId="0" borderId="0" xfId="0" applyNumberFormat="1" applyFont="1" applyBorder="1"/>
    <xf numFmtId="37" fontId="48" fillId="0" borderId="0" xfId="0" applyNumberFormat="1" applyFont="1" applyBorder="1"/>
    <xf numFmtId="37" fontId="3" fillId="0" borderId="4" xfId="0" applyNumberFormat="1" applyFont="1" applyBorder="1"/>
    <xf numFmtId="0" fontId="42" fillId="2" borderId="0" xfId="0" quotePrefix="1" applyFont="1" applyFill="1" applyBorder="1" applyAlignment="1">
      <alignment horizontal="center"/>
    </xf>
    <xf numFmtId="0" fontId="42" fillId="2" borderId="23" xfId="0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16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638175</xdr:colOff>
          <xdr:row>0</xdr:row>
          <xdr:rowOff>19050</xdr:rowOff>
        </xdr:from>
        <xdr:to>
          <xdr:col>2</xdr:col>
          <xdr:colOff>47625</xdr:colOff>
          <xdr:row>1</xdr:row>
          <xdr:rowOff>152400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6EEA64F-6D6A-A6C6-6162-C130A2CA97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CONVERGE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142875</xdr:colOff>
          <xdr:row>0</xdr:row>
          <xdr:rowOff>9525</xdr:rowOff>
        </xdr:from>
        <xdr:to>
          <xdr:col>1</xdr:col>
          <xdr:colOff>495300</xdr:colOff>
          <xdr:row>1</xdr:row>
          <xdr:rowOff>142875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956F32A4-70DA-8A01-5940-9E9F20DE4E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ALL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.P.T\Transmission%20Models\Sensitiviti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 (2)"/>
      <sheetName val="Sheet3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3:AL144"/>
  <sheetViews>
    <sheetView topLeftCell="D1" zoomScale="75" workbookViewId="0">
      <selection activeCell="D9" sqref="D9"/>
    </sheetView>
  </sheetViews>
  <sheetFormatPr defaultRowHeight="12.75" x14ac:dyDescent="0.2"/>
  <cols>
    <col min="1" max="1" width="9.140625" style="34"/>
    <col min="2" max="2" width="22.140625" style="34" customWidth="1"/>
    <col min="3" max="3" width="9.28515625" style="34" customWidth="1"/>
    <col min="4" max="4" width="10" style="34" customWidth="1"/>
    <col min="5" max="5" width="11.42578125" style="34" customWidth="1"/>
    <col min="6" max="6" width="2.7109375" style="34" customWidth="1"/>
    <col min="7" max="7" width="12.85546875" style="34" customWidth="1"/>
    <col min="8" max="8" width="22.42578125" style="34" customWidth="1"/>
    <col min="9" max="9" width="10.7109375" style="34" customWidth="1"/>
    <col min="10" max="10" width="12.42578125" style="34" customWidth="1"/>
    <col min="11" max="11" width="10.7109375" style="34" customWidth="1"/>
    <col min="12" max="12" width="2.7109375" style="34" customWidth="1"/>
    <col min="13" max="13" width="11.7109375" style="34" customWidth="1"/>
    <col min="14" max="14" width="16.85546875" style="34" customWidth="1"/>
    <col min="15" max="15" width="12.85546875" style="34" customWidth="1"/>
    <col min="16" max="16" width="16.7109375" style="34" customWidth="1"/>
    <col min="17" max="17" width="8.5703125" style="34" customWidth="1"/>
    <col min="18" max="18" width="11.140625" style="34" bestFit="1" customWidth="1"/>
    <col min="19" max="19" width="2.7109375" style="34" customWidth="1"/>
    <col min="20" max="20" width="37.85546875" style="34" bestFit="1" customWidth="1"/>
    <col min="21" max="21" width="13.85546875" style="34" customWidth="1"/>
    <col min="22" max="22" width="8.5703125" style="34" customWidth="1"/>
    <col min="23" max="23" width="13.140625" style="34" customWidth="1"/>
    <col min="24" max="24" width="11.28515625" style="34" customWidth="1"/>
    <col min="25" max="25" width="8" style="34" customWidth="1"/>
    <col min="26" max="26" width="9.140625" style="34"/>
    <col min="27" max="27" width="10.5703125" style="34" customWidth="1"/>
    <col min="28" max="29" width="9.140625" style="34"/>
    <col min="30" max="30" width="18.140625" style="34" customWidth="1"/>
    <col min="31" max="16384" width="9.140625" style="34"/>
  </cols>
  <sheetData>
    <row r="3" spans="1:33" ht="15.75" x14ac:dyDescent="0.25">
      <c r="A3" s="147" t="s">
        <v>4</v>
      </c>
      <c r="B3" s="148"/>
      <c r="C3" s="149"/>
      <c r="D3" s="77" t="str">
        <f>IF(loopfactor=0," ", "WARNING:  MODEL HAS NOT BEEN CONVERGED")</f>
        <v xml:space="preserve"> </v>
      </c>
      <c r="H3"/>
      <c r="J3" s="77"/>
      <c r="L3" s="34" t="s">
        <v>5</v>
      </c>
      <c r="M3" s="38" t="s">
        <v>5</v>
      </c>
      <c r="P3" s="77"/>
    </row>
    <row r="4" spans="1:33" ht="15.75" x14ac:dyDescent="0.25">
      <c r="A4" s="150"/>
      <c r="B4" s="151"/>
      <c r="C4" s="152"/>
      <c r="D4" s="77" t="str">
        <f>IF(ABS(SUM(BS_IS!F35:Q35))&lt;0.01," ","WARNING:  BALANCE SHEET IS NOT BALANCED")</f>
        <v>WARNING:  BALANCE SHEET IS NOT BALANCED</v>
      </c>
      <c r="H4"/>
      <c r="J4" s="77" t="str">
        <f>IF(ABS(RETURNS!O7+EQUITY)&lt;0.1," ","WARNING:  EQUITY DISTRIBUTED IN THE RETURNS CALC DOES NOT EQUAL TOTAL EQUITY")</f>
        <v xml:space="preserve"> </v>
      </c>
      <c r="M4" s="38"/>
    </row>
    <row r="5" spans="1:33" ht="15.75" x14ac:dyDescent="0.25">
      <c r="A5" s="153"/>
      <c r="B5" s="154"/>
      <c r="C5" s="155"/>
      <c r="D5" s="77"/>
      <c r="H5"/>
      <c r="J5" s="77"/>
      <c r="M5" s="38"/>
    </row>
    <row r="6" spans="1:33" ht="13.5" thickBot="1" x14ac:dyDescent="0.25">
      <c r="A6" s="34" t="s">
        <v>6</v>
      </c>
      <c r="AC6" s="34" t="s">
        <v>5</v>
      </c>
    </row>
    <row r="7" spans="1:33" ht="13.5" x14ac:dyDescent="0.25">
      <c r="A7" s="80" t="s">
        <v>322</v>
      </c>
      <c r="B7" s="339"/>
      <c r="C7" s="81"/>
      <c r="D7" s="340">
        <f>2000</f>
        <v>2000</v>
      </c>
      <c r="E7" s="99"/>
      <c r="G7" s="80" t="s">
        <v>7</v>
      </c>
      <c r="H7" s="339"/>
      <c r="I7" s="81"/>
      <c r="J7" s="81"/>
      <c r="K7" s="99"/>
      <c r="M7" s="318"/>
      <c r="N7" s="81"/>
      <c r="O7" s="81"/>
      <c r="P7" s="81"/>
      <c r="Q7" s="81"/>
      <c r="R7" s="363" t="s">
        <v>8</v>
      </c>
      <c r="S7" s="34" t="s">
        <v>5</v>
      </c>
      <c r="T7" s="80" t="s">
        <v>9</v>
      </c>
      <c r="U7" s="81"/>
      <c r="V7" s="82" t="s">
        <v>10</v>
      </c>
      <c r="W7" s="82" t="s">
        <v>11</v>
      </c>
      <c r="X7" s="83" t="s">
        <v>12</v>
      </c>
      <c r="AC7" s="293"/>
      <c r="AD7" s="293"/>
      <c r="AE7" s="220"/>
      <c r="AF7" s="220"/>
      <c r="AG7" s="220"/>
    </row>
    <row r="8" spans="1:33" x14ac:dyDescent="0.2">
      <c r="A8" s="86" t="s">
        <v>13</v>
      </c>
      <c r="B8" s="49"/>
      <c r="C8" s="49"/>
      <c r="D8" s="246">
        <v>500</v>
      </c>
      <c r="E8" s="341" t="s">
        <v>14</v>
      </c>
      <c r="G8" s="86" t="s">
        <v>302</v>
      </c>
      <c r="H8" s="49"/>
      <c r="I8" s="246"/>
      <c r="J8" s="88" t="s">
        <v>17</v>
      </c>
      <c r="K8" s="87"/>
      <c r="M8" s="90" t="s">
        <v>15</v>
      </c>
      <c r="N8" s="49"/>
      <c r="O8" s="56"/>
      <c r="P8" s="49"/>
      <c r="Q8" s="49"/>
      <c r="R8" s="352">
        <f>$E$15</f>
        <v>2000</v>
      </c>
      <c r="T8" s="86"/>
      <c r="U8" s="49"/>
      <c r="V8" s="49"/>
      <c r="W8" s="49"/>
      <c r="X8" s="87"/>
      <c r="AC8" s="49"/>
      <c r="AD8" s="49"/>
      <c r="AE8" s="127"/>
      <c r="AF8" s="127"/>
      <c r="AG8" s="328"/>
    </row>
    <row r="9" spans="1:33" x14ac:dyDescent="0.2">
      <c r="A9" s="86" t="s">
        <v>16</v>
      </c>
      <c r="B9" s="49"/>
      <c r="C9" s="49"/>
      <c r="D9" s="247">
        <v>1</v>
      </c>
      <c r="E9" s="87"/>
      <c r="G9" s="86" t="s">
        <v>332</v>
      </c>
      <c r="H9" s="49"/>
      <c r="I9" s="251">
        <v>0.05</v>
      </c>
      <c r="J9" s="49"/>
      <c r="K9" s="87"/>
      <c r="M9" s="86" t="s">
        <v>18</v>
      </c>
      <c r="N9" s="49"/>
      <c r="O9" s="289"/>
      <c r="P9" s="89"/>
      <c r="Q9" s="49"/>
      <c r="R9" s="314">
        <v>3300</v>
      </c>
      <c r="T9" s="90" t="s">
        <v>19</v>
      </c>
      <c r="U9" s="49"/>
      <c r="V9" s="255">
        <v>0.1</v>
      </c>
      <c r="W9" s="91">
        <f>RETURNS!D15</f>
        <v>0.26279155757995692</v>
      </c>
      <c r="X9" s="92">
        <f>RETURNS!D14</f>
        <v>9508.1181627940823</v>
      </c>
      <c r="Z9" s="327"/>
      <c r="AA9" s="327"/>
      <c r="AC9" s="49"/>
      <c r="AD9" s="49"/>
      <c r="AE9" s="127"/>
      <c r="AF9" s="127"/>
      <c r="AG9" s="328"/>
    </row>
    <row r="10" spans="1:33" ht="13.5" thickBot="1" x14ac:dyDescent="0.25">
      <c r="A10" s="86" t="s">
        <v>20</v>
      </c>
      <c r="B10" s="49"/>
      <c r="C10" s="93" t="s">
        <v>21</v>
      </c>
      <c r="D10" s="248">
        <v>12500</v>
      </c>
      <c r="E10" s="342" t="s">
        <v>22</v>
      </c>
      <c r="G10" s="95" t="s">
        <v>33</v>
      </c>
      <c r="H10" s="96"/>
      <c r="I10" s="355">
        <v>0</v>
      </c>
      <c r="J10" s="96"/>
      <c r="K10" s="102"/>
      <c r="M10" s="86" t="s">
        <v>23</v>
      </c>
      <c r="N10" s="49"/>
      <c r="O10" s="156"/>
      <c r="P10" s="89"/>
      <c r="Q10" s="49"/>
      <c r="R10" s="364">
        <v>0</v>
      </c>
      <c r="T10" s="390" t="s">
        <v>24</v>
      </c>
      <c r="U10" s="49"/>
      <c r="V10" s="49"/>
      <c r="W10" s="254">
        <v>0.1</v>
      </c>
      <c r="X10" s="87"/>
      <c r="Z10" s="327"/>
      <c r="AA10" s="327"/>
      <c r="AC10" s="49"/>
      <c r="AD10" s="49"/>
      <c r="AE10" s="127"/>
      <c r="AF10" s="127"/>
      <c r="AG10" s="328"/>
    </row>
    <row r="11" spans="1:33" ht="13.5" thickBot="1" x14ac:dyDescent="0.25">
      <c r="A11" s="86" t="s">
        <v>25</v>
      </c>
      <c r="B11" s="288"/>
      <c r="C11" s="288"/>
      <c r="D11" s="290">
        <v>1</v>
      </c>
      <c r="E11" s="87"/>
      <c r="M11" s="86" t="s">
        <v>26</v>
      </c>
      <c r="N11" s="49"/>
      <c r="O11" s="156"/>
      <c r="P11" s="89"/>
      <c r="Q11" s="49"/>
      <c r="R11" s="364">
        <v>0</v>
      </c>
      <c r="T11" s="86"/>
      <c r="U11" s="49"/>
      <c r="V11" s="49"/>
      <c r="W11" s="49"/>
      <c r="X11" s="87"/>
      <c r="AC11" s="49"/>
      <c r="AD11" s="49"/>
      <c r="AE11" s="127"/>
      <c r="AF11" s="127"/>
      <c r="AG11" s="328"/>
    </row>
    <row r="12" spans="1:33" ht="13.5" thickBot="1" x14ac:dyDescent="0.25">
      <c r="A12" s="95" t="s">
        <v>325</v>
      </c>
      <c r="B12" s="96"/>
      <c r="C12" s="96"/>
      <c r="D12" s="343">
        <v>0.03</v>
      </c>
      <c r="E12" s="102"/>
      <c r="G12" s="80" t="s">
        <v>39</v>
      </c>
      <c r="H12" s="81"/>
      <c r="I12" s="81"/>
      <c r="J12" s="81"/>
      <c r="K12" s="99"/>
      <c r="M12" s="365" t="s">
        <v>28</v>
      </c>
      <c r="N12" s="158"/>
      <c r="O12" s="158"/>
      <c r="P12" s="158"/>
      <c r="Q12" s="158"/>
      <c r="R12" s="366">
        <f>SUM(R9:R11)</f>
        <v>3300</v>
      </c>
      <c r="T12" s="86" t="s">
        <v>27</v>
      </c>
      <c r="U12" s="49"/>
      <c r="V12" s="51">
        <f>DISC</f>
        <v>0.1</v>
      </c>
      <c r="W12" s="51">
        <f>RETURNS!D28</f>
        <v>0.26279155757995692</v>
      </c>
      <c r="X12" s="94">
        <f>RETURNS!D27</f>
        <v>9508.1181627940823</v>
      </c>
      <c r="AC12" s="49"/>
      <c r="AD12" s="49"/>
      <c r="AE12" s="127"/>
      <c r="AF12" s="127"/>
      <c r="AG12" s="328"/>
    </row>
    <row r="13" spans="1:33" ht="13.5" thickBot="1" x14ac:dyDescent="0.25">
      <c r="G13" s="86" t="s">
        <v>303</v>
      </c>
      <c r="H13" s="49"/>
      <c r="I13" s="246"/>
      <c r="J13" s="194"/>
      <c r="K13" s="87"/>
      <c r="M13" s="86" t="s">
        <v>31</v>
      </c>
      <c r="N13" s="49"/>
      <c r="O13" s="289"/>
      <c r="P13" s="49"/>
      <c r="Q13" s="49"/>
      <c r="R13" s="315">
        <f>O13*(1+CPI)^($R$8-$O$8)</f>
        <v>0</v>
      </c>
      <c r="T13" s="86" t="s">
        <v>35</v>
      </c>
      <c r="U13" s="49"/>
      <c r="V13" s="51"/>
      <c r="W13" s="51"/>
      <c r="X13" s="94">
        <f>SUM(X12:X12)</f>
        <v>9508.1181627940823</v>
      </c>
      <c r="AC13" s="49"/>
      <c r="AD13" s="49"/>
      <c r="AE13" s="127"/>
      <c r="AF13" s="127"/>
      <c r="AG13" s="328"/>
    </row>
    <row r="14" spans="1:33" ht="13.5" thickBot="1" x14ac:dyDescent="0.25">
      <c r="A14" s="80" t="s">
        <v>30</v>
      </c>
      <c r="B14" s="81"/>
      <c r="C14" s="81"/>
      <c r="D14" s="81"/>
      <c r="E14" s="99"/>
      <c r="G14" s="86" t="s">
        <v>327</v>
      </c>
      <c r="H14" s="49"/>
      <c r="I14" s="251">
        <v>0.05</v>
      </c>
      <c r="J14" s="194"/>
      <c r="K14" s="87"/>
      <c r="M14" s="365" t="s">
        <v>34</v>
      </c>
      <c r="N14" s="158"/>
      <c r="O14" s="158"/>
      <c r="P14" s="158"/>
      <c r="Q14" s="158"/>
      <c r="R14" s="366">
        <f>SUM(R13:R13)</f>
        <v>0</v>
      </c>
      <c r="T14" s="95"/>
      <c r="U14" s="96"/>
      <c r="V14" s="97"/>
      <c r="W14" s="97"/>
      <c r="X14" s="98"/>
      <c r="AC14" s="49"/>
      <c r="AD14" s="49"/>
      <c r="AE14" s="127"/>
      <c r="AF14" s="127"/>
      <c r="AG14" s="115"/>
    </row>
    <row r="15" spans="1:33" ht="13.5" thickBot="1" x14ac:dyDescent="0.25">
      <c r="A15" s="86" t="s">
        <v>32</v>
      </c>
      <c r="B15" s="49"/>
      <c r="C15" s="49"/>
      <c r="D15" s="249">
        <f>DATE(E15-1900,12,1)</f>
        <v>36861</v>
      </c>
      <c r="E15" s="336">
        <v>2000</v>
      </c>
      <c r="G15" s="95" t="s">
        <v>42</v>
      </c>
      <c r="H15" s="96"/>
      <c r="I15" s="355">
        <v>0.35</v>
      </c>
      <c r="J15" s="96"/>
      <c r="K15" s="102"/>
      <c r="M15" s="86" t="s">
        <v>37</v>
      </c>
      <c r="N15" s="49"/>
      <c r="O15" s="289"/>
      <c r="P15" s="49"/>
      <c r="Q15" s="49"/>
      <c r="R15" s="314">
        <f>O15*(1+CPI)^($R$8-$O$8)</f>
        <v>0</v>
      </c>
      <c r="AC15" s="49"/>
      <c r="AD15" s="49"/>
      <c r="AE15" s="127"/>
      <c r="AF15" s="127"/>
      <c r="AG15" s="115"/>
    </row>
    <row r="16" spans="1:33" ht="13.5" thickBot="1" x14ac:dyDescent="0.25">
      <c r="A16" s="86" t="s">
        <v>36</v>
      </c>
      <c r="B16" s="49"/>
      <c r="C16" s="49"/>
      <c r="D16" s="49"/>
      <c r="E16" s="336">
        <v>6</v>
      </c>
      <c r="M16" s="86" t="s">
        <v>40</v>
      </c>
      <c r="N16" s="49"/>
      <c r="O16" s="156"/>
      <c r="P16" s="49"/>
      <c r="Q16" s="49"/>
      <c r="R16" s="364">
        <v>8800</v>
      </c>
      <c r="AC16" s="49"/>
      <c r="AD16" s="49"/>
      <c r="AE16" s="127"/>
      <c r="AF16" s="127"/>
      <c r="AG16" s="115"/>
    </row>
    <row r="17" spans="1:36" x14ac:dyDescent="0.2">
      <c r="A17" s="86" t="s">
        <v>38</v>
      </c>
      <c r="B17" s="49"/>
      <c r="C17" s="49"/>
      <c r="D17" s="246">
        <v>6</v>
      </c>
      <c r="E17" s="336">
        <v>2001</v>
      </c>
      <c r="G17" s="80" t="s">
        <v>46</v>
      </c>
      <c r="H17" s="81"/>
      <c r="I17" s="82" t="s">
        <v>47</v>
      </c>
      <c r="J17" s="82" t="s">
        <v>48</v>
      </c>
      <c r="K17" s="83" t="s">
        <v>49</v>
      </c>
      <c r="M17" s="86" t="s">
        <v>43</v>
      </c>
      <c r="N17" s="49"/>
      <c r="O17" s="289"/>
      <c r="P17" s="49"/>
      <c r="Q17" s="49"/>
      <c r="R17" s="315">
        <f>O17*(1+CPI)^($R$8-$O$8)</f>
        <v>0</v>
      </c>
      <c r="T17" s="80" t="s">
        <v>351</v>
      </c>
      <c r="U17" s="312"/>
      <c r="V17" s="312"/>
      <c r="W17" s="312"/>
      <c r="X17" s="99"/>
      <c r="AC17" s="49"/>
      <c r="AD17" s="49"/>
      <c r="AE17" s="127"/>
      <c r="AF17" s="127"/>
      <c r="AG17" s="115"/>
    </row>
    <row r="18" spans="1:36" x14ac:dyDescent="0.2">
      <c r="A18" s="86" t="s">
        <v>41</v>
      </c>
      <c r="B18" s="49"/>
      <c r="C18" s="49"/>
      <c r="D18" s="49"/>
      <c r="E18" s="337" t="s">
        <v>346</v>
      </c>
      <c r="G18" s="86"/>
      <c r="H18" s="49"/>
      <c r="I18" s="49"/>
      <c r="J18" s="49"/>
      <c r="K18" s="87"/>
      <c r="M18" s="365" t="s">
        <v>45</v>
      </c>
      <c r="N18" s="158"/>
      <c r="O18" s="158"/>
      <c r="P18" s="158"/>
      <c r="Q18" s="158"/>
      <c r="R18" s="366">
        <f>SUM(R15:R17)</f>
        <v>8800</v>
      </c>
      <c r="T18" s="313" t="s">
        <v>298</v>
      </c>
      <c r="U18" s="259" t="s">
        <v>299</v>
      </c>
      <c r="V18" s="110"/>
      <c r="W18" s="410" t="s">
        <v>300</v>
      </c>
      <c r="X18" s="411"/>
      <c r="AC18" s="49"/>
      <c r="AD18" s="49"/>
      <c r="AE18" s="127"/>
      <c r="AF18" s="127"/>
      <c r="AG18" s="115"/>
    </row>
    <row r="19" spans="1:36" ht="13.5" thickBot="1" x14ac:dyDescent="0.25">
      <c r="A19" s="95" t="s">
        <v>44</v>
      </c>
      <c r="B19" s="96"/>
      <c r="C19" s="96"/>
      <c r="D19" s="96"/>
      <c r="E19" s="338" t="s">
        <v>346</v>
      </c>
      <c r="G19" s="86" t="s">
        <v>54</v>
      </c>
      <c r="H19" s="49" t="s">
        <v>338</v>
      </c>
      <c r="I19" s="248">
        <v>13000</v>
      </c>
      <c r="J19" s="246">
        <v>20</v>
      </c>
      <c r="K19" s="356" t="s">
        <v>307</v>
      </c>
      <c r="M19" s="86" t="s">
        <v>319</v>
      </c>
      <c r="N19" s="49"/>
      <c r="O19" s="289"/>
      <c r="P19" s="89"/>
      <c r="Q19" s="49"/>
      <c r="R19" s="314">
        <f>O19*(1+CPI)^($R$8-$O$8)</f>
        <v>0</v>
      </c>
      <c r="T19" s="86"/>
      <c r="U19" s="107"/>
      <c r="V19" s="107"/>
      <c r="W19" s="107"/>
      <c r="X19" s="87"/>
      <c r="AC19" s="49"/>
      <c r="AD19" s="49"/>
      <c r="AE19" s="127"/>
      <c r="AF19" s="127"/>
      <c r="AG19" s="115"/>
    </row>
    <row r="20" spans="1:36" ht="13.5" thickBot="1" x14ac:dyDescent="0.25">
      <c r="B20" s="74"/>
      <c r="C20" s="132">
        <f>E20+0.01</f>
        <v>32.379999999999995</v>
      </c>
      <c r="D20" s="132">
        <f>E20-0.01</f>
        <v>32.36</v>
      </c>
      <c r="E20" s="133">
        <v>32.369999999999997</v>
      </c>
      <c r="G20" s="313"/>
      <c r="H20" s="156"/>
      <c r="I20" s="156"/>
      <c r="J20" s="156"/>
      <c r="K20" s="357"/>
      <c r="M20" s="86" t="s">
        <v>51</v>
      </c>
      <c r="N20" s="49"/>
      <c r="O20" s="158"/>
      <c r="P20" s="89"/>
      <c r="Q20" s="49"/>
      <c r="R20" s="364">
        <v>0</v>
      </c>
      <c r="T20" s="86" t="s">
        <v>108</v>
      </c>
      <c r="U20" s="107"/>
      <c r="V20" s="114">
        <f>1-equityperc</f>
        <v>0</v>
      </c>
      <c r="W20" s="107"/>
      <c r="X20" s="314">
        <f>COST*DEBTPERC</f>
        <v>0</v>
      </c>
    </row>
    <row r="21" spans="1:36" x14ac:dyDescent="0.2">
      <c r="A21" s="80" t="s">
        <v>50</v>
      </c>
      <c r="B21" s="81"/>
      <c r="C21" s="82">
        <v>2000</v>
      </c>
      <c r="D21" s="81"/>
      <c r="E21" s="83" t="s">
        <v>53</v>
      </c>
      <c r="G21" s="313" t="s">
        <v>64</v>
      </c>
      <c r="H21" s="49" t="s">
        <v>338</v>
      </c>
      <c r="I21" s="248">
        <v>13000</v>
      </c>
      <c r="J21" s="246">
        <v>28.5</v>
      </c>
      <c r="K21" s="357" t="s">
        <v>55</v>
      </c>
      <c r="M21" s="86" t="s">
        <v>59</v>
      </c>
      <c r="N21" s="49"/>
      <c r="O21" s="289"/>
      <c r="P21" s="49"/>
      <c r="Q21" s="49"/>
      <c r="R21" s="315">
        <f>O21*(1+CPI)^($R$8-$O$8)</f>
        <v>0</v>
      </c>
      <c r="T21" s="86" t="s">
        <v>109</v>
      </c>
      <c r="U21" s="107"/>
      <c r="V21" s="256">
        <v>1</v>
      </c>
      <c r="W21" s="107"/>
      <c r="X21" s="315">
        <f>COST*equityperc</f>
        <v>13000</v>
      </c>
    </row>
    <row r="22" spans="1:36" x14ac:dyDescent="0.2">
      <c r="A22" s="86" t="s">
        <v>328</v>
      </c>
      <c r="B22" s="49"/>
      <c r="C22" s="291" t="s">
        <v>331</v>
      </c>
      <c r="D22" s="49"/>
      <c r="E22" s="87"/>
      <c r="G22" s="313"/>
      <c r="H22" s="156"/>
      <c r="I22" s="157"/>
      <c r="J22" s="157"/>
      <c r="K22" s="357"/>
      <c r="M22" s="365" t="s">
        <v>61</v>
      </c>
      <c r="N22" s="158"/>
      <c r="O22" s="158"/>
      <c r="P22" s="158"/>
      <c r="Q22" s="158"/>
      <c r="R22" s="366">
        <f>SUM(R19:R21)</f>
        <v>0</v>
      </c>
      <c r="T22" s="86" t="s">
        <v>110</v>
      </c>
      <c r="U22" s="107"/>
      <c r="V22" s="257">
        <f>DEBTPERC+equityperc</f>
        <v>1</v>
      </c>
      <c r="W22" s="107"/>
      <c r="X22" s="372">
        <f>SUM(X20:X21)</f>
        <v>13000</v>
      </c>
      <c r="AB22" s="69"/>
      <c r="AC22" s="69"/>
      <c r="AD22" s="49"/>
      <c r="AE22" s="49"/>
      <c r="AF22" s="49"/>
      <c r="AI22" s="324"/>
      <c r="AJ22" s="325"/>
    </row>
    <row r="23" spans="1:36" ht="13.5" thickBot="1" x14ac:dyDescent="0.25">
      <c r="A23" s="86" t="s">
        <v>329</v>
      </c>
      <c r="B23" s="49"/>
      <c r="C23" s="291" t="s">
        <v>331</v>
      </c>
      <c r="D23" s="49"/>
      <c r="E23" s="87"/>
      <c r="G23" s="358" t="s">
        <v>69</v>
      </c>
      <c r="H23" s="96" t="s">
        <v>338</v>
      </c>
      <c r="I23" s="359">
        <v>13000</v>
      </c>
      <c r="J23" s="253">
        <v>28.5</v>
      </c>
      <c r="K23" s="360" t="s">
        <v>55</v>
      </c>
      <c r="M23" s="86" t="s">
        <v>306</v>
      </c>
      <c r="N23" s="49"/>
      <c r="O23" s="49"/>
      <c r="P23" s="49"/>
      <c r="Q23" s="49"/>
      <c r="R23" s="371">
        <v>0</v>
      </c>
      <c r="T23" s="86"/>
      <c r="U23" s="107"/>
      <c r="V23" s="257"/>
      <c r="W23" s="107"/>
      <c r="X23" s="372"/>
      <c r="AB23" s="91"/>
      <c r="AC23" s="269"/>
      <c r="AD23" s="271"/>
      <c r="AE23" s="194"/>
      <c r="AF23" s="49"/>
      <c r="AI23" s="326"/>
      <c r="AJ23" s="325"/>
    </row>
    <row r="24" spans="1:36" ht="13.5" thickBot="1" x14ac:dyDescent="0.25">
      <c r="A24" s="86" t="s">
        <v>330</v>
      </c>
      <c r="B24" s="49"/>
      <c r="C24" s="291" t="s">
        <v>331</v>
      </c>
      <c r="D24" s="49"/>
      <c r="E24" s="87"/>
      <c r="M24" s="86" t="s">
        <v>65</v>
      </c>
      <c r="N24" s="49"/>
      <c r="O24" s="49"/>
      <c r="P24" s="49"/>
      <c r="Q24" s="49"/>
      <c r="R24" s="314">
        <f>AE9</f>
        <v>0</v>
      </c>
      <c r="T24" s="86" t="s">
        <v>177</v>
      </c>
      <c r="U24" s="107"/>
      <c r="V24" s="257">
        <v>0</v>
      </c>
      <c r="W24" s="107"/>
      <c r="X24" s="372"/>
      <c r="Y24" s="74"/>
      <c r="AB24" s="91"/>
      <c r="AC24" s="269"/>
      <c r="AD24" s="271"/>
      <c r="AE24" s="194"/>
      <c r="AF24" s="49"/>
    </row>
    <row r="25" spans="1:36" x14ac:dyDescent="0.2">
      <c r="A25" s="331" t="s">
        <v>52</v>
      </c>
      <c r="B25" s="49"/>
      <c r="C25" s="194"/>
      <c r="D25" s="49"/>
      <c r="E25" s="87"/>
      <c r="G25" s="80" t="s">
        <v>73</v>
      </c>
      <c r="H25" s="81"/>
      <c r="I25" s="361" t="s">
        <v>74</v>
      </c>
      <c r="J25" s="361" t="s">
        <v>75</v>
      </c>
      <c r="K25" s="362" t="s">
        <v>76</v>
      </c>
      <c r="M25" s="86" t="s">
        <v>67</v>
      </c>
      <c r="N25" s="49"/>
      <c r="O25" s="194"/>
      <c r="P25" s="194"/>
      <c r="Q25" s="49"/>
      <c r="R25" s="371">
        <v>0</v>
      </c>
      <c r="T25" s="86" t="s">
        <v>375</v>
      </c>
      <c r="U25" s="107"/>
      <c r="V25" s="257">
        <v>0</v>
      </c>
      <c r="W25" s="107"/>
      <c r="X25" s="372"/>
      <c r="AB25" s="91"/>
      <c r="AC25" s="269"/>
      <c r="AD25" s="271"/>
      <c r="AE25" s="194"/>
      <c r="AF25" s="49"/>
    </row>
    <row r="26" spans="1:36" ht="13.5" thickBot="1" x14ac:dyDescent="0.25">
      <c r="A26" s="86" t="s">
        <v>56</v>
      </c>
      <c r="B26" s="49"/>
      <c r="C26" s="265">
        <v>8.3999999999999995E-3</v>
      </c>
      <c r="D26" s="103" t="s">
        <v>57</v>
      </c>
      <c r="E26" s="332">
        <v>0.02</v>
      </c>
      <c r="G26" s="86" t="s">
        <v>78</v>
      </c>
      <c r="H26" s="49"/>
      <c r="I26" s="251">
        <v>1</v>
      </c>
      <c r="J26" s="251">
        <v>1</v>
      </c>
      <c r="K26" s="94">
        <f>I26*EQUITY</f>
        <v>13000</v>
      </c>
      <c r="M26" s="86" t="s">
        <v>68</v>
      </c>
      <c r="N26" s="49"/>
      <c r="O26" s="49"/>
      <c r="P26" s="49"/>
      <c r="Q26" s="49"/>
      <c r="R26" s="364">
        <v>0</v>
      </c>
      <c r="T26" s="95" t="s">
        <v>376</v>
      </c>
      <c r="U26" s="316"/>
      <c r="V26" s="388">
        <v>0</v>
      </c>
      <c r="W26" s="316"/>
      <c r="X26" s="317"/>
      <c r="AB26" s="91"/>
      <c r="AC26" s="269"/>
      <c r="AD26" s="271"/>
      <c r="AE26" s="194"/>
      <c r="AF26" s="49"/>
    </row>
    <row r="27" spans="1:36" ht="13.5" thickBot="1" x14ac:dyDescent="0.25">
      <c r="A27" s="333" t="s">
        <v>58</v>
      </c>
      <c r="B27" s="49"/>
      <c r="C27" s="49"/>
      <c r="D27" s="49"/>
      <c r="E27" s="87"/>
      <c r="G27" s="95" t="s">
        <v>1</v>
      </c>
      <c r="H27" s="96"/>
      <c r="I27" s="97">
        <f>SUM(I26:I26)</f>
        <v>1</v>
      </c>
      <c r="J27" s="97">
        <f>SUM(J26:J26)</f>
        <v>1</v>
      </c>
      <c r="K27" s="98">
        <f>SUM(K26:K26)</f>
        <v>13000</v>
      </c>
      <c r="M27" s="86" t="s">
        <v>70</v>
      </c>
      <c r="N27" s="49"/>
      <c r="O27" s="49"/>
      <c r="P27" s="49"/>
      <c r="Q27" s="49"/>
      <c r="R27" s="364">
        <v>0</v>
      </c>
      <c r="U27" s="84"/>
      <c r="V27" s="84"/>
      <c r="W27" s="84"/>
      <c r="AB27" s="91"/>
      <c r="AC27" s="269"/>
      <c r="AD27" s="194"/>
      <c r="AE27" s="194"/>
      <c r="AF27" s="49"/>
    </row>
    <row r="28" spans="1:36" x14ac:dyDescent="0.2">
      <c r="A28" s="331" t="s">
        <v>60</v>
      </c>
      <c r="B28" s="49"/>
      <c r="C28" s="49"/>
      <c r="D28" s="49"/>
      <c r="E28" s="87"/>
      <c r="K28" s="77" t="str">
        <f>IF(ABS(K27-EQUITY)&gt;0.01,"CHECK"," ")</f>
        <v xml:space="preserve"> </v>
      </c>
      <c r="M28" s="86" t="s">
        <v>71</v>
      </c>
      <c r="N28" s="49"/>
      <c r="O28" s="49"/>
      <c r="P28" s="49"/>
      <c r="Q28" s="49"/>
      <c r="R28" s="364">
        <v>0</v>
      </c>
      <c r="T28" s="80" t="s">
        <v>365</v>
      </c>
      <c r="U28" s="319"/>
      <c r="V28" s="319"/>
      <c r="W28" s="319"/>
      <c r="X28" s="99"/>
      <c r="AB28" s="49"/>
      <c r="AC28" s="194"/>
      <c r="AD28" s="194"/>
      <c r="AE28" s="194"/>
      <c r="AF28" s="49"/>
    </row>
    <row r="29" spans="1:36" ht="13.5" thickBot="1" x14ac:dyDescent="0.25">
      <c r="A29" s="86" t="s">
        <v>62</v>
      </c>
      <c r="B29" s="49"/>
      <c r="C29" s="104">
        <f>SUM(C56:C60)/(8760*avail*dispatch*capacity)</f>
        <v>0</v>
      </c>
      <c r="D29" s="49" t="s">
        <v>63</v>
      </c>
      <c r="E29" s="332">
        <v>0.02</v>
      </c>
      <c r="M29" s="86" t="s">
        <v>72</v>
      </c>
      <c r="N29" s="49"/>
      <c r="O29" s="49"/>
      <c r="P29" s="49"/>
      <c r="Q29" s="49"/>
      <c r="R29" s="364">
        <v>0</v>
      </c>
      <c r="T29" s="86"/>
      <c r="U29" s="49" t="s">
        <v>352</v>
      </c>
      <c r="V29" s="107" t="s">
        <v>353</v>
      </c>
      <c r="W29" s="107" t="s">
        <v>354</v>
      </c>
      <c r="X29" s="87"/>
      <c r="AC29"/>
      <c r="AD29"/>
      <c r="AE29"/>
    </row>
    <row r="30" spans="1:36" x14ac:dyDescent="0.2">
      <c r="A30" s="86" t="s">
        <v>326</v>
      </c>
      <c r="B30" s="49"/>
      <c r="C30" s="104">
        <v>0</v>
      </c>
      <c r="D30" s="49" t="s">
        <v>63</v>
      </c>
      <c r="E30" s="332">
        <v>0.02</v>
      </c>
      <c r="G30" s="80" t="s">
        <v>377</v>
      </c>
      <c r="H30" s="81"/>
      <c r="I30" s="81"/>
      <c r="J30" s="81"/>
      <c r="K30" s="99"/>
      <c r="M30" s="86" t="s">
        <v>77</v>
      </c>
      <c r="N30" s="49"/>
      <c r="O30" s="49"/>
      <c r="P30" s="49"/>
      <c r="Q30" s="49"/>
      <c r="R30" s="364">
        <v>0</v>
      </c>
      <c r="T30" s="86" t="s">
        <v>357</v>
      </c>
      <c r="U30" s="93">
        <v>120</v>
      </c>
      <c r="V30" s="93">
        <v>93</v>
      </c>
      <c r="W30" s="93">
        <v>80</v>
      </c>
      <c r="X30" s="87"/>
      <c r="Y30" s="74"/>
      <c r="AC30"/>
      <c r="AD30"/>
      <c r="AE30"/>
    </row>
    <row r="31" spans="1:36" ht="13.5" thickBot="1" x14ac:dyDescent="0.25">
      <c r="A31" s="95" t="s">
        <v>66</v>
      </c>
      <c r="B31" s="96"/>
      <c r="C31" s="334">
        <v>0</v>
      </c>
      <c r="D31" s="96" t="s">
        <v>63</v>
      </c>
      <c r="E31" s="335">
        <v>0.02</v>
      </c>
      <c r="G31" s="86" t="s">
        <v>378</v>
      </c>
      <c r="H31" s="49"/>
      <c r="I31" s="49">
        <v>0</v>
      </c>
      <c r="J31" s="49"/>
      <c r="K31" s="87"/>
      <c r="M31" s="86" t="s">
        <v>314</v>
      </c>
      <c r="N31" s="49"/>
      <c r="O31" s="49" t="s">
        <v>5</v>
      </c>
      <c r="P31" s="127"/>
      <c r="Q31" s="49"/>
      <c r="R31" s="364">
        <v>0</v>
      </c>
      <c r="T31" s="86" t="s">
        <v>380</v>
      </c>
      <c r="U31" s="93">
        <v>20</v>
      </c>
      <c r="V31" s="93">
        <v>20</v>
      </c>
      <c r="W31" s="93">
        <v>20</v>
      </c>
      <c r="X31" s="87"/>
      <c r="AE31" s="74"/>
    </row>
    <row r="32" spans="1:36" x14ac:dyDescent="0.2">
      <c r="A32" s="112" t="s">
        <v>304</v>
      </c>
      <c r="B32" s="64"/>
      <c r="C32" s="329"/>
      <c r="D32" s="113" t="s">
        <v>305</v>
      </c>
      <c r="E32" s="330"/>
      <c r="G32" s="86" t="s">
        <v>379</v>
      </c>
      <c r="H32" s="49"/>
      <c r="I32" s="49">
        <v>0</v>
      </c>
      <c r="J32" s="49"/>
      <c r="K32" s="87"/>
      <c r="M32" s="86" t="s">
        <v>79</v>
      </c>
      <c r="N32" s="49"/>
      <c r="O32" s="49" t="s">
        <v>5</v>
      </c>
      <c r="P32" s="49"/>
      <c r="Q32" s="49"/>
      <c r="R32" s="364">
        <v>0</v>
      </c>
      <c r="T32" s="86" t="s">
        <v>356</v>
      </c>
      <c r="U32" s="93">
        <v>16</v>
      </c>
      <c r="V32" s="93">
        <v>16</v>
      </c>
      <c r="W32" s="93">
        <v>16</v>
      </c>
      <c r="X32" s="87"/>
    </row>
    <row r="33" spans="1:31" ht="13.5" thickBot="1" x14ac:dyDescent="0.25">
      <c r="G33" s="86" t="s">
        <v>253</v>
      </c>
      <c r="H33" s="49"/>
      <c r="I33" s="49">
        <v>0</v>
      </c>
      <c r="J33" s="49"/>
      <c r="K33" s="87"/>
      <c r="M33" s="86" t="s">
        <v>82</v>
      </c>
      <c r="N33" s="49"/>
      <c r="O33" s="109" t="s">
        <v>5</v>
      </c>
      <c r="P33" s="109"/>
      <c r="Q33" s="49"/>
      <c r="R33" s="367">
        <v>0</v>
      </c>
      <c r="T33" s="86" t="s">
        <v>362</v>
      </c>
      <c r="U33" s="93">
        <v>0.02</v>
      </c>
      <c r="V33" s="93">
        <v>1.4999999999999999E-2</v>
      </c>
      <c r="W33" s="93">
        <v>0.01</v>
      </c>
      <c r="X33" s="87"/>
    </row>
    <row r="34" spans="1:31" x14ac:dyDescent="0.2">
      <c r="A34" s="80" t="s">
        <v>333</v>
      </c>
      <c r="B34" s="344"/>
      <c r="C34" s="344"/>
      <c r="D34" s="340">
        <f>D7</f>
        <v>2000</v>
      </c>
      <c r="E34" s="345"/>
      <c r="G34" s="86" t="s">
        <v>260</v>
      </c>
      <c r="H34" s="49"/>
      <c r="I34" s="49">
        <v>0</v>
      </c>
      <c r="J34" s="49"/>
      <c r="K34" s="87"/>
      <c r="M34" s="365" t="s">
        <v>84</v>
      </c>
      <c r="N34" s="158"/>
      <c r="O34" s="158"/>
      <c r="P34" s="158"/>
      <c r="Q34" s="158"/>
      <c r="R34" s="366">
        <f>SUM(R23:R33)</f>
        <v>0</v>
      </c>
      <c r="T34" s="86" t="s">
        <v>359</v>
      </c>
      <c r="U34" s="322">
        <v>3300</v>
      </c>
      <c r="V34" s="322">
        <v>3300</v>
      </c>
      <c r="W34" s="322">
        <v>3300</v>
      </c>
      <c r="X34" s="87"/>
    </row>
    <row r="35" spans="1:31" ht="13.5" thickBot="1" x14ac:dyDescent="0.25">
      <c r="A35" s="313" t="s">
        <v>13</v>
      </c>
      <c r="B35" s="156"/>
      <c r="C35" s="281"/>
      <c r="D35" s="287">
        <v>500</v>
      </c>
      <c r="E35" s="341" t="s">
        <v>334</v>
      </c>
      <c r="G35" s="86"/>
      <c r="H35" s="49"/>
      <c r="I35" s="49"/>
      <c r="J35" s="49"/>
      <c r="K35" s="87"/>
      <c r="M35" s="86" t="s">
        <v>86</v>
      </c>
      <c r="N35" s="49"/>
      <c r="O35" s="51"/>
      <c r="P35" s="251">
        <v>0.03</v>
      </c>
      <c r="Q35" s="49"/>
      <c r="R35" s="314"/>
      <c r="T35" s="95" t="s">
        <v>358</v>
      </c>
      <c r="U35" s="323">
        <v>600</v>
      </c>
      <c r="V35" s="323">
        <v>500</v>
      </c>
      <c r="W35" s="323">
        <v>400</v>
      </c>
      <c r="X35" s="102"/>
      <c r="AC35" s="34" t="s">
        <v>5</v>
      </c>
      <c r="AE35" s="34" t="s">
        <v>5</v>
      </c>
    </row>
    <row r="36" spans="1:31" x14ac:dyDescent="0.2">
      <c r="A36" s="313" t="s">
        <v>16</v>
      </c>
      <c r="B36" s="156"/>
      <c r="C36" s="282"/>
      <c r="D36" s="286">
        <v>1</v>
      </c>
      <c r="E36" s="346"/>
      <c r="G36" s="86"/>
      <c r="H36" s="49"/>
      <c r="I36" s="49"/>
      <c r="J36" s="49"/>
      <c r="K36" s="87"/>
      <c r="M36" s="86" t="s">
        <v>88</v>
      </c>
      <c r="N36" s="49"/>
      <c r="O36" s="49"/>
      <c r="P36" s="51" t="s">
        <v>5</v>
      </c>
      <c r="Q36" s="49"/>
      <c r="R36" s="364">
        <v>0</v>
      </c>
      <c r="U36" s="84"/>
      <c r="V36" s="84"/>
      <c r="Y36" s="74"/>
    </row>
    <row r="37" spans="1:31" ht="13.5" thickBot="1" x14ac:dyDescent="0.25">
      <c r="A37" s="95" t="s">
        <v>323</v>
      </c>
      <c r="B37" s="96"/>
      <c r="C37" s="96"/>
      <c r="D37" s="347"/>
      <c r="E37" s="348"/>
      <c r="G37" s="86"/>
      <c r="H37" s="49"/>
      <c r="I37" s="49"/>
      <c r="J37" s="49"/>
      <c r="K37" s="87"/>
      <c r="M37" s="86" t="s">
        <v>90</v>
      </c>
      <c r="N37" s="49"/>
      <c r="O37" s="251">
        <v>0</v>
      </c>
      <c r="P37" s="49"/>
      <c r="Q37" s="49"/>
      <c r="R37" s="364">
        <v>0</v>
      </c>
      <c r="U37" s="84"/>
      <c r="V37" s="84"/>
    </row>
    <row r="38" spans="1:31" ht="13.5" thickBot="1" x14ac:dyDescent="0.25">
      <c r="G38" s="86"/>
      <c r="H38" s="49"/>
      <c r="I38" s="49"/>
      <c r="J38" s="49"/>
      <c r="K38" s="87"/>
      <c r="M38" s="86" t="s">
        <v>92</v>
      </c>
      <c r="N38" s="49"/>
      <c r="O38" s="49" t="s">
        <v>5</v>
      </c>
      <c r="P38" s="49"/>
      <c r="Q38" s="49"/>
      <c r="R38" s="364">
        <v>0</v>
      </c>
      <c r="T38" s="80" t="s">
        <v>369</v>
      </c>
      <c r="U38" s="319"/>
      <c r="V38" s="319"/>
      <c r="W38" s="81"/>
      <c r="X38" s="99"/>
    </row>
    <row r="39" spans="1:31" x14ac:dyDescent="0.2">
      <c r="A39" s="80" t="s">
        <v>80</v>
      </c>
      <c r="B39" s="81"/>
      <c r="C39" s="81"/>
      <c r="D39" s="349" t="s">
        <v>81</v>
      </c>
      <c r="E39" s="350">
        <v>0.02</v>
      </c>
      <c r="G39" s="86"/>
      <c r="H39" s="49"/>
      <c r="I39" s="49"/>
      <c r="J39" s="49"/>
      <c r="K39" s="87"/>
      <c r="M39" s="86" t="s">
        <v>94</v>
      </c>
      <c r="N39" s="49"/>
      <c r="O39" s="49" t="s">
        <v>5</v>
      </c>
      <c r="P39" s="88" t="s">
        <v>5</v>
      </c>
      <c r="Q39" s="49"/>
      <c r="R39" s="367">
        <v>0</v>
      </c>
      <c r="T39" s="86" t="s">
        <v>370</v>
      </c>
      <c r="U39" s="107" t="s">
        <v>371</v>
      </c>
      <c r="V39" s="107"/>
      <c r="W39" s="49"/>
      <c r="X39" s="87"/>
    </row>
    <row r="40" spans="1:31" ht="13.5" thickBot="1" x14ac:dyDescent="0.25">
      <c r="A40" s="86"/>
      <c r="B40" s="49"/>
      <c r="C40" s="49"/>
      <c r="D40" s="49"/>
      <c r="E40" s="87"/>
      <c r="G40" s="95"/>
      <c r="H40" s="96"/>
      <c r="I40" s="96"/>
      <c r="J40" s="96"/>
      <c r="K40" s="102"/>
      <c r="M40" s="365" t="s">
        <v>96</v>
      </c>
      <c r="N40" s="158"/>
      <c r="O40" s="158"/>
      <c r="P40" s="158"/>
      <c r="Q40" s="158"/>
      <c r="R40" s="366">
        <f>R35+R36+R37+R38+R39</f>
        <v>0</v>
      </c>
      <c r="T40" s="377">
        <v>36739</v>
      </c>
      <c r="U40" s="51">
        <v>3.1E-2</v>
      </c>
      <c r="V40" s="49"/>
      <c r="W40" s="49"/>
      <c r="X40" s="87"/>
    </row>
    <row r="41" spans="1:31" x14ac:dyDescent="0.2">
      <c r="A41" s="351" t="s">
        <v>85</v>
      </c>
      <c r="B41" s="49"/>
      <c r="C41" s="56">
        <v>2000</v>
      </c>
      <c r="D41" s="49"/>
      <c r="E41" s="352" t="s">
        <v>53</v>
      </c>
      <c r="M41" s="86" t="s">
        <v>98</v>
      </c>
      <c r="N41" s="49"/>
      <c r="O41" s="49" t="s">
        <v>5</v>
      </c>
      <c r="P41" s="49"/>
      <c r="Q41" s="49"/>
      <c r="R41" s="364">
        <v>0</v>
      </c>
      <c r="T41" s="377">
        <v>36770</v>
      </c>
      <c r="U41" s="51">
        <v>0.20499999999999999</v>
      </c>
      <c r="V41" s="49"/>
      <c r="W41" s="49"/>
      <c r="X41" s="87"/>
    </row>
    <row r="42" spans="1:31" x14ac:dyDescent="0.2">
      <c r="A42" s="86" t="s">
        <v>87</v>
      </c>
      <c r="B42" s="49"/>
      <c r="C42" s="250">
        <v>48</v>
      </c>
      <c r="D42" s="49"/>
      <c r="E42" s="332">
        <f t="shared" ref="E42:E54" si="0">CPI</f>
        <v>0.02</v>
      </c>
      <c r="M42" s="86" t="s">
        <v>100</v>
      </c>
      <c r="N42" s="49"/>
      <c r="O42" s="49" t="s">
        <v>5</v>
      </c>
      <c r="P42" s="49"/>
      <c r="Q42" s="49"/>
      <c r="R42" s="367">
        <v>0</v>
      </c>
      <c r="T42" s="377">
        <v>36800</v>
      </c>
      <c r="U42" s="379">
        <v>0</v>
      </c>
      <c r="V42" s="49"/>
      <c r="W42" s="49"/>
      <c r="X42" s="87"/>
      <c r="Y42" s="74"/>
    </row>
    <row r="43" spans="1:31" x14ac:dyDescent="0.2">
      <c r="A43" s="86" t="s">
        <v>89</v>
      </c>
      <c r="B43" s="49"/>
      <c r="C43" s="250">
        <v>0</v>
      </c>
      <c r="D43" s="49"/>
      <c r="E43" s="332">
        <f t="shared" si="0"/>
        <v>0.02</v>
      </c>
      <c r="M43" s="365" t="s">
        <v>101</v>
      </c>
      <c r="N43" s="158"/>
      <c r="O43" s="158"/>
      <c r="P43" s="158"/>
      <c r="Q43" s="158"/>
      <c r="R43" s="366">
        <f>SUM(R41:R42)</f>
        <v>0</v>
      </c>
      <c r="T43" s="377">
        <v>36831</v>
      </c>
      <c r="U43" s="51">
        <v>6.3E-2</v>
      </c>
      <c r="V43" s="49"/>
      <c r="W43" s="49"/>
      <c r="X43" s="87"/>
    </row>
    <row r="44" spans="1:31" x14ac:dyDescent="0.2">
      <c r="A44" s="86" t="s">
        <v>91</v>
      </c>
      <c r="B44" s="49"/>
      <c r="C44" s="250">
        <v>0</v>
      </c>
      <c r="D44" s="49"/>
      <c r="E44" s="332">
        <f t="shared" si="0"/>
        <v>0.02</v>
      </c>
      <c r="M44" s="86" t="s">
        <v>102</v>
      </c>
      <c r="N44" s="49"/>
      <c r="O44" s="49" t="s">
        <v>5</v>
      </c>
      <c r="P44" s="49"/>
      <c r="Q44" s="49"/>
      <c r="R44" s="364">
        <v>0</v>
      </c>
      <c r="T44" s="377">
        <v>36861</v>
      </c>
      <c r="U44" s="379">
        <v>0.7</v>
      </c>
      <c r="V44" s="49"/>
      <c r="W44" s="49"/>
      <c r="X44" s="87"/>
    </row>
    <row r="45" spans="1:31" x14ac:dyDescent="0.2">
      <c r="A45" s="86" t="s">
        <v>93</v>
      </c>
      <c r="B45" s="49"/>
      <c r="C45" s="250">
        <v>0</v>
      </c>
      <c r="D45" s="194"/>
      <c r="E45" s="332">
        <f t="shared" si="0"/>
        <v>0.02</v>
      </c>
      <c r="M45" s="86" t="s">
        <v>279</v>
      </c>
      <c r="N45" s="49"/>
      <c r="O45" s="252">
        <v>0</v>
      </c>
      <c r="P45" s="49"/>
      <c r="Q45" s="49"/>
      <c r="R45" s="371">
        <v>0</v>
      </c>
      <c r="T45" s="377">
        <v>36892</v>
      </c>
      <c r="U45" s="379">
        <v>0</v>
      </c>
      <c r="V45" s="49"/>
      <c r="W45" s="49"/>
      <c r="X45" s="87"/>
      <c r="Z45" s="34" t="s">
        <v>5</v>
      </c>
    </row>
    <row r="46" spans="1:31" ht="13.5" thickBot="1" x14ac:dyDescent="0.25">
      <c r="A46" s="86" t="s">
        <v>95</v>
      </c>
      <c r="B46" s="49"/>
      <c r="C46" s="250">
        <v>0</v>
      </c>
      <c r="D46" s="49"/>
      <c r="E46" s="332">
        <f t="shared" si="0"/>
        <v>0.02</v>
      </c>
      <c r="M46" s="86" t="s">
        <v>373</v>
      </c>
      <c r="N46" s="49"/>
      <c r="O46" s="252"/>
      <c r="P46" s="49"/>
      <c r="Q46" s="49"/>
      <c r="R46" s="371">
        <v>900</v>
      </c>
      <c r="T46" s="95"/>
      <c r="U46" s="96"/>
      <c r="V46" s="96"/>
      <c r="W46" s="96"/>
      <c r="X46" s="102"/>
    </row>
    <row r="47" spans="1:31" x14ac:dyDescent="0.2">
      <c r="A47" s="86" t="s">
        <v>97</v>
      </c>
      <c r="B47" s="49"/>
      <c r="C47" s="250">
        <v>0</v>
      </c>
      <c r="D47" s="194"/>
      <c r="E47" s="332">
        <f t="shared" si="0"/>
        <v>0.02</v>
      </c>
      <c r="M47" s="365" t="s">
        <v>104</v>
      </c>
      <c r="N47" s="158"/>
      <c r="O47" s="158"/>
      <c r="P47" s="158"/>
      <c r="Q47" s="158"/>
      <c r="R47" s="366">
        <f>SUM(R44:R46)</f>
        <v>900</v>
      </c>
    </row>
    <row r="48" spans="1:31" x14ac:dyDescent="0.2">
      <c r="A48" s="86" t="s">
        <v>99</v>
      </c>
      <c r="B48" s="49"/>
      <c r="C48" s="250">
        <v>0</v>
      </c>
      <c r="D48" s="49"/>
      <c r="E48" s="332">
        <f t="shared" si="0"/>
        <v>0.02</v>
      </c>
      <c r="M48" s="86" t="s">
        <v>363</v>
      </c>
      <c r="N48" s="49"/>
      <c r="O48" s="49"/>
      <c r="P48" s="146">
        <v>776012.56952960149</v>
      </c>
      <c r="Q48" s="49"/>
      <c r="R48" s="364">
        <v>0</v>
      </c>
      <c r="Y48" s="74"/>
    </row>
    <row r="49" spans="1:25" x14ac:dyDescent="0.2">
      <c r="A49" s="86" t="s">
        <v>310</v>
      </c>
      <c r="B49" s="49"/>
      <c r="C49" s="250">
        <v>0</v>
      </c>
      <c r="D49" s="49"/>
      <c r="E49" s="332">
        <f t="shared" si="0"/>
        <v>0.02</v>
      </c>
      <c r="F49" s="34" t="s">
        <v>5</v>
      </c>
      <c r="M49" s="86" t="s">
        <v>364</v>
      </c>
      <c r="N49" s="49"/>
      <c r="O49" s="49"/>
      <c r="P49" s="49"/>
      <c r="Q49" s="49"/>
      <c r="R49" s="364">
        <v>0</v>
      </c>
    </row>
    <row r="50" spans="1:25" x14ac:dyDescent="0.2">
      <c r="A50" s="86" t="s">
        <v>308</v>
      </c>
      <c r="B50" s="49"/>
      <c r="C50" s="250">
        <v>0</v>
      </c>
      <c r="D50" s="49"/>
      <c r="E50" s="332">
        <f t="shared" si="0"/>
        <v>0.02</v>
      </c>
      <c r="M50" s="86" t="s">
        <v>106</v>
      </c>
      <c r="N50" s="49"/>
      <c r="O50" s="49"/>
      <c r="P50" s="49"/>
      <c r="Q50" s="49"/>
      <c r="R50" s="367">
        <v>0</v>
      </c>
    </row>
    <row r="51" spans="1:25" x14ac:dyDescent="0.2">
      <c r="A51" s="86" t="s">
        <v>103</v>
      </c>
      <c r="B51" s="49"/>
      <c r="C51" s="250">
        <v>0</v>
      </c>
      <c r="D51" s="49"/>
      <c r="E51" s="332">
        <f t="shared" si="0"/>
        <v>0.02</v>
      </c>
      <c r="M51" s="365" t="s">
        <v>107</v>
      </c>
      <c r="N51" s="158"/>
      <c r="O51" s="158"/>
      <c r="P51" s="158"/>
      <c r="Q51" s="158"/>
      <c r="R51" s="368">
        <f>SUM(R48:R50)</f>
        <v>0</v>
      </c>
    </row>
    <row r="52" spans="1:25" ht="13.5" thickBot="1" x14ac:dyDescent="0.25">
      <c r="A52" s="86" t="s">
        <v>66</v>
      </c>
      <c r="B52" s="49"/>
      <c r="C52" s="250">
        <v>0</v>
      </c>
      <c r="D52" s="49"/>
      <c r="E52" s="332">
        <f t="shared" si="0"/>
        <v>0.02</v>
      </c>
      <c r="G52"/>
      <c r="H52"/>
      <c r="I52"/>
      <c r="J52"/>
      <c r="K52"/>
      <c r="M52" s="165" t="s">
        <v>29</v>
      </c>
      <c r="N52" s="166"/>
      <c r="O52" s="166"/>
      <c r="P52" s="166"/>
      <c r="Q52" s="96"/>
      <c r="R52" s="369">
        <f>SUM(R12+R14+R18+R22+R34+R40+R43+R47+R51)</f>
        <v>13000</v>
      </c>
    </row>
    <row r="53" spans="1:25" x14ac:dyDescent="0.2">
      <c r="A53" s="86" t="s">
        <v>320</v>
      </c>
      <c r="B53" s="49"/>
      <c r="C53" s="250">
        <v>0</v>
      </c>
      <c r="D53" s="49"/>
      <c r="E53" s="332">
        <f t="shared" si="0"/>
        <v>0.02</v>
      </c>
      <c r="G53"/>
      <c r="H53"/>
      <c r="I53"/>
      <c r="J53"/>
      <c r="K53"/>
      <c r="M53" s="58"/>
      <c r="N53" s="64"/>
      <c r="O53" s="64"/>
      <c r="P53" s="64"/>
      <c r="Q53" s="64"/>
      <c r="R53" s="59"/>
    </row>
    <row r="54" spans="1:25" x14ac:dyDescent="0.2">
      <c r="A54" s="86" t="s">
        <v>125</v>
      </c>
      <c r="B54" s="49"/>
      <c r="C54" s="250">
        <f>SUM(C42:C53)</f>
        <v>48</v>
      </c>
      <c r="D54" s="49"/>
      <c r="E54" s="332">
        <f t="shared" si="0"/>
        <v>0.02</v>
      </c>
      <c r="G54"/>
      <c r="H54"/>
      <c r="I54"/>
      <c r="J54"/>
      <c r="K54"/>
      <c r="Y54" s="74"/>
    </row>
    <row r="55" spans="1:25" x14ac:dyDescent="0.2">
      <c r="A55" s="86"/>
      <c r="B55" s="49"/>
      <c r="C55" s="49"/>
      <c r="D55" s="49"/>
      <c r="E55" s="353"/>
      <c r="G55"/>
      <c r="H55"/>
      <c r="I55"/>
      <c r="J55"/>
      <c r="K55"/>
    </row>
    <row r="56" spans="1:25" x14ac:dyDescent="0.2">
      <c r="A56" s="351" t="s">
        <v>105</v>
      </c>
      <c r="B56" s="49"/>
      <c r="C56" s="250">
        <v>0</v>
      </c>
      <c r="D56" s="49"/>
      <c r="E56" s="332">
        <f>CPI</f>
        <v>0.02</v>
      </c>
      <c r="G56"/>
      <c r="H56"/>
      <c r="I56"/>
      <c r="J56"/>
      <c r="K56"/>
    </row>
    <row r="57" spans="1:25" x14ac:dyDescent="0.2">
      <c r="A57" s="86" t="s">
        <v>324</v>
      </c>
      <c r="B57" s="49"/>
      <c r="C57" s="250">
        <v>0</v>
      </c>
      <c r="D57" s="49"/>
      <c r="E57" s="332">
        <f>CPI</f>
        <v>0.02</v>
      </c>
      <c r="G57"/>
      <c r="H57"/>
      <c r="I57"/>
      <c r="J57"/>
      <c r="K57"/>
    </row>
    <row r="58" spans="1:25" x14ac:dyDescent="0.2">
      <c r="A58" s="86" t="s">
        <v>91</v>
      </c>
      <c r="B58" s="49"/>
      <c r="C58" s="250">
        <v>0</v>
      </c>
      <c r="D58" s="49"/>
      <c r="E58" s="332">
        <f>CPI</f>
        <v>0.02</v>
      </c>
      <c r="G58"/>
      <c r="H58"/>
      <c r="I58"/>
      <c r="J58"/>
      <c r="K58"/>
    </row>
    <row r="59" spans="1:25" x14ac:dyDescent="0.2">
      <c r="A59" s="86" t="s">
        <v>309</v>
      </c>
      <c r="B59" s="49"/>
      <c r="C59" s="250">
        <v>0</v>
      </c>
      <c r="D59" s="49"/>
      <c r="E59" s="332">
        <f>CPI</f>
        <v>0.02</v>
      </c>
      <c r="G59"/>
      <c r="H59"/>
      <c r="I59"/>
      <c r="J59"/>
      <c r="K59"/>
    </row>
    <row r="60" spans="1:25" ht="13.5" thickBot="1" x14ac:dyDescent="0.25">
      <c r="A60" s="95" t="s">
        <v>66</v>
      </c>
      <c r="B60" s="96"/>
      <c r="C60" s="354">
        <v>0</v>
      </c>
      <c r="D60" s="96"/>
      <c r="E60" s="335">
        <f>CPI</f>
        <v>0.02</v>
      </c>
      <c r="G60"/>
      <c r="H60"/>
      <c r="I60"/>
      <c r="J60"/>
      <c r="K60"/>
    </row>
    <row r="61" spans="1:25" x14ac:dyDescent="0.2">
      <c r="G61"/>
      <c r="H61"/>
      <c r="I61"/>
      <c r="J61"/>
      <c r="K61"/>
    </row>
    <row r="62" spans="1:25" x14ac:dyDescent="0.2">
      <c r="A62" s="34" t="s">
        <v>315</v>
      </c>
      <c r="D62" s="74">
        <v>0.04</v>
      </c>
      <c r="G62"/>
      <c r="H62"/>
      <c r="I62"/>
      <c r="J62"/>
      <c r="K62"/>
      <c r="M62"/>
      <c r="Y62" s="74"/>
    </row>
    <row r="63" spans="1:25" x14ac:dyDescent="0.2">
      <c r="G63"/>
      <c r="H63"/>
      <c r="I63"/>
      <c r="J63"/>
      <c r="K63"/>
      <c r="M63"/>
    </row>
    <row r="64" spans="1:25" x14ac:dyDescent="0.2">
      <c r="G64"/>
      <c r="H64"/>
      <c r="I64"/>
      <c r="J64"/>
      <c r="K64"/>
      <c r="M64"/>
    </row>
    <row r="65" spans="1:13" x14ac:dyDescent="0.2">
      <c r="G65"/>
      <c r="H65"/>
      <c r="I65"/>
      <c r="J65"/>
      <c r="K65"/>
      <c r="M65"/>
    </row>
    <row r="66" spans="1:13" x14ac:dyDescent="0.2">
      <c r="G66"/>
      <c r="H66"/>
      <c r="I66"/>
      <c r="J66"/>
      <c r="K66"/>
      <c r="M66"/>
    </row>
    <row r="67" spans="1:13" x14ac:dyDescent="0.2">
      <c r="G67"/>
      <c r="H67"/>
      <c r="I67"/>
      <c r="J67"/>
      <c r="K67"/>
      <c r="M67"/>
    </row>
    <row r="68" spans="1:13" x14ac:dyDescent="0.2">
      <c r="F68"/>
      <c r="G68"/>
      <c r="H68"/>
      <c r="I68"/>
      <c r="J68"/>
      <c r="K68"/>
      <c r="L68"/>
      <c r="M68"/>
    </row>
    <row r="69" spans="1:13" x14ac:dyDescent="0.2">
      <c r="A69"/>
      <c r="B69"/>
      <c r="C69"/>
      <c r="D69"/>
      <c r="E69"/>
      <c r="F69"/>
      <c r="G69"/>
      <c r="H69"/>
      <c r="I69"/>
      <c r="J69"/>
      <c r="K69"/>
      <c r="L69"/>
      <c r="M69"/>
    </row>
    <row r="70" spans="1:13" x14ac:dyDescent="0.2">
      <c r="A70"/>
      <c r="B70"/>
      <c r="C70"/>
      <c r="D70"/>
      <c r="E70"/>
      <c r="F70"/>
      <c r="G70"/>
      <c r="H70"/>
      <c r="I70"/>
      <c r="J70"/>
      <c r="K70"/>
      <c r="L70"/>
      <c r="M70"/>
    </row>
    <row r="71" spans="1:13" x14ac:dyDescent="0.2">
      <c r="A71"/>
      <c r="B71"/>
      <c r="C71"/>
      <c r="D71"/>
      <c r="E71"/>
      <c r="F71"/>
      <c r="G71"/>
      <c r="H71"/>
      <c r="I71"/>
      <c r="J71"/>
      <c r="K71"/>
      <c r="L71"/>
      <c r="M71"/>
    </row>
    <row r="72" spans="1:13" x14ac:dyDescent="0.2">
      <c r="A72"/>
      <c r="B72"/>
      <c r="C72"/>
      <c r="D72"/>
      <c r="E72"/>
      <c r="F72"/>
      <c r="G72"/>
      <c r="H72"/>
      <c r="I72"/>
      <c r="J72"/>
      <c r="K72"/>
      <c r="L72"/>
      <c r="M72"/>
    </row>
    <row r="73" spans="1:13" x14ac:dyDescent="0.2">
      <c r="A73"/>
      <c r="B73"/>
      <c r="C73"/>
      <c r="D73"/>
      <c r="E73"/>
      <c r="F73"/>
      <c r="G73"/>
      <c r="H73"/>
      <c r="I73"/>
      <c r="J73"/>
      <c r="K73"/>
      <c r="L73"/>
      <c r="M73"/>
    </row>
    <row r="74" spans="1:13" x14ac:dyDescent="0.2">
      <c r="A74"/>
      <c r="B74"/>
      <c r="C74"/>
      <c r="D74"/>
      <c r="E74"/>
      <c r="F74"/>
      <c r="G74"/>
      <c r="H74"/>
      <c r="I74"/>
      <c r="J74"/>
      <c r="K74"/>
      <c r="L74"/>
      <c r="M74"/>
    </row>
    <row r="75" spans="1:13" x14ac:dyDescent="0.2">
      <c r="A75"/>
      <c r="B75"/>
      <c r="C75"/>
      <c r="D75"/>
      <c r="E75"/>
      <c r="F75"/>
      <c r="G75"/>
      <c r="H75"/>
      <c r="I75"/>
      <c r="J75"/>
      <c r="K75"/>
      <c r="L75"/>
      <c r="M75"/>
    </row>
    <row r="76" spans="1:13" x14ac:dyDescent="0.2">
      <c r="A76"/>
      <c r="B76"/>
      <c r="C76"/>
      <c r="D76"/>
      <c r="E76"/>
      <c r="F76"/>
      <c r="G76"/>
      <c r="H76"/>
      <c r="I76"/>
      <c r="J76"/>
      <c r="K76"/>
      <c r="L76"/>
      <c r="M76"/>
    </row>
    <row r="77" spans="1:13" x14ac:dyDescent="0.2">
      <c r="A77"/>
      <c r="B77"/>
      <c r="C77"/>
      <c r="D77"/>
      <c r="E77"/>
      <c r="F77"/>
      <c r="G77"/>
      <c r="H77"/>
      <c r="I77"/>
      <c r="J77"/>
      <c r="K77"/>
      <c r="L77"/>
      <c r="M77"/>
    </row>
    <row r="78" spans="1:13" x14ac:dyDescent="0.2">
      <c r="A78"/>
      <c r="B78"/>
      <c r="C78"/>
      <c r="D78"/>
      <c r="E78"/>
      <c r="F78"/>
      <c r="G78"/>
      <c r="H78"/>
      <c r="I78"/>
      <c r="J78"/>
      <c r="K78"/>
      <c r="L78"/>
      <c r="M78"/>
    </row>
    <row r="79" spans="1:13" x14ac:dyDescent="0.2">
      <c r="A79"/>
      <c r="B79"/>
      <c r="C79"/>
      <c r="D79"/>
      <c r="E79"/>
      <c r="F79"/>
      <c r="G79"/>
      <c r="H79"/>
      <c r="I79"/>
      <c r="J79"/>
      <c r="K79"/>
      <c r="L79"/>
      <c r="M79"/>
    </row>
    <row r="80" spans="1:13" x14ac:dyDescent="0.2">
      <c r="A80"/>
      <c r="B80"/>
      <c r="C80"/>
      <c r="D80"/>
      <c r="E80"/>
      <c r="F80"/>
      <c r="G80"/>
      <c r="H80"/>
      <c r="I80"/>
      <c r="J80"/>
      <c r="K80"/>
      <c r="L80"/>
      <c r="M80"/>
    </row>
    <row r="81" spans="1:25" x14ac:dyDescent="0.2">
      <c r="A81"/>
      <c r="B81"/>
      <c r="C81"/>
      <c r="D81"/>
      <c r="E81"/>
      <c r="F81"/>
      <c r="G81"/>
      <c r="H81"/>
      <c r="I81"/>
      <c r="J81"/>
      <c r="K81"/>
      <c r="L81"/>
      <c r="M81"/>
    </row>
    <row r="82" spans="1:25" x14ac:dyDescent="0.2">
      <c r="A82"/>
      <c r="B82"/>
      <c r="C82"/>
      <c r="D82"/>
      <c r="E82"/>
      <c r="F82"/>
      <c r="G82"/>
      <c r="H82"/>
      <c r="I82"/>
      <c r="J82"/>
      <c r="K82"/>
      <c r="L82"/>
      <c r="M82"/>
    </row>
    <row r="83" spans="1:25" x14ac:dyDescent="0.2">
      <c r="A83"/>
      <c r="B83"/>
      <c r="C83"/>
      <c r="D83"/>
      <c r="E83"/>
      <c r="F83"/>
      <c r="G83"/>
      <c r="H83"/>
      <c r="I83"/>
      <c r="J83"/>
      <c r="K83"/>
      <c r="L83"/>
      <c r="M83"/>
    </row>
    <row r="84" spans="1:25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Y84" s="236"/>
    </row>
    <row r="85" spans="1:25" x14ac:dyDescent="0.2">
      <c r="A85"/>
      <c r="B85"/>
      <c r="C85"/>
      <c r="D85"/>
      <c r="E85"/>
      <c r="F85"/>
      <c r="G85"/>
      <c r="H85"/>
      <c r="I85"/>
      <c r="J85"/>
      <c r="K85"/>
      <c r="L85"/>
      <c r="M85"/>
    </row>
    <row r="86" spans="1:25" x14ac:dyDescent="0.2">
      <c r="A86"/>
      <c r="B86"/>
      <c r="C86"/>
      <c r="D86"/>
      <c r="E86"/>
      <c r="F86"/>
      <c r="G86"/>
      <c r="H86"/>
      <c r="I86"/>
      <c r="J86"/>
      <c r="K86"/>
      <c r="L86"/>
      <c r="M86"/>
    </row>
    <row r="87" spans="1:25" x14ac:dyDescent="0.2">
      <c r="A87"/>
      <c r="B87"/>
      <c r="C87"/>
      <c r="D87"/>
      <c r="E87"/>
      <c r="F87"/>
      <c r="G87"/>
      <c r="H87"/>
      <c r="I87"/>
      <c r="J87"/>
      <c r="K87"/>
      <c r="L87"/>
      <c r="M87"/>
    </row>
    <row r="88" spans="1:25" x14ac:dyDescent="0.2">
      <c r="A88"/>
      <c r="B88"/>
      <c r="C88"/>
      <c r="D88"/>
      <c r="E88"/>
      <c r="F88"/>
      <c r="G88"/>
      <c r="H88"/>
      <c r="I88"/>
      <c r="J88"/>
      <c r="K88"/>
      <c r="L88"/>
      <c r="M88"/>
    </row>
    <row r="89" spans="1:25" x14ac:dyDescent="0.2">
      <c r="A89"/>
      <c r="B89"/>
      <c r="C89"/>
      <c r="D89"/>
      <c r="E89"/>
      <c r="F89"/>
      <c r="G89"/>
      <c r="H89"/>
      <c r="I89"/>
      <c r="J89"/>
      <c r="K89"/>
      <c r="L89"/>
      <c r="M89"/>
    </row>
    <row r="90" spans="1:25" x14ac:dyDescent="0.2">
      <c r="A90"/>
      <c r="B90"/>
      <c r="C90"/>
      <c r="D90"/>
      <c r="E90"/>
      <c r="F90"/>
      <c r="G90"/>
      <c r="H90"/>
      <c r="I90"/>
      <c r="J90"/>
      <c r="K90"/>
      <c r="L90"/>
      <c r="M90"/>
    </row>
    <row r="91" spans="1:25" x14ac:dyDescent="0.2">
      <c r="A91"/>
      <c r="B91"/>
      <c r="C91"/>
      <c r="D91"/>
      <c r="E91"/>
      <c r="F91"/>
      <c r="G91"/>
      <c r="H91"/>
      <c r="I91"/>
      <c r="J91"/>
      <c r="K91"/>
      <c r="L91"/>
      <c r="M91"/>
    </row>
    <row r="92" spans="1:25" x14ac:dyDescent="0.2">
      <c r="A92"/>
      <c r="B92"/>
      <c r="C92"/>
      <c r="D92"/>
      <c r="E92"/>
      <c r="F92"/>
      <c r="G92"/>
      <c r="H92"/>
      <c r="I92"/>
      <c r="J92"/>
      <c r="K92"/>
      <c r="L92"/>
      <c r="M92"/>
    </row>
    <row r="93" spans="1:25" x14ac:dyDescent="0.2">
      <c r="A93"/>
      <c r="B93"/>
      <c r="C93"/>
      <c r="D93"/>
      <c r="E93"/>
      <c r="F93"/>
      <c r="G93"/>
      <c r="H93"/>
      <c r="I93"/>
      <c r="J93"/>
      <c r="K93"/>
      <c r="L93"/>
      <c r="M93"/>
    </row>
    <row r="94" spans="1:25" x14ac:dyDescent="0.2">
      <c r="A94"/>
      <c r="B94"/>
      <c r="C94"/>
      <c r="D94"/>
      <c r="E94"/>
      <c r="F94"/>
      <c r="G94"/>
      <c r="H94"/>
      <c r="I94"/>
      <c r="J94"/>
      <c r="K94"/>
      <c r="L94"/>
      <c r="M94"/>
    </row>
    <row r="95" spans="1:25" x14ac:dyDescent="0.2">
      <c r="A95"/>
      <c r="B95"/>
      <c r="C95"/>
      <c r="D95"/>
      <c r="E95"/>
      <c r="F95"/>
      <c r="G95"/>
      <c r="H95"/>
      <c r="I95"/>
      <c r="J95"/>
      <c r="K95"/>
      <c r="L95"/>
      <c r="M95"/>
    </row>
    <row r="96" spans="1:25" x14ac:dyDescent="0.2">
      <c r="A96"/>
      <c r="B96"/>
      <c r="C96"/>
      <c r="D96"/>
      <c r="E96"/>
      <c r="F96"/>
      <c r="G96"/>
      <c r="H96"/>
      <c r="I96"/>
      <c r="J96"/>
      <c r="K96"/>
      <c r="L96"/>
      <c r="M96"/>
    </row>
    <row r="97" spans="1:33" x14ac:dyDescent="0.2">
      <c r="A97"/>
      <c r="B97"/>
      <c r="C97"/>
      <c r="D97"/>
      <c r="E97"/>
      <c r="F97"/>
      <c r="G97"/>
      <c r="H97"/>
      <c r="I97"/>
      <c r="J97"/>
      <c r="K97"/>
      <c r="L97"/>
      <c r="M97"/>
    </row>
    <row r="98" spans="1:33" x14ac:dyDescent="0.2">
      <c r="A98"/>
      <c r="B98"/>
      <c r="C98"/>
      <c r="D98"/>
      <c r="E98"/>
      <c r="F98"/>
      <c r="G98"/>
      <c r="H98"/>
      <c r="I98"/>
      <c r="J98"/>
      <c r="K98"/>
      <c r="L98"/>
      <c r="M98"/>
    </row>
    <row r="99" spans="1:33" x14ac:dyDescent="0.2">
      <c r="A99"/>
      <c r="B99"/>
      <c r="C99"/>
      <c r="D99"/>
      <c r="E99"/>
      <c r="F99"/>
      <c r="G99"/>
      <c r="H99"/>
      <c r="I99"/>
      <c r="J99"/>
      <c r="K99"/>
      <c r="L99"/>
      <c r="M99"/>
    </row>
    <row r="100" spans="1:33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</row>
    <row r="101" spans="1:33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O101" s="34" t="s">
        <v>111</v>
      </c>
    </row>
    <row r="102" spans="1:33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O102" s="34" t="s">
        <v>112</v>
      </c>
    </row>
    <row r="103" spans="1:33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O103" s="34" t="s">
        <v>113</v>
      </c>
    </row>
    <row r="104" spans="1:33" x14ac:dyDescent="0.2">
      <c r="A104"/>
      <c r="B104"/>
      <c r="C104"/>
      <c r="D104"/>
      <c r="E104"/>
      <c r="F104"/>
      <c r="L104"/>
      <c r="M104"/>
    </row>
    <row r="105" spans="1:33" x14ac:dyDescent="0.2">
      <c r="A105"/>
      <c r="B105"/>
      <c r="C105"/>
      <c r="D105"/>
      <c r="E105"/>
      <c r="F105"/>
      <c r="L105"/>
      <c r="M105"/>
      <c r="AD105"/>
    </row>
    <row r="106" spans="1:33" x14ac:dyDescent="0.2">
      <c r="A106"/>
      <c r="B106"/>
      <c r="C106"/>
      <c r="D106"/>
      <c r="E106"/>
      <c r="F106"/>
      <c r="L106"/>
      <c r="M106"/>
      <c r="AD106"/>
    </row>
    <row r="107" spans="1:33" x14ac:dyDescent="0.2">
      <c r="A107"/>
      <c r="B107"/>
      <c r="C107"/>
      <c r="D107"/>
      <c r="E107"/>
      <c r="F107"/>
      <c r="L107"/>
      <c r="M107"/>
      <c r="AD107"/>
    </row>
    <row r="108" spans="1:33" x14ac:dyDescent="0.2">
      <c r="A108"/>
      <c r="B108"/>
      <c r="C108"/>
      <c r="D108"/>
      <c r="E108"/>
      <c r="F108"/>
      <c r="L108"/>
      <c r="M108"/>
      <c r="AD108"/>
    </row>
    <row r="109" spans="1:33" x14ac:dyDescent="0.2">
      <c r="A109"/>
      <c r="B109"/>
      <c r="C109"/>
      <c r="D109"/>
      <c r="E109"/>
      <c r="F109"/>
      <c r="L109"/>
      <c r="M109"/>
    </row>
    <row r="110" spans="1:33" x14ac:dyDescent="0.2">
      <c r="A110"/>
      <c r="B110"/>
      <c r="C110"/>
      <c r="D110"/>
      <c r="E110"/>
      <c r="F110"/>
      <c r="L110"/>
      <c r="M110"/>
    </row>
    <row r="111" spans="1:33" x14ac:dyDescent="0.2">
      <c r="A111"/>
      <c r="B111"/>
      <c r="C111"/>
      <c r="D111"/>
      <c r="E111"/>
      <c r="F111"/>
      <c r="L111"/>
      <c r="M111"/>
    </row>
    <row r="112" spans="1:33" x14ac:dyDescent="0.2">
      <c r="A112"/>
      <c r="B112"/>
      <c r="C112"/>
      <c r="D112"/>
      <c r="E112"/>
      <c r="F112"/>
      <c r="L112"/>
      <c r="M112"/>
      <c r="AD112"/>
      <c r="AE112"/>
      <c r="AF112"/>
      <c r="AG112"/>
    </row>
    <row r="113" spans="1:38" x14ac:dyDescent="0.2">
      <c r="A113"/>
      <c r="B113"/>
      <c r="C113"/>
      <c r="D113"/>
      <c r="E113"/>
      <c r="F113"/>
      <c r="L113"/>
      <c r="M113"/>
      <c r="AD113"/>
      <c r="AE113"/>
      <c r="AF113"/>
      <c r="AG113"/>
    </row>
    <row r="114" spans="1:38" x14ac:dyDescent="0.2">
      <c r="A114"/>
      <c r="B114"/>
      <c r="C114"/>
      <c r="D114"/>
      <c r="E114"/>
      <c r="F114"/>
      <c r="L114"/>
      <c r="AD114"/>
      <c r="AE114"/>
      <c r="AF114"/>
      <c r="AG114"/>
      <c r="AH114"/>
      <c r="AI114"/>
      <c r="AJ114"/>
      <c r="AK114"/>
    </row>
    <row r="115" spans="1:38" x14ac:dyDescent="0.2">
      <c r="A115"/>
      <c r="B115"/>
      <c r="C115"/>
      <c r="D115"/>
      <c r="E115"/>
      <c r="F115"/>
      <c r="L115"/>
      <c r="AD115"/>
      <c r="AE115"/>
      <c r="AF115"/>
      <c r="AG115"/>
      <c r="AH115"/>
      <c r="AI115"/>
      <c r="AJ115"/>
      <c r="AK115"/>
    </row>
    <row r="116" spans="1:38" x14ac:dyDescent="0.2">
      <c r="A116"/>
      <c r="B116"/>
      <c r="C116"/>
      <c r="D116"/>
      <c r="E116"/>
      <c r="F116"/>
      <c r="L116"/>
      <c r="AD116"/>
      <c r="AE116"/>
      <c r="AF116"/>
      <c r="AG116"/>
      <c r="AH116"/>
      <c r="AI116"/>
      <c r="AJ116"/>
      <c r="AK116"/>
    </row>
    <row r="117" spans="1:38" x14ac:dyDescent="0.2">
      <c r="A117"/>
      <c r="B117"/>
      <c r="C117"/>
      <c r="D117"/>
      <c r="E117"/>
      <c r="F117"/>
      <c r="L117"/>
      <c r="AD117"/>
      <c r="AE117"/>
      <c r="AF117"/>
      <c r="AG117"/>
      <c r="AH117"/>
      <c r="AI117"/>
      <c r="AJ117"/>
      <c r="AK117"/>
    </row>
    <row r="118" spans="1:38" x14ac:dyDescent="0.2">
      <c r="A118"/>
      <c r="B118"/>
      <c r="C118"/>
      <c r="D118"/>
      <c r="E118"/>
      <c r="F118"/>
      <c r="L118"/>
      <c r="AD118"/>
      <c r="AE118"/>
      <c r="AF118"/>
      <c r="AG118"/>
      <c r="AH118"/>
      <c r="AI118"/>
      <c r="AJ118"/>
      <c r="AK118"/>
      <c r="AL118" s="34">
        <v>2</v>
      </c>
    </row>
    <row r="119" spans="1:38" x14ac:dyDescent="0.2">
      <c r="A119"/>
      <c r="B119"/>
      <c r="C119"/>
      <c r="D119"/>
      <c r="E119"/>
      <c r="F119"/>
      <c r="L119"/>
      <c r="AD119"/>
      <c r="AE119"/>
      <c r="AF119"/>
      <c r="AG119"/>
      <c r="AH119"/>
      <c r="AI119"/>
      <c r="AJ119"/>
      <c r="AK119"/>
    </row>
    <row r="120" spans="1:38" x14ac:dyDescent="0.2">
      <c r="A120"/>
      <c r="B120"/>
      <c r="C120"/>
      <c r="D120"/>
      <c r="E120"/>
      <c r="AD120"/>
      <c r="AE120"/>
      <c r="AF120"/>
      <c r="AG120"/>
      <c r="AH120"/>
      <c r="AI120"/>
      <c r="AJ120"/>
      <c r="AK120"/>
      <c r="AL120" s="34">
        <v>3</v>
      </c>
    </row>
    <row r="121" spans="1:38" x14ac:dyDescent="0.2">
      <c r="AD121"/>
      <c r="AE121"/>
      <c r="AF121"/>
      <c r="AG121"/>
      <c r="AH121"/>
      <c r="AI121"/>
      <c r="AJ121"/>
      <c r="AK121"/>
    </row>
    <row r="122" spans="1:38" x14ac:dyDescent="0.2">
      <c r="AD122"/>
      <c r="AE122"/>
      <c r="AF122"/>
      <c r="AG122"/>
      <c r="AH122"/>
      <c r="AI122"/>
      <c r="AJ122"/>
      <c r="AK122"/>
      <c r="AL122" s="34">
        <v>4</v>
      </c>
    </row>
    <row r="123" spans="1:38" x14ac:dyDescent="0.2">
      <c r="AD123"/>
      <c r="AE123"/>
      <c r="AF123"/>
      <c r="AG123"/>
      <c r="AH123"/>
      <c r="AI123"/>
      <c r="AJ123"/>
      <c r="AK123"/>
    </row>
    <row r="124" spans="1:38" x14ac:dyDescent="0.2">
      <c r="AD124"/>
      <c r="AE124"/>
      <c r="AF124"/>
      <c r="AG124"/>
      <c r="AH124"/>
      <c r="AI124"/>
      <c r="AJ124"/>
      <c r="AK124"/>
      <c r="AL124" s="34">
        <v>5</v>
      </c>
    </row>
    <row r="125" spans="1:38" x14ac:dyDescent="0.2">
      <c r="AD125"/>
      <c r="AE125"/>
      <c r="AF125"/>
      <c r="AG125"/>
      <c r="AH125"/>
      <c r="AI125"/>
      <c r="AJ125"/>
      <c r="AK125"/>
    </row>
    <row r="126" spans="1:38" x14ac:dyDescent="0.2">
      <c r="AD126"/>
      <c r="AE126"/>
      <c r="AF126"/>
      <c r="AG126"/>
      <c r="AH126"/>
      <c r="AI126"/>
      <c r="AJ126"/>
      <c r="AK126"/>
      <c r="AL126" s="34">
        <v>6</v>
      </c>
    </row>
    <row r="127" spans="1:38" x14ac:dyDescent="0.2">
      <c r="AD127"/>
      <c r="AE127"/>
      <c r="AF127"/>
      <c r="AG127"/>
      <c r="AH127"/>
      <c r="AI127"/>
      <c r="AJ127"/>
      <c r="AK127"/>
    </row>
    <row r="128" spans="1:38" x14ac:dyDescent="0.2">
      <c r="AD128"/>
      <c r="AE128"/>
      <c r="AF128"/>
      <c r="AG128"/>
      <c r="AH128"/>
      <c r="AI128"/>
      <c r="AJ128"/>
      <c r="AK128"/>
      <c r="AL128" s="34">
        <v>7</v>
      </c>
    </row>
    <row r="129" spans="30:38" x14ac:dyDescent="0.2">
      <c r="AD129"/>
      <c r="AE129"/>
      <c r="AF129"/>
      <c r="AG129"/>
      <c r="AH129"/>
      <c r="AI129"/>
      <c r="AJ129"/>
      <c r="AK129"/>
    </row>
    <row r="130" spans="30:38" x14ac:dyDescent="0.2">
      <c r="AD130"/>
      <c r="AE130"/>
      <c r="AF130"/>
      <c r="AG130"/>
      <c r="AH130"/>
      <c r="AI130"/>
      <c r="AJ130"/>
      <c r="AK130"/>
      <c r="AL130" s="34">
        <v>8</v>
      </c>
    </row>
    <row r="131" spans="30:38" x14ac:dyDescent="0.2">
      <c r="AD131"/>
      <c r="AE131"/>
      <c r="AF131"/>
      <c r="AG131"/>
      <c r="AH131"/>
      <c r="AI131"/>
      <c r="AJ131"/>
      <c r="AK131"/>
    </row>
    <row r="132" spans="30:38" x14ac:dyDescent="0.2">
      <c r="AD132"/>
      <c r="AE132"/>
      <c r="AF132"/>
      <c r="AG132"/>
      <c r="AH132"/>
      <c r="AI132"/>
      <c r="AJ132"/>
      <c r="AK132"/>
    </row>
    <row r="133" spans="30:38" x14ac:dyDescent="0.2">
      <c r="AD133"/>
      <c r="AE133"/>
      <c r="AF133"/>
      <c r="AG133"/>
      <c r="AH133"/>
      <c r="AI133"/>
      <c r="AJ133"/>
      <c r="AK133"/>
    </row>
    <row r="134" spans="30:38" x14ac:dyDescent="0.2">
      <c r="AD134"/>
      <c r="AE134"/>
      <c r="AF134"/>
      <c r="AG134"/>
      <c r="AH134"/>
      <c r="AI134"/>
      <c r="AJ134"/>
      <c r="AK134"/>
    </row>
    <row r="135" spans="30:38" x14ac:dyDescent="0.2">
      <c r="AD135"/>
      <c r="AE135"/>
      <c r="AF135"/>
      <c r="AG135"/>
      <c r="AH135"/>
      <c r="AI135"/>
      <c r="AJ135"/>
      <c r="AK135"/>
    </row>
    <row r="136" spans="30:38" x14ac:dyDescent="0.2">
      <c r="AD136"/>
      <c r="AE136"/>
      <c r="AF136"/>
      <c r="AG136"/>
      <c r="AH136"/>
      <c r="AI136"/>
      <c r="AJ136"/>
      <c r="AK136"/>
    </row>
    <row r="137" spans="30:38" x14ac:dyDescent="0.2">
      <c r="AD137"/>
      <c r="AE137"/>
      <c r="AF137"/>
      <c r="AG137"/>
      <c r="AH137"/>
      <c r="AI137"/>
      <c r="AJ137"/>
      <c r="AK137"/>
    </row>
    <row r="138" spans="30:38" x14ac:dyDescent="0.2">
      <c r="AD138"/>
      <c r="AE138"/>
      <c r="AF138"/>
      <c r="AG138"/>
      <c r="AH138"/>
      <c r="AI138"/>
      <c r="AJ138"/>
      <c r="AK138"/>
    </row>
    <row r="139" spans="30:38" x14ac:dyDescent="0.2">
      <c r="AD139"/>
      <c r="AE139"/>
      <c r="AF139"/>
      <c r="AG139"/>
      <c r="AH139"/>
      <c r="AI139"/>
      <c r="AJ139"/>
      <c r="AK139"/>
    </row>
    <row r="140" spans="30:38" x14ac:dyDescent="0.2">
      <c r="AD140"/>
      <c r="AE140"/>
      <c r="AF140"/>
      <c r="AG140"/>
      <c r="AH140"/>
      <c r="AI140"/>
      <c r="AJ140"/>
      <c r="AK140"/>
    </row>
    <row r="141" spans="30:38" x14ac:dyDescent="0.2">
      <c r="AD141"/>
      <c r="AE141"/>
      <c r="AF141"/>
      <c r="AG141"/>
      <c r="AH141"/>
      <c r="AI141"/>
      <c r="AJ141"/>
      <c r="AK141"/>
    </row>
    <row r="142" spans="30:38" x14ac:dyDescent="0.2">
      <c r="AD142"/>
      <c r="AE142"/>
      <c r="AF142"/>
      <c r="AG142"/>
      <c r="AH142"/>
      <c r="AI142"/>
      <c r="AJ142"/>
      <c r="AK142"/>
    </row>
    <row r="143" spans="30:38" x14ac:dyDescent="0.2">
      <c r="AH143"/>
      <c r="AI143"/>
      <c r="AJ143"/>
      <c r="AK143"/>
    </row>
    <row r="144" spans="30:38" x14ac:dyDescent="0.2">
      <c r="AH144"/>
      <c r="AI144"/>
      <c r="AJ144"/>
      <c r="AK144"/>
    </row>
  </sheetData>
  <mergeCells count="1">
    <mergeCell ref="W18:X18"/>
  </mergeCells>
  <printOptions horizontalCentered="1"/>
  <pageMargins left="0.25" right="0.25" top="0.25" bottom="0.25" header="0.5" footer="0.5"/>
  <pageSetup scale="40" orientation="landscape" horizontalDpi="4294967292" r:id="rId1"/>
  <headerFooter alignWithMargins="0">
    <oddHeader>&amp;C &amp;R&amp;D &amp;T</oddHeader>
    <oddFooter>&amp;Ldev_fin/base/&amp;F&amp;C &amp;RPage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CONVERGE">
                <anchor moveWithCells="1" sizeWithCells="1">
                  <from>
                    <xdr:col>1</xdr:col>
                    <xdr:colOff>638175</xdr:colOff>
                    <xdr:row>0</xdr:row>
                    <xdr:rowOff>19050</xdr:rowOff>
                  </from>
                  <to>
                    <xdr:col>2</xdr:col>
                    <xdr:colOff>47625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PRINTALL">
                <anchor moveWithCells="1" sizeWithCells="1">
                  <from>
                    <xdr:col>0</xdr:col>
                    <xdr:colOff>142875</xdr:colOff>
                    <xdr:row>0</xdr:row>
                    <xdr:rowOff>9525</xdr:rowOff>
                  </from>
                  <to>
                    <xdr:col>1</xdr:col>
                    <xdr:colOff>495300</xdr:colOff>
                    <xdr:row>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P82"/>
  <sheetViews>
    <sheetView topLeftCell="A29" zoomScale="75" workbookViewId="0">
      <selection activeCell="D65" sqref="D65"/>
    </sheetView>
  </sheetViews>
  <sheetFormatPr defaultRowHeight="12.75" x14ac:dyDescent="0.2"/>
  <cols>
    <col min="1" max="1" width="29.7109375" style="34" customWidth="1"/>
    <col min="2" max="2" width="13.7109375" style="34" customWidth="1"/>
    <col min="3" max="3" width="20.5703125" style="34" customWidth="1"/>
    <col min="4" max="14" width="10.7109375" style="34" customWidth="1"/>
    <col min="15" max="16384" width="9.140625" style="34"/>
  </cols>
  <sheetData>
    <row r="1" spans="1:14" ht="15.75" x14ac:dyDescent="0.25">
      <c r="A1" s="147" t="s">
        <v>114</v>
      </c>
      <c r="B1" s="168"/>
    </row>
    <row r="2" spans="1:14" ht="15.75" x14ac:dyDescent="0.25">
      <c r="A2" s="160">
        <f>ASS!A4</f>
        <v>0</v>
      </c>
      <c r="B2" s="111"/>
    </row>
    <row r="3" spans="1:14" x14ac:dyDescent="0.2">
      <c r="A3" s="39" t="s">
        <v>115</v>
      </c>
      <c r="B3" s="46"/>
      <c r="C3" s="46"/>
      <c r="D3" s="46">
        <v>1</v>
      </c>
      <c r="E3" s="46">
        <f>D3+1</f>
        <v>2</v>
      </c>
      <c r="F3" s="46">
        <f>E3+1</f>
        <v>3</v>
      </c>
      <c r="G3" s="46">
        <f t="shared" ref="G3:M3" si="0">F3+1</f>
        <v>4</v>
      </c>
      <c r="H3" s="46">
        <f t="shared" si="0"/>
        <v>5</v>
      </c>
      <c r="I3" s="46">
        <f t="shared" si="0"/>
        <v>6</v>
      </c>
      <c r="J3" s="46">
        <f t="shared" si="0"/>
        <v>7</v>
      </c>
      <c r="K3" s="46">
        <f t="shared" si="0"/>
        <v>8</v>
      </c>
      <c r="L3" s="46">
        <f t="shared" si="0"/>
        <v>9</v>
      </c>
      <c r="M3" s="46">
        <f t="shared" si="0"/>
        <v>10</v>
      </c>
      <c r="N3" s="35"/>
    </row>
    <row r="4" spans="1:14" x14ac:dyDescent="0.2">
      <c r="A4" s="202" t="s">
        <v>116</v>
      </c>
      <c r="B4" s="49"/>
      <c r="C4" s="49"/>
      <c r="D4" s="200">
        <f>STARTYR</f>
        <v>2001</v>
      </c>
      <c r="E4" s="200">
        <f>IF(D4+1-$D$4&gt;TERM, 0, IF(D4&gt;0, D4+1, 0))</f>
        <v>2002</v>
      </c>
      <c r="F4" s="200">
        <f>IF(E4+1-$D$4&gt;TERM, 0, IF(E4&gt;0, E4+1, 0))</f>
        <v>2003</v>
      </c>
      <c r="G4" s="200">
        <f t="shared" ref="G4:M4" si="1">IF(F4+1-$D$4&gt;TERM, 0, IF(F4&gt;0, F4+1, 0))</f>
        <v>2004</v>
      </c>
      <c r="H4" s="200">
        <f t="shared" si="1"/>
        <v>2005</v>
      </c>
      <c r="I4" s="200">
        <f t="shared" si="1"/>
        <v>2006</v>
      </c>
      <c r="J4" s="200">
        <f t="shared" si="1"/>
        <v>2007</v>
      </c>
      <c r="K4" s="200">
        <f t="shared" si="1"/>
        <v>2008</v>
      </c>
      <c r="L4" s="200">
        <f t="shared" si="1"/>
        <v>2009</v>
      </c>
      <c r="M4" s="200">
        <f t="shared" si="1"/>
        <v>2010</v>
      </c>
      <c r="N4" s="36" t="s">
        <v>117</v>
      </c>
    </row>
    <row r="5" spans="1:14" x14ac:dyDescent="0.2">
      <c r="A5" s="58" t="s">
        <v>118</v>
      </c>
      <c r="B5" s="64"/>
      <c r="C5" s="64"/>
      <c r="D5" s="64">
        <f>IF(D3&lt;=TERM, 12, IF(D3=TERM+1, +MOSYR1-1,))</f>
        <v>12</v>
      </c>
      <c r="E5" s="64">
        <f>IF(E3&lt;=TERM, 12, IF(E3=TERM+1, +MOSYR1-1,))</f>
        <v>12</v>
      </c>
      <c r="F5" s="64">
        <f>IF(F3&lt;=TERM, 12, IF(F3=TERM+1, +MOSYR1-1,))</f>
        <v>12</v>
      </c>
      <c r="G5" s="64">
        <f>IF(G3&lt;=TERM, 12, IF(G3=TERM+1, +MOSYR1-1,))</f>
        <v>12</v>
      </c>
      <c r="H5" s="64">
        <f t="shared" ref="H5:M5" si="2">IF(H3&lt;=TERM, 12, IF(H3=TERM+1, +MOSYR1-1,))</f>
        <v>12</v>
      </c>
      <c r="I5" s="64">
        <f t="shared" si="2"/>
        <v>12</v>
      </c>
      <c r="J5" s="64">
        <f t="shared" si="2"/>
        <v>12</v>
      </c>
      <c r="K5" s="64">
        <f t="shared" si="2"/>
        <v>12</v>
      </c>
      <c r="L5" s="64">
        <f t="shared" si="2"/>
        <v>12</v>
      </c>
      <c r="M5" s="64">
        <f t="shared" si="2"/>
        <v>12</v>
      </c>
      <c r="N5" s="76"/>
    </row>
    <row r="6" spans="1:14" x14ac:dyDescent="0.2">
      <c r="A6" s="47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8"/>
    </row>
    <row r="7" spans="1:14" x14ac:dyDescent="0.2">
      <c r="A7" s="39" t="s">
        <v>119</v>
      </c>
      <c r="B7" s="46"/>
      <c r="C7" s="46"/>
      <c r="D7" s="46">
        <f>IF(D3&gt;TERM,0,capacity)</f>
        <v>500</v>
      </c>
      <c r="E7" s="46">
        <f>IF(E3&gt;TERM,0,capacity)</f>
        <v>500</v>
      </c>
      <c r="F7" s="46">
        <f>IF(F3&gt;TERM,0,capacity)</f>
        <v>500</v>
      </c>
      <c r="G7" s="46">
        <f t="shared" ref="G7:M7" si="3">IF(G3&gt;TERM,0,capacity)</f>
        <v>500</v>
      </c>
      <c r="H7" s="46">
        <f t="shared" si="3"/>
        <v>500</v>
      </c>
      <c r="I7" s="46">
        <f t="shared" si="3"/>
        <v>500</v>
      </c>
      <c r="J7" s="46">
        <f t="shared" si="3"/>
        <v>500</v>
      </c>
      <c r="K7" s="46">
        <f t="shared" si="3"/>
        <v>500</v>
      </c>
      <c r="L7" s="46">
        <f t="shared" si="3"/>
        <v>500</v>
      </c>
      <c r="M7" s="46">
        <f t="shared" si="3"/>
        <v>500</v>
      </c>
      <c r="N7" s="35"/>
    </row>
    <row r="8" spans="1:14" x14ac:dyDescent="0.2">
      <c r="A8" s="49" t="s">
        <v>120</v>
      </c>
      <c r="B8" s="49"/>
      <c r="C8" s="49"/>
      <c r="D8" s="106">
        <f>20*16*D7*avail*dispatch*D5/12</f>
        <v>160000</v>
      </c>
      <c r="E8" s="106">
        <f>20*16*E7*avail*dispatch*E5/12</f>
        <v>160000</v>
      </c>
      <c r="F8" s="106">
        <f>20*16*F7*avail*dispatch*F5/12</f>
        <v>160000</v>
      </c>
      <c r="G8" s="106">
        <f t="shared" ref="G8:M8" si="4">20*16*G7*avail*dispatch*G5/12</f>
        <v>160000</v>
      </c>
      <c r="H8" s="106">
        <f t="shared" si="4"/>
        <v>160000</v>
      </c>
      <c r="I8" s="106">
        <f t="shared" si="4"/>
        <v>160000</v>
      </c>
      <c r="J8" s="106">
        <f t="shared" si="4"/>
        <v>160000</v>
      </c>
      <c r="K8" s="106">
        <f t="shared" si="4"/>
        <v>160000</v>
      </c>
      <c r="L8" s="106">
        <f t="shared" si="4"/>
        <v>160000</v>
      </c>
      <c r="M8" s="106">
        <f t="shared" si="4"/>
        <v>160000</v>
      </c>
      <c r="N8" s="37"/>
    </row>
    <row r="9" spans="1:14" x14ac:dyDescent="0.2">
      <c r="A9" s="85" t="s">
        <v>361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37"/>
    </row>
    <row r="10" spans="1:14" x14ac:dyDescent="0.2">
      <c r="A10" s="85" t="s">
        <v>121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37"/>
    </row>
    <row r="11" spans="1:14" x14ac:dyDescent="0.2">
      <c r="A11" s="47" t="s">
        <v>349</v>
      </c>
      <c r="B11" s="49"/>
      <c r="C11" s="49"/>
      <c r="D11" s="370">
        <f>ASS!U31*ASS!U32*capacity*ASS!U33</f>
        <v>3200</v>
      </c>
      <c r="E11" s="370">
        <f>ASS!V31*ASS!V32*capacity*ASS!V33</f>
        <v>2400</v>
      </c>
      <c r="F11" s="370">
        <f>ASS!W31*ASS!W32*capacity*ASS!W33</f>
        <v>1600</v>
      </c>
      <c r="G11" s="370">
        <f>ASS!W31*ASS!W32*capacity*ASS!W33</f>
        <v>1600</v>
      </c>
      <c r="H11" s="370">
        <f>ASS!W31*ASS!W32*capacity*ASS!W33</f>
        <v>1600</v>
      </c>
      <c r="I11" s="370">
        <f>ASS!W31*ASS!W32*capacity*ASS!W33</f>
        <v>1600</v>
      </c>
      <c r="J11" s="370">
        <f>ASS!W31*ASS!W32*capacity*ASS!W33</f>
        <v>1600</v>
      </c>
      <c r="K11" s="370">
        <f>ASS!W31*ASS!W32*capacity*ASS!W33</f>
        <v>1600</v>
      </c>
      <c r="L11" s="370">
        <f>ASS!W31*ASS!W32*capacity*ASS!W33</f>
        <v>1600</v>
      </c>
      <c r="M11" s="370">
        <f>ASS!W31*ASS!W32*capacity*ASS!W33</f>
        <v>1600</v>
      </c>
      <c r="N11" s="68">
        <f>SUM(D11:M11)</f>
        <v>18400</v>
      </c>
    </row>
    <row r="12" spans="1:14" x14ac:dyDescent="0.2">
      <c r="A12" s="47" t="s">
        <v>335</v>
      </c>
      <c r="B12" s="49"/>
      <c r="C12" s="49"/>
      <c r="D12" s="320">
        <f>ASS!U34</f>
        <v>3300</v>
      </c>
      <c r="E12" s="320">
        <f>ASS!V34</f>
        <v>3300</v>
      </c>
      <c r="F12" s="320">
        <f>ASS!W34</f>
        <v>3300</v>
      </c>
      <c r="G12" s="320">
        <f>ASS!W34</f>
        <v>3300</v>
      </c>
      <c r="H12" s="320">
        <f>ASS!W34</f>
        <v>3300</v>
      </c>
      <c r="I12" s="320">
        <f>ASS!W34</f>
        <v>3300</v>
      </c>
      <c r="J12" s="320">
        <f>ASS!W34</f>
        <v>3300</v>
      </c>
      <c r="K12" s="320">
        <f>ASS!W34</f>
        <v>3300</v>
      </c>
      <c r="L12" s="320">
        <f>ASS!W34</f>
        <v>3300</v>
      </c>
      <c r="M12" s="320">
        <f>ASS!W34</f>
        <v>3300</v>
      </c>
      <c r="N12" s="68">
        <f>SUM(D12:M12)</f>
        <v>33000</v>
      </c>
    </row>
    <row r="13" spans="1:14" x14ac:dyDescent="0.2">
      <c r="A13" s="47" t="s">
        <v>350</v>
      </c>
      <c r="B13" s="49"/>
      <c r="C13" s="49"/>
      <c r="D13" s="321">
        <f>ASS!U35</f>
        <v>600</v>
      </c>
      <c r="E13" s="321">
        <f>ASS!V35</f>
        <v>500</v>
      </c>
      <c r="F13" s="321">
        <f>ASS!W35</f>
        <v>400</v>
      </c>
      <c r="G13" s="321">
        <f>ASS!W35</f>
        <v>400</v>
      </c>
      <c r="H13" s="321">
        <f>ASS!W35</f>
        <v>400</v>
      </c>
      <c r="I13" s="321">
        <f>ASS!W35</f>
        <v>400</v>
      </c>
      <c r="J13" s="321">
        <f>ASS!W35</f>
        <v>400</v>
      </c>
      <c r="K13" s="321">
        <f>ASS!W35</f>
        <v>400</v>
      </c>
      <c r="L13" s="321">
        <f>ASS!W35</f>
        <v>400</v>
      </c>
      <c r="M13" s="321">
        <f>ASS!W35</f>
        <v>400</v>
      </c>
      <c r="N13" s="385">
        <f>SUM(D13:M13)</f>
        <v>4300</v>
      </c>
    </row>
    <row r="14" spans="1:14" x14ac:dyDescent="0.2">
      <c r="A14" s="47" t="s">
        <v>336</v>
      </c>
      <c r="B14" s="49"/>
      <c r="C14" s="49"/>
      <c r="D14" s="320">
        <f>SUM(D11:D13)</f>
        <v>7100</v>
      </c>
      <c r="E14" s="320">
        <f>SUM(E11:E13)</f>
        <v>6200</v>
      </c>
      <c r="F14" s="320">
        <f>SUM(F11:F13)</f>
        <v>5300</v>
      </c>
      <c r="G14" s="320">
        <f t="shared" ref="G14:M14" si="5">SUM(G11:G13)</f>
        <v>5300</v>
      </c>
      <c r="H14" s="320">
        <f t="shared" si="5"/>
        <v>5300</v>
      </c>
      <c r="I14" s="320">
        <f t="shared" si="5"/>
        <v>5300</v>
      </c>
      <c r="J14" s="320">
        <f t="shared" si="5"/>
        <v>5300</v>
      </c>
      <c r="K14" s="320">
        <f t="shared" si="5"/>
        <v>5300</v>
      </c>
      <c r="L14" s="320">
        <f t="shared" si="5"/>
        <v>5300</v>
      </c>
      <c r="M14" s="320">
        <f t="shared" si="5"/>
        <v>5300</v>
      </c>
      <c r="N14" s="68">
        <f>SUM(D14:M14)</f>
        <v>55700</v>
      </c>
    </row>
    <row r="15" spans="1:14" x14ac:dyDescent="0.2">
      <c r="A15" s="85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68">
        <f>SUM(D15:F15)</f>
        <v>0</v>
      </c>
    </row>
    <row r="16" spans="1:14" x14ac:dyDescent="0.2">
      <c r="A16" s="47" t="s">
        <v>317</v>
      </c>
      <c r="B16" s="49"/>
      <c r="C16" s="49"/>
      <c r="D16" s="115">
        <f>ASS!$D$62*BS_IS!F7*D5/12</f>
        <v>0</v>
      </c>
      <c r="E16" s="115">
        <f>ASS!$D$62*BS_IS!G7*E5/12</f>
        <v>0</v>
      </c>
      <c r="F16" s="115">
        <f>ASS!$D$62*BS_IS!H7*F5/12</f>
        <v>0</v>
      </c>
      <c r="G16" s="115">
        <f>ASS!$D$62*BS_IS!I7*G5/12</f>
        <v>0</v>
      </c>
      <c r="H16" s="115">
        <f>ASS!$D$62*BS_IS!Q7*H5/12</f>
        <v>0</v>
      </c>
      <c r="I16" s="115">
        <f>ASS!$D$62*BS_IS!R7*I5/12</f>
        <v>0</v>
      </c>
      <c r="J16" s="115">
        <f>ASS!$D$62*BS_IS!S7*J5/12</f>
        <v>0</v>
      </c>
      <c r="K16" s="115">
        <f>ASS!$D$62*BS_IS!T7*K5/12</f>
        <v>0</v>
      </c>
      <c r="L16" s="115">
        <f>ASS!$D$62*BS_IS!U7*L5/12</f>
        <v>0</v>
      </c>
      <c r="M16" s="115">
        <f>ASS!$D$62*BS_IS!V7*M5/12</f>
        <v>0</v>
      </c>
      <c r="N16" s="68">
        <f>SUM(D16:F16)</f>
        <v>0</v>
      </c>
    </row>
    <row r="17" spans="1:14" x14ac:dyDescent="0.2">
      <c r="A17" s="47"/>
      <c r="B17" s="49"/>
      <c r="C17" s="49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68">
        <f>SUM(D17:F17)</f>
        <v>0</v>
      </c>
    </row>
    <row r="18" spans="1:14" x14ac:dyDescent="0.2">
      <c r="A18" s="85" t="s">
        <v>316</v>
      </c>
      <c r="B18" s="49"/>
      <c r="C18" s="49"/>
      <c r="D18" s="142">
        <f>D14+D16</f>
        <v>7100</v>
      </c>
      <c r="E18" s="142">
        <f>E14+E16</f>
        <v>6200</v>
      </c>
      <c r="F18" s="142">
        <f>F14+F16</f>
        <v>5300</v>
      </c>
      <c r="G18" s="142">
        <f t="shared" ref="G18:M18" si="6">G14+G16</f>
        <v>5300</v>
      </c>
      <c r="H18" s="142">
        <f t="shared" si="6"/>
        <v>5300</v>
      </c>
      <c r="I18" s="142">
        <f t="shared" si="6"/>
        <v>5300</v>
      </c>
      <c r="J18" s="142">
        <f t="shared" si="6"/>
        <v>5300</v>
      </c>
      <c r="K18" s="142">
        <f t="shared" si="6"/>
        <v>5300</v>
      </c>
      <c r="L18" s="142">
        <f t="shared" si="6"/>
        <v>5300</v>
      </c>
      <c r="M18" s="142">
        <f t="shared" si="6"/>
        <v>5300</v>
      </c>
      <c r="N18" s="68">
        <f>SUM(D18:M18)</f>
        <v>55700</v>
      </c>
    </row>
    <row r="19" spans="1:14" x14ac:dyDescent="0.2">
      <c r="A19" s="47"/>
      <c r="B19" s="49"/>
      <c r="C19" s="49"/>
      <c r="D19" s="275"/>
      <c r="E19" s="49"/>
      <c r="F19" s="49"/>
      <c r="G19" s="49"/>
      <c r="H19" s="49"/>
      <c r="I19" s="49"/>
      <c r="J19" s="49"/>
      <c r="K19" s="49"/>
      <c r="L19" s="49"/>
      <c r="M19" s="49"/>
      <c r="N19" s="37"/>
    </row>
    <row r="20" spans="1:14" x14ac:dyDescent="0.2">
      <c r="A20" s="47"/>
      <c r="B20" s="49"/>
      <c r="C20" s="49"/>
      <c r="D20" s="275"/>
      <c r="E20" s="268"/>
      <c r="F20" s="268"/>
      <c r="G20" s="268"/>
      <c r="H20" s="268"/>
      <c r="I20" s="268"/>
      <c r="J20" s="268"/>
      <c r="K20" s="268"/>
      <c r="L20" s="268"/>
      <c r="M20" s="268"/>
      <c r="N20" s="37"/>
    </row>
    <row r="21" spans="1:14" x14ac:dyDescent="0.2">
      <c r="A21" s="85" t="s">
        <v>122</v>
      </c>
      <c r="B21" s="49"/>
      <c r="C21" s="49"/>
      <c r="D21" s="268"/>
      <c r="E21" s="276"/>
      <c r="F21" s="49"/>
      <c r="G21" s="49"/>
      <c r="H21" s="49"/>
      <c r="I21" s="49"/>
      <c r="J21" s="49"/>
      <c r="K21" s="49"/>
      <c r="L21" s="49"/>
      <c r="M21" s="49"/>
      <c r="N21" s="37"/>
    </row>
    <row r="22" spans="1:14" x14ac:dyDescent="0.2">
      <c r="A22" s="47"/>
      <c r="B22" s="49"/>
      <c r="C22" s="49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67"/>
    </row>
    <row r="23" spans="1:14" x14ac:dyDescent="0.2">
      <c r="A23" s="101" t="s">
        <v>123</v>
      </c>
      <c r="B23" s="49"/>
      <c r="C23" s="49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67"/>
    </row>
    <row r="24" spans="1:14" x14ac:dyDescent="0.2">
      <c r="A24" s="101" t="s">
        <v>124</v>
      </c>
      <c r="B24" s="49"/>
      <c r="C24" s="49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67"/>
    </row>
    <row r="25" spans="1:14" x14ac:dyDescent="0.2">
      <c r="A25" s="47" t="str">
        <f>ASS!A42</f>
        <v>Miscellaneous O&amp;M</v>
      </c>
      <c r="B25" s="49"/>
      <c r="C25" s="49"/>
      <c r="D25" s="115">
        <f>ASS!$C$42*(1+ASS!$E$42)^(D4-ASS!$C$41)*D5/12</f>
        <v>48.96</v>
      </c>
      <c r="E25" s="115">
        <f>ASS!$C$42*(1+ASS!$E$42)^(E4-ASS!$C$41)*E5/12</f>
        <v>49.9392</v>
      </c>
      <c r="F25" s="115">
        <f>ASS!$C$42*(1+ASS!$E$42)^(F4-ASS!$C$41)*F5/12</f>
        <v>50.937984</v>
      </c>
      <c r="G25" s="115">
        <f>ASS!$C$42*(1+ASS!$E$42)^(G4-ASS!$C$41)*G5/12</f>
        <v>51.95674368000001</v>
      </c>
      <c r="H25" s="115">
        <f>ASS!$C$42*(1+ASS!$E$42)^(H4-ASS!$C$41)*H5/12</f>
        <v>52.995878553600001</v>
      </c>
      <c r="I25" s="115">
        <f>ASS!$C$42*(1+ASS!$E$42)^(I4-ASS!$C$41)*I5/12</f>
        <v>54.055796124672007</v>
      </c>
      <c r="J25" s="115">
        <f>ASS!$C$42*(1+ASS!$E$42)^(J4-ASS!$C$41)*J5/12</f>
        <v>55.136912047165431</v>
      </c>
      <c r="K25" s="115">
        <f>ASS!$C$42*(1+ASS!$E$42)^(K4-ASS!$C$41)*K5/12</f>
        <v>56.239650288108749</v>
      </c>
      <c r="L25" s="115">
        <f>ASS!$C$42*(1+ASS!$E$42)^(L4-ASS!$C$41)*L5/12</f>
        <v>57.36444329387092</v>
      </c>
      <c r="M25" s="115">
        <f>ASS!$C$42*(1+ASS!$E$42)^(M4-ASS!$C$41)*M5/12</f>
        <v>58.511732159748341</v>
      </c>
      <c r="N25" s="67">
        <f t="shared" ref="N25:N37" si="7">SUM(D25:M25)</f>
        <v>536.09834014716546</v>
      </c>
    </row>
    <row r="26" spans="1:14" x14ac:dyDescent="0.2">
      <c r="A26" s="47" t="str">
        <f>ASS!A43</f>
        <v>Miscellaneous G&amp;A</v>
      </c>
      <c r="B26" s="49"/>
      <c r="C26" s="49"/>
      <c r="D26" s="115">
        <f>ASS!$C$43*(1+ASS!$E$43)^(D4-ASS!$C$41)*D5/12</f>
        <v>0</v>
      </c>
      <c r="E26" s="115">
        <f>ASS!$C$43*(1+ASS!$E$43)^(E4-ASS!$C$41)*E5/12</f>
        <v>0</v>
      </c>
      <c r="F26" s="115">
        <f>ASS!$C$43*(1+ASS!$E$43)^(F4-ASS!$C$41)*F5/12</f>
        <v>0</v>
      </c>
      <c r="G26" s="115">
        <f>ASS!$C$43*(1+ASS!$E$43)^(G4-ASS!$C$41)*G5/12</f>
        <v>0</v>
      </c>
      <c r="H26" s="115">
        <f>ASS!$C$43*(1+ASS!$E$43)^(H4-ASS!$C$41)*H5/12</f>
        <v>0</v>
      </c>
      <c r="I26" s="115">
        <f>ASS!$C$43*(1+ASS!$E$43)^(I4-ASS!$C$41)*I5/12</f>
        <v>0</v>
      </c>
      <c r="J26" s="115">
        <f>ASS!$C$43*(1+ASS!$E$43)^(J4-ASS!$C$41)*J5/12</f>
        <v>0</v>
      </c>
      <c r="K26" s="115">
        <f>ASS!$C$43*(1+ASS!$E$43)^(K4-ASS!$C$41)*K5/12</f>
        <v>0</v>
      </c>
      <c r="L26" s="115">
        <f>ASS!$C$43*(1+ASS!$E$43)^(L4-ASS!$C$41)*L5/12</f>
        <v>0</v>
      </c>
      <c r="M26" s="115">
        <f>ASS!$C$43*(1+ASS!$E$43)^(M4-ASS!$C$41)*M5/12</f>
        <v>0</v>
      </c>
      <c r="N26" s="67">
        <f t="shared" si="7"/>
        <v>0</v>
      </c>
    </row>
    <row r="27" spans="1:14" x14ac:dyDescent="0.2">
      <c r="A27" s="47" t="str">
        <f>ASS!A44</f>
        <v>Maintenance Reserve</v>
      </c>
      <c r="B27" s="49"/>
      <c r="C27" s="49"/>
      <c r="D27" s="115">
        <f>ASS!$C$44*(1+ASS!$E$44)^(D4-ASS!$C$41)*D5/12</f>
        <v>0</v>
      </c>
      <c r="E27" s="115">
        <f>ASS!$C$44*(1+ASS!$E$44)^(E4-ASS!$C$41)*E5/12</f>
        <v>0</v>
      </c>
      <c r="F27" s="115">
        <f>ASS!$C$44*(1+ASS!$E$44)^(F4-ASS!$C$41)*F5/12</f>
        <v>0</v>
      </c>
      <c r="G27" s="115">
        <f>ASS!$C$44*(1+ASS!$E$44)^(G4-ASS!$C$41)*G5/12</f>
        <v>0</v>
      </c>
      <c r="H27" s="115">
        <f>ASS!$C$44*(1+ASS!$E$44)^(H4-ASS!$C$41)*H5/12</f>
        <v>0</v>
      </c>
      <c r="I27" s="115">
        <f>ASS!$C$44*(1+ASS!$E$44)^(I4-ASS!$C$41)*I5/12</f>
        <v>0</v>
      </c>
      <c r="J27" s="115">
        <f>ASS!$C$44*(1+ASS!$E$44)^(J4-ASS!$C$41)*J5/12</f>
        <v>0</v>
      </c>
      <c r="K27" s="115">
        <f>ASS!$C$44*(1+ASS!$E$44)^(K4-ASS!$C$41)*K5/12</f>
        <v>0</v>
      </c>
      <c r="L27" s="115">
        <f>ASS!$C$44*(1+ASS!$E$44)^(L4-ASS!$C$41)*L5/12</f>
        <v>0</v>
      </c>
      <c r="M27" s="115">
        <f>ASS!$C$44*(1+ASS!$E$44)^(M4-ASS!$C$41)*M5/12</f>
        <v>0</v>
      </c>
      <c r="N27" s="67">
        <f t="shared" si="7"/>
        <v>0</v>
      </c>
    </row>
    <row r="28" spans="1:14" x14ac:dyDescent="0.2">
      <c r="A28" s="47" t="str">
        <f>ASS!A45</f>
        <v>Plant Insurance</v>
      </c>
      <c r="B28" s="49"/>
      <c r="C28" s="49"/>
      <c r="D28" s="115">
        <f>ASS!$C$45*(1+ASS!$E$45)^(D4-ASS!$C$41)*D5/12</f>
        <v>0</v>
      </c>
      <c r="E28" s="115">
        <f>ASS!$C$45*(1+ASS!$E$45)^(E4-ASS!$C$41)*E5/12</f>
        <v>0</v>
      </c>
      <c r="F28" s="115">
        <f>ASS!$C$45*(1+ASS!$E$45)^(F4-ASS!$C$41)*F5/12</f>
        <v>0</v>
      </c>
      <c r="G28" s="115">
        <f>ASS!$C$45*(1+ASS!$E$45)^(G4-ASS!$C$41)*G5/12</f>
        <v>0</v>
      </c>
      <c r="H28" s="115">
        <f>ASS!$C$45*(1+ASS!$E$45)^(H4-ASS!$C$41)*H5/12</f>
        <v>0</v>
      </c>
      <c r="I28" s="115">
        <f>ASS!$C$45*(1+ASS!$E$45)^(I4-ASS!$C$41)*I5/12</f>
        <v>0</v>
      </c>
      <c r="J28" s="115">
        <f>ASS!$C$45*(1+ASS!$E$45)^(J4-ASS!$C$41)*J5/12</f>
        <v>0</v>
      </c>
      <c r="K28" s="115">
        <f>ASS!$C$45*(1+ASS!$E$45)^(K4-ASS!$C$41)*K5/12</f>
        <v>0</v>
      </c>
      <c r="L28" s="115">
        <f>ASS!$C$45*(1+ASS!$E$45)^(L4-ASS!$C$41)*L5/12</f>
        <v>0</v>
      </c>
      <c r="M28" s="115">
        <f>ASS!$C$45*(1+ASS!$E$45)^(M4-ASS!$C$41)*M5/12</f>
        <v>0</v>
      </c>
      <c r="N28" s="67">
        <f t="shared" si="7"/>
        <v>0</v>
      </c>
    </row>
    <row r="29" spans="1:14" x14ac:dyDescent="0.2">
      <c r="A29" s="47" t="str">
        <f>ASS!A46</f>
        <v>Payroll</v>
      </c>
      <c r="B29" s="49"/>
      <c r="C29" s="49"/>
      <c r="D29" s="115">
        <f>ASS!$C$46*(1+ASS!$E$46)^(D4-ASS!$C$41)*D5/12</f>
        <v>0</v>
      </c>
      <c r="E29" s="115">
        <f>ASS!$C$46*(1+ASS!$E$46)^(E4-ASS!$C$41)*E5/12</f>
        <v>0</v>
      </c>
      <c r="F29" s="115">
        <f>ASS!$C$46*(1+ASS!$E$46)^(F4-ASS!$C$41)*F5/12</f>
        <v>0</v>
      </c>
      <c r="G29" s="115">
        <f>ASS!$C$46*(1+ASS!$E$46)^(G4-ASS!$C$41)*G5/12</f>
        <v>0</v>
      </c>
      <c r="H29" s="115">
        <f>ASS!$C$46*(1+ASS!$E$46)^(H4-ASS!$C$41)*H5/12</f>
        <v>0</v>
      </c>
      <c r="I29" s="115">
        <f>ASS!$C$46*(1+ASS!$E$46)^(I4-ASS!$C$41)*I5/12</f>
        <v>0</v>
      </c>
      <c r="J29" s="115">
        <f>ASS!$C$46*(1+ASS!$E$46)^(J4-ASS!$C$41)*J5/12</f>
        <v>0</v>
      </c>
      <c r="K29" s="115">
        <f>ASS!$C$46*(1+ASS!$E$46)^(K4-ASS!$C$41)*K5/12</f>
        <v>0</v>
      </c>
      <c r="L29" s="115">
        <f>ASS!$C$46*(1+ASS!$E$46)^(L4-ASS!$C$41)*L5/12</f>
        <v>0</v>
      </c>
      <c r="M29" s="115">
        <f>ASS!$C$46*(1+ASS!$E$46)^(M4-ASS!$C$41)*M5/12</f>
        <v>0</v>
      </c>
      <c r="N29" s="67">
        <f t="shared" si="7"/>
        <v>0</v>
      </c>
    </row>
    <row r="30" spans="1:14" x14ac:dyDescent="0.2">
      <c r="A30" s="47" t="str">
        <f>ASS!A47</f>
        <v xml:space="preserve">Spare Parts </v>
      </c>
      <c r="B30" s="49"/>
      <c r="C30" s="49"/>
      <c r="D30" s="115">
        <f>ASS!$C$47*(1+ASS!$E$47)^(D4-ASS!$C$41)*D5/12</f>
        <v>0</v>
      </c>
      <c r="E30" s="115">
        <f>ASS!$C$47*(1+ASS!$E$47)^(E4-ASS!$C$41)*E5/12</f>
        <v>0</v>
      </c>
      <c r="F30" s="115">
        <f>ASS!$C$47*(1+ASS!$E$47)^(F4-ASS!$C$41)*F5/12</f>
        <v>0</v>
      </c>
      <c r="G30" s="115">
        <f>ASS!$C$47*(1+ASS!$E$47)^(G4-ASS!$C$41)*G5/12</f>
        <v>0</v>
      </c>
      <c r="H30" s="115">
        <f>ASS!$C$47*(1+ASS!$E$47)^(H4-ASS!$C$41)*H5/12</f>
        <v>0</v>
      </c>
      <c r="I30" s="115">
        <f>ASS!$C$47*(1+ASS!$E$47)^(I4-ASS!$C$41)*I5/12</f>
        <v>0</v>
      </c>
      <c r="J30" s="115">
        <f>ASS!$C$47*(1+ASS!$E$47)^(J4-ASS!$C$41)*J5/12</f>
        <v>0</v>
      </c>
      <c r="K30" s="115">
        <f>ASS!$C$47*(1+ASS!$E$47)^(K4-ASS!$C$41)*K5/12</f>
        <v>0</v>
      </c>
      <c r="L30" s="115">
        <f>ASS!$C$47*(1+ASS!$E$47)^(L4-ASS!$C$41)*L5/12</f>
        <v>0</v>
      </c>
      <c r="M30" s="115">
        <f>ASS!$C$47*(1+ASS!$E$47)^(M4-ASS!$C$41)*M5/12</f>
        <v>0</v>
      </c>
      <c r="N30" s="67">
        <f t="shared" si="7"/>
        <v>0</v>
      </c>
    </row>
    <row r="31" spans="1:14" x14ac:dyDescent="0.2">
      <c r="A31" s="47" t="str">
        <f>ASS!A48</f>
        <v>Water &amp; Chemicals</v>
      </c>
      <c r="B31" s="49"/>
      <c r="C31" s="49"/>
      <c r="D31" s="115">
        <f>ASS!$C$48*(1+ASS!$E$48)^(D4-ASS!$C$41)*D5/12</f>
        <v>0</v>
      </c>
      <c r="E31" s="115">
        <f>ASS!$C$48*(1+ASS!$E$48)^(E4-ASS!$C$41)*E5/12</f>
        <v>0</v>
      </c>
      <c r="F31" s="115">
        <f>ASS!$C$48*(1+ASS!$E$48)^(F4-ASS!$C$41)*F5/12</f>
        <v>0</v>
      </c>
      <c r="G31" s="115">
        <f>ASS!$C$48*(1+ASS!$E$48)^(G4-ASS!$C$41)*G5/12</f>
        <v>0</v>
      </c>
      <c r="H31" s="115">
        <f>ASS!$C$48*(1+ASS!$E$48)^(H4-ASS!$C$41)*H5/12</f>
        <v>0</v>
      </c>
      <c r="I31" s="115">
        <f>ASS!$C$48*(1+ASS!$E$48)^(I4-ASS!$C$41)*I5/12</f>
        <v>0</v>
      </c>
      <c r="J31" s="115">
        <f>ASS!$C$48*(1+ASS!$E$48)^(J4-ASS!$C$41)*J5/12</f>
        <v>0</v>
      </c>
      <c r="K31" s="115">
        <f>ASS!$C$48*(1+ASS!$E$48)^(K4-ASS!$C$41)*K5/12</f>
        <v>0</v>
      </c>
      <c r="L31" s="115">
        <f>ASS!$C$48*(1+ASS!$E$48)^(L4-ASS!$C$41)*L5/12</f>
        <v>0</v>
      </c>
      <c r="M31" s="115">
        <f>ASS!$C$48*(1+ASS!$E$48)^(M4-ASS!$C$41)*M5/12</f>
        <v>0</v>
      </c>
      <c r="N31" s="67">
        <f t="shared" si="7"/>
        <v>0</v>
      </c>
    </row>
    <row r="32" spans="1:14" x14ac:dyDescent="0.2">
      <c r="A32" s="47" t="str">
        <f>ASS!A49</f>
        <v>Plant Operations (O&amp;M Fee)</v>
      </c>
      <c r="B32" s="49"/>
      <c r="C32" s="49"/>
      <c r="D32" s="115">
        <f>ASS!$C$49*(1+ASS!$E$49)^(D4-ASS!$C$41)*D5/12</f>
        <v>0</v>
      </c>
      <c r="E32" s="115">
        <f>ASS!$C$49*(1+ASS!$E$49)^(E4-ASS!$C$41)*E5/12</f>
        <v>0</v>
      </c>
      <c r="F32" s="115">
        <f>ASS!$C$49*(1+ASS!$E$49)^(F4-ASS!$C$41)*F5/12</f>
        <v>0</v>
      </c>
      <c r="G32" s="115">
        <f>ASS!$C$49*(1+ASS!$E$49)^(G4-ASS!$C$41)*G5/12</f>
        <v>0</v>
      </c>
      <c r="H32" s="115">
        <f>ASS!$C$49*(1+ASS!$E$49)^(H4-ASS!$C$41)*H5/12</f>
        <v>0</v>
      </c>
      <c r="I32" s="115">
        <f>ASS!$C$49*(1+ASS!$E$49)^(I4-ASS!$C$41)*I5/12</f>
        <v>0</v>
      </c>
      <c r="J32" s="115">
        <f>ASS!$C$49*(1+ASS!$E$49)^(J4-ASS!$C$41)*J5/12</f>
        <v>0</v>
      </c>
      <c r="K32" s="115">
        <f>ASS!$C$49*(1+ASS!$E$49)^(K4-ASS!$C$41)*K5/12</f>
        <v>0</v>
      </c>
      <c r="L32" s="115">
        <f>ASS!$C$49*(1+ASS!$E$49)^(L4-ASS!$C$41)*L5/12</f>
        <v>0</v>
      </c>
      <c r="M32" s="115">
        <f>ASS!$C$49*(1+ASS!$E$49)^(M4-ASS!$C$41)*M5/12</f>
        <v>0</v>
      </c>
      <c r="N32" s="67">
        <f t="shared" si="7"/>
        <v>0</v>
      </c>
    </row>
    <row r="33" spans="1:14" x14ac:dyDescent="0.2">
      <c r="A33" s="47" t="str">
        <f>ASS!A50</f>
        <v>Transmission Capacity Pmt.</v>
      </c>
      <c r="B33" s="49"/>
      <c r="C33" s="210"/>
      <c r="D33" s="210">
        <f>ASS!$C$50*(1+ASS!$E$50)^(D4-ASS!$C$41)*D5/12</f>
        <v>0</v>
      </c>
      <c r="E33" s="115">
        <f>ASS!$C$50*(1+ASS!$E$50)^(E4-ASS!$C$41)*E5/12</f>
        <v>0</v>
      </c>
      <c r="F33" s="115">
        <f>ASS!$C$50*(1+ASS!$E$50)^(F4-ASS!$C$41)*F5/12</f>
        <v>0</v>
      </c>
      <c r="G33" s="115">
        <f>ASS!$C$50*(1+ASS!$E$50)^(G4-ASS!$C$41)*G5/12</f>
        <v>0</v>
      </c>
      <c r="H33" s="115">
        <f>ASS!$C$50*(1+ASS!$E$50)^(H4-ASS!$C$41)*H5/12</f>
        <v>0</v>
      </c>
      <c r="I33" s="115">
        <f>ASS!$C$50*(1+ASS!$E$50)^(I4-ASS!$C$41)*I5/12</f>
        <v>0</v>
      </c>
      <c r="J33" s="115">
        <f>ASS!$C$50*(1+ASS!$E$50)^(J4-ASS!$C$41)*J5/12</f>
        <v>0</v>
      </c>
      <c r="K33" s="115">
        <f>ASS!$C$50*(1+ASS!$E$50)^(K4-ASS!$C$41)*K5/12</f>
        <v>0</v>
      </c>
      <c r="L33" s="115">
        <f>ASS!$C$50*(1+ASS!$E$50)^(L4-ASS!$C$41)*L5/12</f>
        <v>0</v>
      </c>
      <c r="M33" s="115">
        <f>ASS!$C$50*(1+ASS!$E$50)^(M4-ASS!$C$41)*M5/12</f>
        <v>0</v>
      </c>
      <c r="N33" s="67">
        <f t="shared" si="7"/>
        <v>0</v>
      </c>
    </row>
    <row r="34" spans="1:14" x14ac:dyDescent="0.2">
      <c r="A34" s="47" t="str">
        <f>ASS!A51</f>
        <v>Pipeline Operations</v>
      </c>
      <c r="B34" s="49"/>
      <c r="C34" s="49"/>
      <c r="D34" s="115">
        <f>ASS!$C$51*(1+ASS!$E$51)^(D4-ASS!$C$41)*D5/12</f>
        <v>0</v>
      </c>
      <c r="E34" s="115">
        <f>ASS!$C$51*(1+ASS!$E$51)^(E4-ASS!$C$41)*E5/12</f>
        <v>0</v>
      </c>
      <c r="F34" s="115">
        <f>ASS!$C$51*(1+ASS!$E$51)^(F4-ASS!$C$41)*F5/12</f>
        <v>0</v>
      </c>
      <c r="G34" s="115">
        <f>ASS!$C$51*(1+ASS!$E$51)^(G4-ASS!$C$41)*G5/12</f>
        <v>0</v>
      </c>
      <c r="H34" s="115">
        <f>ASS!$C$51*(1+ASS!$E$51)^(H4-ASS!$C$41)*H5/12</f>
        <v>0</v>
      </c>
      <c r="I34" s="115">
        <f>ASS!$C$51*(1+ASS!$E$51)^(I4-ASS!$C$41)*I5/12</f>
        <v>0</v>
      </c>
      <c r="J34" s="115">
        <f>ASS!$C$51*(1+ASS!$E$51)^(J4-ASS!$C$41)*J5/12</f>
        <v>0</v>
      </c>
      <c r="K34" s="115">
        <f>ASS!$C$51*(1+ASS!$E$51)^(K4-ASS!$C$41)*K5/12</f>
        <v>0</v>
      </c>
      <c r="L34" s="115">
        <f>ASS!$C$51*(1+ASS!$E$51)^(L4-ASS!$C$41)*L5/12</f>
        <v>0</v>
      </c>
      <c r="M34" s="115">
        <f>ASS!$C$51*(1+ASS!$E$51)^(M4-ASS!$C$41)*M5/12</f>
        <v>0</v>
      </c>
      <c r="N34" s="67">
        <f t="shared" si="7"/>
        <v>0</v>
      </c>
    </row>
    <row r="35" spans="1:14" x14ac:dyDescent="0.2">
      <c r="A35" s="47" t="str">
        <f>ASS!A52</f>
        <v>Other</v>
      </c>
      <c r="B35" s="49"/>
      <c r="C35" s="49"/>
      <c r="D35" s="115">
        <f>ASS!$C$52*(1+ASS!$E$52)^(D4-ASS!$C$41)*D5/12</f>
        <v>0</v>
      </c>
      <c r="E35" s="115">
        <f>ASS!$C$52*(1+ASS!$E$52)^(E4-ASS!$C$41)*E5/12</f>
        <v>0</v>
      </c>
      <c r="F35" s="115">
        <f>ASS!$C$52*(1+ASS!$E$52)^(F4-ASS!$C$41)*F5/12</f>
        <v>0</v>
      </c>
      <c r="G35" s="115">
        <f>ASS!$C$52*(1+ASS!$E$52)^(G4-ASS!$C$41)*G5/12</f>
        <v>0</v>
      </c>
      <c r="H35" s="115">
        <f>ASS!$C$52*(1+ASS!$E$52)^(H4-ASS!$C$41)*H5/12</f>
        <v>0</v>
      </c>
      <c r="I35" s="115">
        <f>ASS!$C$52*(1+ASS!$E$52)^(I4-ASS!$C$41)*I5/12</f>
        <v>0</v>
      </c>
      <c r="J35" s="115">
        <f>ASS!$C$52*(1+ASS!$E$52)^(J4-ASS!$C$41)*J5/12</f>
        <v>0</v>
      </c>
      <c r="K35" s="115">
        <f>ASS!$C$52*(1+ASS!$E$52)^(K4-ASS!$C$41)*K5/12</f>
        <v>0</v>
      </c>
      <c r="L35" s="115">
        <f>ASS!$C$52*(1+ASS!$E$52)^(L4-ASS!$C$41)*L5/12</f>
        <v>0</v>
      </c>
      <c r="M35" s="115">
        <f>ASS!$C$52*(1+ASS!$E$52)^(M4-ASS!$C$41)*M5/12</f>
        <v>0</v>
      </c>
      <c r="N35" s="67">
        <f t="shared" si="7"/>
        <v>0</v>
      </c>
    </row>
    <row r="36" spans="1:14" x14ac:dyDescent="0.2">
      <c r="A36" s="47" t="str">
        <f>ASS!A53</f>
        <v>Property Tax</v>
      </c>
      <c r="B36" s="49"/>
      <c r="C36" s="49"/>
      <c r="D36" s="116">
        <f>ASS!$C$53*(1+ASS!$E$53)^(D4-ASS!$C$41)*D5/12</f>
        <v>0</v>
      </c>
      <c r="E36" s="116">
        <f>ASS!$C$53*(1+ASS!$E$53)^(E4-ASS!$C$41)*E5/12</f>
        <v>0</v>
      </c>
      <c r="F36" s="116">
        <f>ASS!$C$53*(1+ASS!$E$53)^(F4-ASS!$C$41)*F5/12</f>
        <v>0</v>
      </c>
      <c r="G36" s="116">
        <f>ASS!$C$53*(1+ASS!$E$53)^(G4-ASS!$C$41)*G5/12</f>
        <v>0</v>
      </c>
      <c r="H36" s="116">
        <f>ASS!$C$53*(1+ASS!$E$53)^(H4-ASS!$C$41)*H5/12</f>
        <v>0</v>
      </c>
      <c r="I36" s="116">
        <f>ASS!$C$53*(1+ASS!$E$53)^(I4-ASS!$C$41)*I5/12</f>
        <v>0</v>
      </c>
      <c r="J36" s="116">
        <f>ASS!$C$53*(1+ASS!$E$53)^(J4-ASS!$C$41)*J5/12</f>
        <v>0</v>
      </c>
      <c r="K36" s="116">
        <f>ASS!$C$53*(1+ASS!$E$53)^(K4-ASS!$C$41)*K5/12</f>
        <v>0</v>
      </c>
      <c r="L36" s="116">
        <f>ASS!$C$53*(1+ASS!$E$53)^(L4-ASS!$C$41)*L5/12</f>
        <v>0</v>
      </c>
      <c r="M36" s="116">
        <f>ASS!$C$53*(1+ASS!$E$53)^(M4-ASS!$C$41)*M5/12</f>
        <v>0</v>
      </c>
      <c r="N36" s="72">
        <f t="shared" si="7"/>
        <v>0</v>
      </c>
    </row>
    <row r="37" spans="1:14" x14ac:dyDescent="0.2">
      <c r="A37" s="47" t="s">
        <v>125</v>
      </c>
      <c r="B37" s="49"/>
      <c r="C37" s="49"/>
      <c r="D37" s="115">
        <f>SUM(D25:D36)</f>
        <v>48.96</v>
      </c>
      <c r="E37" s="115">
        <f>SUM(E25:E36)</f>
        <v>49.9392</v>
      </c>
      <c r="F37" s="115">
        <f>SUM(F25:F36)</f>
        <v>50.937984</v>
      </c>
      <c r="G37" s="115">
        <f t="shared" ref="G37:M37" si="8">SUM(G25:G36)</f>
        <v>51.95674368000001</v>
      </c>
      <c r="H37" s="115">
        <f t="shared" si="8"/>
        <v>52.995878553600001</v>
      </c>
      <c r="I37" s="115">
        <f t="shared" si="8"/>
        <v>54.055796124672007</v>
      </c>
      <c r="J37" s="115">
        <f t="shared" si="8"/>
        <v>55.136912047165431</v>
      </c>
      <c r="K37" s="115">
        <f t="shared" si="8"/>
        <v>56.239650288108749</v>
      </c>
      <c r="L37" s="115">
        <f t="shared" si="8"/>
        <v>57.36444329387092</v>
      </c>
      <c r="M37" s="115">
        <f t="shared" si="8"/>
        <v>58.511732159748341</v>
      </c>
      <c r="N37" s="67">
        <f t="shared" si="7"/>
        <v>536.09834014716546</v>
      </c>
    </row>
    <row r="38" spans="1:14" x14ac:dyDescent="0.2">
      <c r="A38" s="47"/>
      <c r="B38" s="49"/>
      <c r="C38" s="49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67"/>
    </row>
    <row r="39" spans="1:14" x14ac:dyDescent="0.2">
      <c r="A39" s="101" t="s">
        <v>126</v>
      </c>
      <c r="B39" s="49"/>
      <c r="C39" s="49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67"/>
    </row>
    <row r="40" spans="1:14" x14ac:dyDescent="0.2">
      <c r="A40" s="47" t="str">
        <f>ASS!A58</f>
        <v>Maintenance Reserve</v>
      </c>
      <c r="B40" s="49"/>
      <c r="C40" s="210"/>
      <c r="D40" s="210">
        <f>ASS!$C$57*(1+ASS!$E$57)^(D4-ASS!$C$41)*D5/12</f>
        <v>0</v>
      </c>
      <c r="E40" s="115">
        <f>ASS!$C$57*(1+ASS!$E$57)^(E4-ASS!$C$41)*E5/12</f>
        <v>0</v>
      </c>
      <c r="F40" s="115">
        <f>ASS!$C$57*(1+ASS!$E$57)^(F4-ASS!$C$41)*F5/12</f>
        <v>0</v>
      </c>
      <c r="G40" s="115">
        <f>ASS!$C$57*(1+ASS!$E$57)^(G4-ASS!$C$41)*G5/12</f>
        <v>0</v>
      </c>
      <c r="H40" s="115">
        <f>ASS!$C$57*(1+ASS!$E$57)^(H4-ASS!$C$41)*H5/12</f>
        <v>0</v>
      </c>
      <c r="I40" s="115">
        <f>ASS!$C$57*(1+ASS!$E$57)^(I4-ASS!$C$41)*I5/12</f>
        <v>0</v>
      </c>
      <c r="J40" s="115">
        <f>ASS!$C$57*(1+ASS!$E$57)^(J4-ASS!$C$41)*J5/12</f>
        <v>0</v>
      </c>
      <c r="K40" s="115">
        <f>ASS!$C$57*(1+ASS!$E$57)^(K4-ASS!$C$41)*K5/12</f>
        <v>0</v>
      </c>
      <c r="L40" s="115">
        <f>ASS!$C$57*(1+ASS!$E$57)^(L4-ASS!$C$41)*L5/12</f>
        <v>0</v>
      </c>
      <c r="M40" s="115">
        <f>ASS!$C$57*(1+ASS!$E$57)^(M4-ASS!$C$41)*M5/12</f>
        <v>0</v>
      </c>
      <c r="N40" s="67">
        <f>SUM(D40:M40)</f>
        <v>0</v>
      </c>
    </row>
    <row r="41" spans="1:14" x14ac:dyDescent="0.2">
      <c r="A41" s="47" t="str">
        <f>ASS!A59</f>
        <v>Maintenance Excluding (Major Maint)</v>
      </c>
      <c r="B41" s="49"/>
      <c r="C41" s="49"/>
      <c r="D41" s="115">
        <f>ASS!$C$58*(1+ASS!$E$58)^(D4-ASS!$C$41)*D5/12</f>
        <v>0</v>
      </c>
      <c r="E41" s="115">
        <f>ASS!$C$58*(1+ASS!$E$58)^(E4-ASS!$C$41)*E5/12</f>
        <v>0</v>
      </c>
      <c r="F41" s="115">
        <f>ASS!$C$58*(1+ASS!$E$58)^(F4-ASS!$C$41)*F5/12</f>
        <v>0</v>
      </c>
      <c r="G41" s="115">
        <f>ASS!$C$58*(1+ASS!$E$58)^(G4-ASS!$C$41)*G5/12</f>
        <v>0</v>
      </c>
      <c r="H41" s="115">
        <f>ASS!$C$58*(1+ASS!$E$58)^(H4-ASS!$C$41)*H5/12</f>
        <v>0</v>
      </c>
      <c r="I41" s="115">
        <f>ASS!$C$58*(1+ASS!$E$58)^(I4-ASS!$C$41)*I5/12</f>
        <v>0</v>
      </c>
      <c r="J41" s="115">
        <f>ASS!$C$58*(1+ASS!$E$58)^(J4-ASS!$C$41)*J5/12</f>
        <v>0</v>
      </c>
      <c r="K41" s="115">
        <f>ASS!$C$58*(1+ASS!$E$58)^(K4-ASS!$C$41)*K5/12</f>
        <v>0</v>
      </c>
      <c r="L41" s="115">
        <f>ASS!$C$58*(1+ASS!$E$58)^(L4-ASS!$C$41)*L5/12</f>
        <v>0</v>
      </c>
      <c r="M41" s="115">
        <f>ASS!$C$58*(1+ASS!$E$58)^(M4-ASS!$C$41)*M5/12</f>
        <v>0</v>
      </c>
      <c r="N41" s="67">
        <f>SUM(D41:M41)</f>
        <v>0</v>
      </c>
    </row>
    <row r="42" spans="1:14" x14ac:dyDescent="0.2">
      <c r="A42" s="47" t="str">
        <f>ASS!A60</f>
        <v>Other</v>
      </c>
      <c r="B42" s="49"/>
      <c r="C42" s="49"/>
      <c r="D42" s="115">
        <f>ASS!$C$59*(1+ASS!$E$59)^(D4-ASS!$C$41)*D5/12</f>
        <v>0</v>
      </c>
      <c r="E42" s="115">
        <f>ASS!$C$59*(1+ASS!$E$59)^(E4-ASS!$C$41)*E5/12</f>
        <v>0</v>
      </c>
      <c r="F42" s="115">
        <f>ASS!$C$59*(1+ASS!$E$59)^(F4-ASS!$C$41)*F5/12</f>
        <v>0</v>
      </c>
      <c r="G42" s="115">
        <f>ASS!$C$59*(1+ASS!$E$59)^(G4-ASS!$C$41)*G5/12</f>
        <v>0</v>
      </c>
      <c r="H42" s="115">
        <f>ASS!$C$59*(1+ASS!$E$59)^(H4-ASS!$C$41)*H5/12</f>
        <v>0</v>
      </c>
      <c r="I42" s="115">
        <f>ASS!$C$59*(1+ASS!$E$59)^(I4-ASS!$C$41)*I5/12</f>
        <v>0</v>
      </c>
      <c r="J42" s="115">
        <f>ASS!$C$59*(1+ASS!$E$59)^(J4-ASS!$C$41)*J5/12</f>
        <v>0</v>
      </c>
      <c r="K42" s="115">
        <f>ASS!$C$59*(1+ASS!$E$59)^(K4-ASS!$C$41)*K5/12</f>
        <v>0</v>
      </c>
      <c r="L42" s="115">
        <f>ASS!$C$59*(1+ASS!$E$59)^(L4-ASS!$C$41)*L5/12</f>
        <v>0</v>
      </c>
      <c r="M42" s="115">
        <f>ASS!$C$59*(1+ASS!$E$59)^(M4-ASS!$C$41)*M5/12</f>
        <v>0</v>
      </c>
      <c r="N42" s="67">
        <f>SUM(D42:M42)</f>
        <v>0</v>
      </c>
    </row>
    <row r="43" spans="1:14" x14ac:dyDescent="0.2">
      <c r="A43" s="47" t="s">
        <v>127</v>
      </c>
      <c r="B43" s="49"/>
      <c r="C43" s="49"/>
      <c r="D43" s="115">
        <f t="shared" ref="D43:M43" si="9">SUM(D40:D42)</f>
        <v>0</v>
      </c>
      <c r="E43" s="115">
        <f t="shared" si="9"/>
        <v>0</v>
      </c>
      <c r="F43" s="115">
        <f t="shared" si="9"/>
        <v>0</v>
      </c>
      <c r="G43" s="115">
        <f t="shared" si="9"/>
        <v>0</v>
      </c>
      <c r="H43" s="115">
        <f t="shared" si="9"/>
        <v>0</v>
      </c>
      <c r="I43" s="115">
        <f t="shared" si="9"/>
        <v>0</v>
      </c>
      <c r="J43" s="115">
        <f t="shared" si="9"/>
        <v>0</v>
      </c>
      <c r="K43" s="115">
        <f t="shared" si="9"/>
        <v>0</v>
      </c>
      <c r="L43" s="115">
        <f t="shared" si="9"/>
        <v>0</v>
      </c>
      <c r="M43" s="115">
        <f t="shared" si="9"/>
        <v>0</v>
      </c>
      <c r="N43" s="67">
        <f>SUM(D43:M43)</f>
        <v>0</v>
      </c>
    </row>
    <row r="44" spans="1:14" x14ac:dyDescent="0.2">
      <c r="A44" s="47"/>
      <c r="B44" s="49"/>
      <c r="C44" s="49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67"/>
    </row>
    <row r="45" spans="1:14" x14ac:dyDescent="0.2">
      <c r="A45" s="47" t="s">
        <v>128</v>
      </c>
      <c r="B45" s="49"/>
      <c r="C45" s="49"/>
      <c r="D45" s="115">
        <f>D37+D43</f>
        <v>48.96</v>
      </c>
      <c r="E45" s="115">
        <f>E37+E43</f>
        <v>49.9392</v>
      </c>
      <c r="F45" s="115">
        <f>F37+F43</f>
        <v>50.937984</v>
      </c>
      <c r="G45" s="115">
        <f t="shared" ref="G45:M45" si="10">G37+G43</f>
        <v>51.95674368000001</v>
      </c>
      <c r="H45" s="115">
        <f t="shared" si="10"/>
        <v>52.995878553600001</v>
      </c>
      <c r="I45" s="115">
        <f t="shared" si="10"/>
        <v>54.055796124672007</v>
      </c>
      <c r="J45" s="115">
        <f t="shared" si="10"/>
        <v>55.136912047165431</v>
      </c>
      <c r="K45" s="115">
        <f t="shared" si="10"/>
        <v>56.239650288108749</v>
      </c>
      <c r="L45" s="115">
        <f t="shared" si="10"/>
        <v>57.36444329387092</v>
      </c>
      <c r="M45" s="115">
        <f t="shared" si="10"/>
        <v>58.511732159748341</v>
      </c>
      <c r="N45" s="67">
        <f>SUM(D45:M45)</f>
        <v>536.09834014716546</v>
      </c>
    </row>
    <row r="46" spans="1:14" x14ac:dyDescent="0.2">
      <c r="A46" s="47"/>
      <c r="B46" s="49"/>
      <c r="C46" s="49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67"/>
    </row>
    <row r="47" spans="1:14" s="38" customFormat="1" x14ac:dyDescent="0.2">
      <c r="A47" s="85" t="s">
        <v>129</v>
      </c>
      <c r="B47" s="69"/>
      <c r="C47" s="69"/>
      <c r="D47" s="142">
        <f>D45</f>
        <v>48.96</v>
      </c>
      <c r="E47" s="142">
        <f>E45</f>
        <v>49.9392</v>
      </c>
      <c r="F47" s="142">
        <f>F45</f>
        <v>50.937984</v>
      </c>
      <c r="G47" s="142">
        <f t="shared" ref="G47:M47" si="11">G45</f>
        <v>51.95674368000001</v>
      </c>
      <c r="H47" s="142">
        <f t="shared" si="11"/>
        <v>52.995878553600001</v>
      </c>
      <c r="I47" s="142">
        <f t="shared" si="11"/>
        <v>54.055796124672007</v>
      </c>
      <c r="J47" s="142">
        <f t="shared" si="11"/>
        <v>55.136912047165431</v>
      </c>
      <c r="K47" s="142">
        <f t="shared" si="11"/>
        <v>56.239650288108749</v>
      </c>
      <c r="L47" s="142">
        <f t="shared" si="11"/>
        <v>57.36444329387092</v>
      </c>
      <c r="M47" s="142">
        <f t="shared" si="11"/>
        <v>58.511732159748341</v>
      </c>
      <c r="N47" s="68">
        <f>N45</f>
        <v>536.09834014716546</v>
      </c>
    </row>
    <row r="48" spans="1:14" x14ac:dyDescent="0.2">
      <c r="A48" s="47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37"/>
    </row>
    <row r="49" spans="1:16" s="38" customFormat="1" x14ac:dyDescent="0.2">
      <c r="A49" s="85" t="s">
        <v>301</v>
      </c>
      <c r="B49" s="69"/>
      <c r="C49" s="270" t="s">
        <v>337</v>
      </c>
      <c r="D49" s="270">
        <f>D18-D47</f>
        <v>7051.04</v>
      </c>
      <c r="E49" s="142">
        <f>E18-E47</f>
        <v>6150.0608000000002</v>
      </c>
      <c r="F49" s="142">
        <f>F18-F47</f>
        <v>5249.0620159999999</v>
      </c>
      <c r="G49" s="142">
        <f t="shared" ref="G49:M49" si="12">G18-G47</f>
        <v>5248.0432563200002</v>
      </c>
      <c r="H49" s="142">
        <f t="shared" si="12"/>
        <v>5247.0041214463999</v>
      </c>
      <c r="I49" s="142">
        <f t="shared" si="12"/>
        <v>5245.9442038753277</v>
      </c>
      <c r="J49" s="142">
        <f t="shared" si="12"/>
        <v>5244.8630879528346</v>
      </c>
      <c r="K49" s="142">
        <f t="shared" si="12"/>
        <v>5243.7603497118916</v>
      </c>
      <c r="L49" s="142">
        <f t="shared" si="12"/>
        <v>5242.6355567061291</v>
      </c>
      <c r="M49" s="142">
        <f t="shared" si="12"/>
        <v>5241.4882678402519</v>
      </c>
      <c r="N49" s="68">
        <f>SUM(D49:M49)</f>
        <v>55163.90165985284</v>
      </c>
    </row>
    <row r="50" spans="1:16" x14ac:dyDescent="0.2">
      <c r="A50" s="47" t="s">
        <v>130</v>
      </c>
      <c r="B50" s="49"/>
      <c r="C50" s="49"/>
      <c r="D50" s="116">
        <f>(DEPR!F27)</f>
        <v>456.14035087719299</v>
      </c>
      <c r="E50" s="116">
        <f>DEPR!G27</f>
        <v>456.14035087719299</v>
      </c>
      <c r="F50" s="116">
        <f>DEPR!H27</f>
        <v>456.14035087719299</v>
      </c>
      <c r="G50" s="116">
        <f>DEPR!I27</f>
        <v>456.14035087719299</v>
      </c>
      <c r="H50" s="116">
        <f>DEPR!J27</f>
        <v>456.14035087719299</v>
      </c>
      <c r="I50" s="116">
        <f>DEPR!K27</f>
        <v>456.14035087719299</v>
      </c>
      <c r="J50" s="116">
        <f>DEPR!L27</f>
        <v>456.14035087719299</v>
      </c>
      <c r="K50" s="116">
        <f>DEPR!M27</f>
        <v>456.14035087719299</v>
      </c>
      <c r="L50" s="116">
        <f>DEPR!N27</f>
        <v>456.14035087719299</v>
      </c>
      <c r="M50" s="116">
        <f>DEPR!O27</f>
        <v>456.14035087719299</v>
      </c>
      <c r="N50" s="72">
        <f>SUM(D50:M50)</f>
        <v>4561.4035087719285</v>
      </c>
      <c r="O50" s="306" t="str">
        <f>IF(ABS(-$N$50-ASS!$I$21)&lt;0.1," ","WARNING:  CHECK DEPRECIATION")</f>
        <v>WARNING:  CHECK DEPRECIATION</v>
      </c>
    </row>
    <row r="51" spans="1:16" x14ac:dyDescent="0.2">
      <c r="A51" s="47"/>
      <c r="B51" s="49"/>
      <c r="C51" s="49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67"/>
      <c r="O51"/>
      <c r="P51"/>
    </row>
    <row r="52" spans="1:16" s="38" customFormat="1" x14ac:dyDescent="0.2">
      <c r="A52" s="85" t="s">
        <v>131</v>
      </c>
      <c r="B52" s="69"/>
      <c r="C52" s="69"/>
      <c r="D52" s="142">
        <f>D49-D50</f>
        <v>6594.8996491228072</v>
      </c>
      <c r="E52" s="142">
        <f>E49-E50</f>
        <v>5693.9204491228074</v>
      </c>
      <c r="F52" s="142">
        <f>F49-F50</f>
        <v>4792.9216651228071</v>
      </c>
      <c r="G52" s="142">
        <f t="shared" ref="G52:M52" si="13">G49-G50</f>
        <v>4791.9029054428074</v>
      </c>
      <c r="H52" s="142">
        <f t="shared" si="13"/>
        <v>4790.8637705692072</v>
      </c>
      <c r="I52" s="142">
        <f t="shared" si="13"/>
        <v>4789.803852998135</v>
      </c>
      <c r="J52" s="142">
        <f t="shared" si="13"/>
        <v>4788.7227370756418</v>
      </c>
      <c r="K52" s="142">
        <f t="shared" si="13"/>
        <v>4787.6199988346989</v>
      </c>
      <c r="L52" s="142">
        <f t="shared" si="13"/>
        <v>4786.4952058289364</v>
      </c>
      <c r="M52" s="142">
        <f t="shared" si="13"/>
        <v>4785.3479169630591</v>
      </c>
      <c r="N52" s="68">
        <f>SUM(D52:M52)</f>
        <v>50602.498151080908</v>
      </c>
    </row>
    <row r="53" spans="1:16" x14ac:dyDescent="0.2">
      <c r="A53" s="47" t="s">
        <v>132</v>
      </c>
      <c r="B53" s="49"/>
      <c r="C53" s="49"/>
      <c r="D53" s="303">
        <f>D52*ASS!V24</f>
        <v>0</v>
      </c>
      <c r="E53" s="303">
        <f>E52*ASS!V24</f>
        <v>0</v>
      </c>
      <c r="F53" s="303">
        <f>F52*ASS!V24</f>
        <v>0</v>
      </c>
      <c r="G53" s="303">
        <f>G52*ASS!W24</f>
        <v>0</v>
      </c>
      <c r="H53" s="303">
        <f>H52*ASS!X24</f>
        <v>0</v>
      </c>
      <c r="I53" s="303">
        <f>I52*ASS!Y31</f>
        <v>0</v>
      </c>
      <c r="J53" s="303">
        <f>J52*ASS!Z31</f>
        <v>0</v>
      </c>
      <c r="K53" s="303">
        <f>K52*ASS!AA31</f>
        <v>0</v>
      </c>
      <c r="L53" s="303">
        <f>L52*ASS!AB31</f>
        <v>0</v>
      </c>
      <c r="M53" s="303">
        <f>M52*ASS!AC31</f>
        <v>0</v>
      </c>
      <c r="N53" s="67">
        <f>SUM(D53:M53)</f>
        <v>0</v>
      </c>
      <c r="O53" s="77"/>
    </row>
    <row r="54" spans="1:16" x14ac:dyDescent="0.2">
      <c r="A54" s="47"/>
      <c r="B54" s="49"/>
      <c r="C54" s="49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72"/>
    </row>
    <row r="55" spans="1:16" s="38" customFormat="1" x14ac:dyDescent="0.2">
      <c r="A55" s="85" t="s">
        <v>133</v>
      </c>
      <c r="B55" s="69"/>
      <c r="C55" s="69"/>
      <c r="D55" s="142">
        <f>SUM(D52:D53)</f>
        <v>6594.8996491228072</v>
      </c>
      <c r="E55" s="142">
        <f>SUM(E52:E53)</f>
        <v>5693.9204491228074</v>
      </c>
      <c r="F55" s="142">
        <f>SUM(F52:F53)</f>
        <v>4792.9216651228071</v>
      </c>
      <c r="G55" s="142">
        <f t="shared" ref="G55:M55" si="14">SUM(G52:G53)</f>
        <v>4791.9029054428074</v>
      </c>
      <c r="H55" s="142">
        <f t="shared" si="14"/>
        <v>4790.8637705692072</v>
      </c>
      <c r="I55" s="142">
        <f t="shared" si="14"/>
        <v>4789.803852998135</v>
      </c>
      <c r="J55" s="142">
        <f t="shared" si="14"/>
        <v>4788.7227370756418</v>
      </c>
      <c r="K55" s="142">
        <f t="shared" si="14"/>
        <v>4787.6199988346989</v>
      </c>
      <c r="L55" s="142">
        <f t="shared" si="14"/>
        <v>4786.4952058289364</v>
      </c>
      <c r="M55" s="142">
        <f t="shared" si="14"/>
        <v>4785.3479169630591</v>
      </c>
      <c r="N55" s="68">
        <f>SUM(D55:M55)</f>
        <v>50602.498151080908</v>
      </c>
    </row>
    <row r="56" spans="1:16" x14ac:dyDescent="0.2">
      <c r="A56" s="47" t="s">
        <v>134</v>
      </c>
      <c r="B56" s="194"/>
      <c r="C56" s="49"/>
      <c r="D56" s="116">
        <f>TAXES_FEES!D14</f>
        <v>2625.4159999999997</v>
      </c>
      <c r="E56" s="116">
        <f>TAXES_FEES!E14</f>
        <v>2084.6363199999996</v>
      </c>
      <c r="F56" s="116">
        <f>TAXES_FEES!F14</f>
        <v>1752.9408063999997</v>
      </c>
      <c r="G56" s="116">
        <f>TAXES_FEES!G14</f>
        <v>1778.0133025279999</v>
      </c>
      <c r="H56" s="116">
        <f>TAXES_FEES!H14</f>
        <v>1801.7256485785597</v>
      </c>
      <c r="I56" s="116">
        <f>TAXES_FEES!I14</f>
        <v>1823.5576815501308</v>
      </c>
      <c r="J56" s="116">
        <f>TAXES_FEES!J14</f>
        <v>1843.7692351811338</v>
      </c>
      <c r="K56" s="116">
        <f>TAXES_FEES!K14</f>
        <v>1862.3601398847566</v>
      </c>
      <c r="L56" s="116">
        <f>TAXES_FEES!L14</f>
        <v>1865.0302226824517</v>
      </c>
      <c r="M56" s="116">
        <f>TAXES_FEES!M14</f>
        <v>1864.6233071361005</v>
      </c>
      <c r="N56" s="73">
        <f>SUM(D56:M56)</f>
        <v>19302.072663941137</v>
      </c>
    </row>
    <row r="57" spans="1:16" x14ac:dyDescent="0.2">
      <c r="A57" s="47"/>
      <c r="B57" s="49"/>
      <c r="C57" s="49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67"/>
    </row>
    <row r="58" spans="1:16" s="38" customFormat="1" x14ac:dyDescent="0.2">
      <c r="A58" s="169" t="s">
        <v>135</v>
      </c>
      <c r="B58" s="170"/>
      <c r="C58" s="170"/>
      <c r="D58" s="171">
        <f>D55-D56</f>
        <v>3969.4836491228075</v>
      </c>
      <c r="E58" s="171">
        <f>E55-E56</f>
        <v>3609.2841291228078</v>
      </c>
      <c r="F58" s="171">
        <f>F55-F56</f>
        <v>3039.9808587228072</v>
      </c>
      <c r="G58" s="171">
        <f t="shared" ref="G58:M58" si="15">G55-G56</f>
        <v>3013.8896029148073</v>
      </c>
      <c r="H58" s="171">
        <f t="shared" si="15"/>
        <v>2989.1381219906475</v>
      </c>
      <c r="I58" s="171">
        <f t="shared" si="15"/>
        <v>2966.2461714480041</v>
      </c>
      <c r="J58" s="171">
        <f t="shared" si="15"/>
        <v>2944.953501894508</v>
      </c>
      <c r="K58" s="171">
        <f t="shared" si="15"/>
        <v>2925.2598589499421</v>
      </c>
      <c r="L58" s="171">
        <f t="shared" si="15"/>
        <v>2921.4649831464849</v>
      </c>
      <c r="M58" s="171">
        <f t="shared" si="15"/>
        <v>2920.7246098269588</v>
      </c>
      <c r="N58" s="171">
        <f>N55-N56</f>
        <v>31300.425487139772</v>
      </c>
    </row>
    <row r="59" spans="1:16" x14ac:dyDescent="0.2">
      <c r="A59" s="47" t="s">
        <v>136</v>
      </c>
      <c r="B59" s="49"/>
      <c r="C59" s="49"/>
      <c r="D59" s="115">
        <f>DEPR!F27</f>
        <v>456.14035087719299</v>
      </c>
      <c r="E59" s="115">
        <f>DEPR!G26</f>
        <v>456.14035087719299</v>
      </c>
      <c r="F59" s="115">
        <f>DEPR!H26</f>
        <v>456.14035087719299</v>
      </c>
      <c r="G59" s="115">
        <f>DEPR!I26</f>
        <v>456.14035087719299</v>
      </c>
      <c r="H59" s="115">
        <f>DEPR!J26</f>
        <v>456.14035087719299</v>
      </c>
      <c r="I59" s="115">
        <f>DEPR!K26</f>
        <v>456.14035087719299</v>
      </c>
      <c r="J59" s="115">
        <f>DEPR!L26</f>
        <v>456.14035087719299</v>
      </c>
      <c r="K59" s="115">
        <f>DEPR!M26</f>
        <v>456.14035087719299</v>
      </c>
      <c r="L59" s="115">
        <f>DEPR!N26</f>
        <v>456.14035087719299</v>
      </c>
      <c r="M59" s="115">
        <f>DEPR!O26</f>
        <v>456.14035087719299</v>
      </c>
      <c r="N59" s="67">
        <f t="shared" ref="N59:N67" si="16">SUM(D59:M59)</f>
        <v>4561.4035087719285</v>
      </c>
    </row>
    <row r="60" spans="1:16" x14ac:dyDescent="0.2">
      <c r="A60" s="47" t="s">
        <v>137</v>
      </c>
      <c r="B60" s="49"/>
      <c r="C60" s="49"/>
      <c r="D60" s="115">
        <f>IF(D3=TERM,SPARES,0)</f>
        <v>0</v>
      </c>
      <c r="E60" s="115">
        <f>IF(E3=TERM,SPARES,0)</f>
        <v>0</v>
      </c>
      <c r="F60" s="115">
        <f>IF(F3=TERM,SPARES,0)</f>
        <v>0</v>
      </c>
      <c r="G60" s="115">
        <f t="shared" ref="G60:M60" si="17">IF(G3=TERM,SPARES,0)</f>
        <v>0</v>
      </c>
      <c r="H60" s="115">
        <f t="shared" si="17"/>
        <v>0</v>
      </c>
      <c r="I60" s="115">
        <f t="shared" si="17"/>
        <v>0</v>
      </c>
      <c r="J60" s="115">
        <f t="shared" si="17"/>
        <v>0</v>
      </c>
      <c r="K60" s="115">
        <f t="shared" si="17"/>
        <v>0</v>
      </c>
      <c r="L60" s="115">
        <f t="shared" si="17"/>
        <v>0</v>
      </c>
      <c r="M60" s="115">
        <f t="shared" si="17"/>
        <v>0</v>
      </c>
      <c r="N60" s="67">
        <f t="shared" si="16"/>
        <v>0</v>
      </c>
    </row>
    <row r="61" spans="1:16" x14ac:dyDescent="0.2">
      <c r="A61" s="47" t="s">
        <v>138</v>
      </c>
      <c r="B61" s="49" t="s">
        <v>139</v>
      </c>
      <c r="C61" s="49"/>
      <c r="D61" s="115">
        <f>IF(D3=TERM,WCAP,0)</f>
        <v>0</v>
      </c>
      <c r="E61" s="115">
        <f>IF(E3=TERM,WCAP,0)</f>
        <v>0</v>
      </c>
      <c r="F61" s="115">
        <f>IF(F3=TERM,WCAP,0)</f>
        <v>0</v>
      </c>
      <c r="G61" s="115">
        <f t="shared" ref="G61:M61" si="18">IF(G3=TERM,WCAP,0)</f>
        <v>0</v>
      </c>
      <c r="H61" s="115">
        <f t="shared" si="18"/>
        <v>0</v>
      </c>
      <c r="I61" s="115">
        <f t="shared" si="18"/>
        <v>0</v>
      </c>
      <c r="J61" s="115">
        <f t="shared" si="18"/>
        <v>0</v>
      </c>
      <c r="K61" s="115">
        <f t="shared" si="18"/>
        <v>0</v>
      </c>
      <c r="L61" s="115">
        <f t="shared" si="18"/>
        <v>0</v>
      </c>
      <c r="M61" s="115">
        <f t="shared" si="18"/>
        <v>0</v>
      </c>
      <c r="N61" s="67">
        <f t="shared" si="16"/>
        <v>0</v>
      </c>
    </row>
    <row r="62" spans="1:16" x14ac:dyDescent="0.2">
      <c r="A62" s="47" t="s">
        <v>140</v>
      </c>
      <c r="B62" s="49"/>
      <c r="C62" s="266"/>
      <c r="D62" s="210">
        <f>-D56</f>
        <v>-2625.4159999999997</v>
      </c>
      <c r="E62" s="210">
        <f>-E56</f>
        <v>-2084.6363199999996</v>
      </c>
      <c r="F62" s="210">
        <f>-F56</f>
        <v>-1752.9408063999997</v>
      </c>
      <c r="G62" s="210">
        <f t="shared" ref="G62:M62" si="19">-G56</f>
        <v>-1778.0133025279999</v>
      </c>
      <c r="H62" s="210">
        <f t="shared" si="19"/>
        <v>-1801.7256485785597</v>
      </c>
      <c r="I62" s="210">
        <f t="shared" si="19"/>
        <v>-1823.5576815501308</v>
      </c>
      <c r="J62" s="210">
        <f t="shared" si="19"/>
        <v>-1843.7692351811338</v>
      </c>
      <c r="K62" s="210">
        <f t="shared" si="19"/>
        <v>-1862.3601398847566</v>
      </c>
      <c r="L62" s="210">
        <f t="shared" si="19"/>
        <v>-1865.0302226824517</v>
      </c>
      <c r="M62" s="210">
        <f t="shared" si="19"/>
        <v>-1864.6233071361005</v>
      </c>
      <c r="N62" s="67">
        <f t="shared" si="16"/>
        <v>-19302.072663941137</v>
      </c>
    </row>
    <row r="63" spans="1:16" x14ac:dyDescent="0.2">
      <c r="A63" s="47" t="s">
        <v>311</v>
      </c>
      <c r="B63" s="49"/>
      <c r="C63" s="266"/>
      <c r="D63" s="210">
        <f>-ASS!$C$57*(1+ASS!$E$57)^(D4-ASS!$C$41)*D5/12</f>
        <v>0</v>
      </c>
      <c r="E63" s="210">
        <f>-ASS!$C$57*(1+ASS!$E$57)^(E4-ASS!$C$41)*E5/12</f>
        <v>0</v>
      </c>
      <c r="F63" s="210">
        <f>-ASS!$C$57*(1+ASS!$E$57)^(F4-ASS!$C$41)*F5/12</f>
        <v>0</v>
      </c>
      <c r="G63" s="210">
        <f>-ASS!$C$57*(1+ASS!$E$57)^(G4-ASS!$C$41)*G5/12</f>
        <v>0</v>
      </c>
      <c r="H63" s="210">
        <f>-ASS!$C$57*(1+ASS!$E$57)^(H4-ASS!$C$41)*H5/12</f>
        <v>0</v>
      </c>
      <c r="I63" s="210">
        <f>-ASS!$C$57*(1+ASS!$E$57)^(I4-ASS!$C$41)*I5/12</f>
        <v>0</v>
      </c>
      <c r="J63" s="210">
        <f>-ASS!$C$57*(1+ASS!$E$57)^(J4-ASS!$C$41)*J5/12</f>
        <v>0</v>
      </c>
      <c r="K63" s="210">
        <f>-ASS!$C$57*(1+ASS!$E$57)^(K4-ASS!$C$41)*K5/12</f>
        <v>0</v>
      </c>
      <c r="L63" s="210">
        <f>-ASS!$C$57*(1+ASS!$E$57)^(L4-ASS!$C$41)*L5/12</f>
        <v>0</v>
      </c>
      <c r="M63" s="210">
        <f>-ASS!$C$57*(1+ASS!$E$57)^(M4-ASS!$C$41)*M5/12</f>
        <v>0</v>
      </c>
      <c r="N63" s="67">
        <f t="shared" si="16"/>
        <v>0</v>
      </c>
    </row>
    <row r="64" spans="1:16" x14ac:dyDescent="0.2">
      <c r="A64" s="47" t="s">
        <v>312</v>
      </c>
      <c r="B64" s="49"/>
      <c r="C64" s="266"/>
      <c r="D64" s="210">
        <f>IF(-D63&gt;D40,D40,IF(D40&gt;(BS_IS!F7+(-D63)),BS_IS!F7+(-D63),D40))</f>
        <v>0</v>
      </c>
      <c r="E64" s="210">
        <f>IF(-E63&gt;E40,E40,IF(E40&gt;(BS_IS!G7+(-E63)),BS_IS!G7+(-E63),E40))</f>
        <v>0</v>
      </c>
      <c r="F64" s="210">
        <f>IF(-F63&gt;F40,F40,IF(F40&gt;(BS_IS!H7+(-F63)),BS_IS!H7+(-F63),F40))</f>
        <v>0</v>
      </c>
      <c r="G64" s="210">
        <f>IF(-G63&gt;G40,G40,IF(G40&gt;(BS_IS!I7+(-G63)),BS_IS!I7+(-G63),G40))</f>
        <v>0</v>
      </c>
      <c r="H64" s="210">
        <f>IF(-H63&gt;H40,H40,IF(H40&gt;(BS_IS!Q7+(-H63)),BS_IS!Q7+(-H63),H40))</f>
        <v>0</v>
      </c>
      <c r="I64" s="210">
        <f>IF(-I63&gt;I40,I40,IF(I40&gt;(BS_IS!R7+(-I63)),BS_IS!R7+(-I63),I40))</f>
        <v>0</v>
      </c>
      <c r="J64" s="210">
        <f>IF(-J63&gt;J40,J40,IF(J40&gt;(BS_IS!S7+(-J63)),BS_IS!S7+(-J63),J40))</f>
        <v>0</v>
      </c>
      <c r="K64" s="210">
        <f>IF(-K63&gt;K40,K40,IF(K40&gt;(BS_IS!T7+(-K63)),BS_IS!T7+(-K63),K40))</f>
        <v>0</v>
      </c>
      <c r="L64" s="210">
        <f>IF(-L63&gt;L40,L40,IF(L40&gt;(BS_IS!U7+(-L63)),BS_IS!U7+(-L63),L40))</f>
        <v>0</v>
      </c>
      <c r="M64" s="210">
        <f>IF(-M63&gt;M40,M40,IF(M40&gt;(BS_IS!V7+(-M63)),BS_IS!V7+(-M63),M40))</f>
        <v>0</v>
      </c>
      <c r="N64" s="67">
        <f t="shared" si="16"/>
        <v>0</v>
      </c>
    </row>
    <row r="65" spans="1:16" x14ac:dyDescent="0.2">
      <c r="A65" s="47" t="s">
        <v>141</v>
      </c>
      <c r="B65" s="49"/>
      <c r="C65" s="49"/>
      <c r="D65" s="266">
        <f>TAXES_FEES!D14</f>
        <v>2625.4159999999997</v>
      </c>
      <c r="E65" s="266">
        <f>0+TAXES_FEES!E14</f>
        <v>2084.6363199999996</v>
      </c>
      <c r="F65" s="266">
        <f>0+TAXES_FEES!F14</f>
        <v>1752.9408063999997</v>
      </c>
      <c r="G65" s="266">
        <f>0+TAXES_FEES!G14</f>
        <v>1778.0133025279999</v>
      </c>
      <c r="H65" s="266">
        <f>0+TAXES_FEES!H14</f>
        <v>1801.7256485785597</v>
      </c>
      <c r="I65" s="266">
        <f>0+TAXES_FEES!I14</f>
        <v>1823.5576815501308</v>
      </c>
      <c r="J65" s="266">
        <f>0+TAXES_FEES!J14</f>
        <v>1843.7692351811338</v>
      </c>
      <c r="K65" s="266">
        <f>0+TAXES_FEES!K14</f>
        <v>1862.3601398847566</v>
      </c>
      <c r="L65" s="266">
        <f>0+TAXES_FEES!L14</f>
        <v>1865.0302226824517</v>
      </c>
      <c r="M65" s="266">
        <f>0+TAXES_FEES!M14</f>
        <v>1864.6233071361005</v>
      </c>
      <c r="N65" s="67">
        <f t="shared" si="16"/>
        <v>19302.072663941137</v>
      </c>
      <c r="O65" s="307" t="str">
        <f>IF(ABS(-N65-TAXES_FEES!$N$14)&lt;0.01," ","CHECK:  TOTAL CASH TAXES DOES NOT MATCH TOTAL CASH TAXES CALCD")</f>
        <v>CHECK:  TOTAL CASH TAXES DOES NOT MATCH TOTAL CASH TAXES CALCD</v>
      </c>
      <c r="P65" s="75"/>
    </row>
    <row r="66" spans="1:16" x14ac:dyDescent="0.2">
      <c r="A66" s="47" t="s">
        <v>142</v>
      </c>
      <c r="B66" s="49"/>
      <c r="C66" s="49"/>
      <c r="D66" s="266">
        <f>ASS!V24*CF!D65</f>
        <v>0</v>
      </c>
      <c r="E66" s="266">
        <f>ASS!W24*CF!E65</f>
        <v>0</v>
      </c>
      <c r="F66" s="266">
        <f>ASS!X24*CF!F65</f>
        <v>0</v>
      </c>
      <c r="G66" s="266">
        <f>ASS!Y31*CF!G65</f>
        <v>0</v>
      </c>
      <c r="H66" s="266">
        <f>ASS!Z31*CF!H65</f>
        <v>0</v>
      </c>
      <c r="I66" s="266">
        <f>ASS!AA31*CF!I65</f>
        <v>0</v>
      </c>
      <c r="J66" s="266">
        <f>ASS!AB31*CF!J65</f>
        <v>0</v>
      </c>
      <c r="K66" s="266">
        <f>ASS!AC31*CF!K65</f>
        <v>0</v>
      </c>
      <c r="L66" s="266">
        <f>ASS!AD31*CF!L65</f>
        <v>0</v>
      </c>
      <c r="M66" s="266">
        <f>ASS!AE31*CF!M65</f>
        <v>0</v>
      </c>
      <c r="N66" s="172">
        <f t="shared" si="16"/>
        <v>0</v>
      </c>
      <c r="O66" s="135"/>
      <c r="P66" s="75"/>
    </row>
    <row r="67" spans="1:16" x14ac:dyDescent="0.2">
      <c r="A67" s="173" t="s">
        <v>143</v>
      </c>
      <c r="B67" s="174"/>
      <c r="C67" s="174"/>
      <c r="D67" s="175">
        <f>SUM(D58:D66)</f>
        <v>4425.6240000000007</v>
      </c>
      <c r="E67" s="175">
        <f>SUM(E58:E66)</f>
        <v>4065.4244800000006</v>
      </c>
      <c r="F67" s="175">
        <f>SUM(F58:F66)</f>
        <v>3496.1212095999999</v>
      </c>
      <c r="G67" s="175">
        <f t="shared" ref="G67:M67" si="20">SUM(G58:G66)</f>
        <v>3470.029953792</v>
      </c>
      <c r="H67" s="175">
        <f t="shared" si="20"/>
        <v>3445.2784728678407</v>
      </c>
      <c r="I67" s="175">
        <f t="shared" si="20"/>
        <v>3422.3865223251969</v>
      </c>
      <c r="J67" s="175">
        <f t="shared" si="20"/>
        <v>3401.0938527717008</v>
      </c>
      <c r="K67" s="175">
        <f t="shared" si="20"/>
        <v>3381.4002098271349</v>
      </c>
      <c r="L67" s="175">
        <f t="shared" si="20"/>
        <v>3377.6053340236776</v>
      </c>
      <c r="M67" s="175">
        <f t="shared" si="20"/>
        <v>3376.8649607041516</v>
      </c>
      <c r="N67" s="176">
        <f t="shared" si="16"/>
        <v>35861.828995911703</v>
      </c>
    </row>
    <row r="68" spans="1:16" x14ac:dyDescent="0.2">
      <c r="A68" s="47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37"/>
    </row>
    <row r="69" spans="1:16" hidden="1" x14ac:dyDescent="0.2">
      <c r="A69" s="70" t="s">
        <v>144</v>
      </c>
      <c r="B69" s="71" t="s">
        <v>145</v>
      </c>
      <c r="C69" s="71"/>
      <c r="D69" s="263">
        <f>IF(equityperc&gt;0.99,0,IF(D3&gt;MAX(ASS!#REF!,ASS!#REF!,ASS!#REF!,ASS!#REF!,ASS!#REF!,ASS!#REF!),"n/a",(D49+D40)/(FIN!D10-TAXES_FEES!#REF!)))</f>
        <v>0</v>
      </c>
      <c r="E69" s="263">
        <f>IF(equityperc&gt;0.99,0,IF(E3&gt;MAX(ASS!#REF!,ASS!#REF!,ASS!#REF!,ASS!#REF!,ASS!#REF!,ASS!#REF!),"n/a",(E49+E40)/(FIN!E10-TAXES_FEES!#REF!)))</f>
        <v>0</v>
      </c>
      <c r="F69" s="263">
        <f>IF(equityperc&gt;0.99,0,IF(F3&gt;MAX(ASS!#REF!,ASS!#REF!,ASS!#REF!,ASS!#REF!,ASS!#REF!,ASS!#REF!),"n/a",(F49+F40)/(FIN!F10-TAXES_FEES!#REF!)))</f>
        <v>0</v>
      </c>
      <c r="G69" s="384"/>
      <c r="H69" s="384"/>
      <c r="I69" s="384"/>
      <c r="J69" s="384"/>
      <c r="K69" s="384"/>
      <c r="L69" s="384"/>
      <c r="M69" s="384"/>
      <c r="N69" s="37"/>
    </row>
    <row r="70" spans="1:16" hidden="1" x14ac:dyDescent="0.2">
      <c r="A70" s="58" t="s">
        <v>146</v>
      </c>
      <c r="B70" s="64" t="s">
        <v>147</v>
      </c>
      <c r="C70" s="64"/>
      <c r="D70" s="264">
        <f>IF(equityperc&gt;0.99,0,IF(D3&gt;MAX(ASS!#REF!,ASS!#REF!,ASS!#REF!,ASS!#REF!,ASS!#REF!,ASS!#REF!),"n/a",(D49+D65+D40)/(FIN!D10-TAXES_FEES!#REF!)))</f>
        <v>0</v>
      </c>
      <c r="E70" s="264">
        <f>IF(equityperc&gt;0.99,0,IF(E3&gt;MAX(ASS!#REF!,ASS!#REF!,ASS!#REF!,ASS!#REF!,ASS!#REF!,ASS!#REF!),"n/a",(E49+E65+E40)/(FIN!E10-TAXES_FEES!#REF!)))</f>
        <v>0</v>
      </c>
      <c r="F70" s="264">
        <f>IF(equityperc&gt;0.99,0,IF(F3&gt;MAX(ASS!#REF!,ASS!#REF!,ASS!#REF!,ASS!#REF!,ASS!#REF!,ASS!#REF!),"n/a",(F49+F65+F40)/(FIN!F10-TAXES_FEES!#REF!)))</f>
        <v>0</v>
      </c>
      <c r="G70" s="264"/>
      <c r="H70" s="264"/>
      <c r="I70" s="264"/>
      <c r="J70" s="264"/>
      <c r="K70" s="264"/>
      <c r="L70" s="264"/>
      <c r="M70" s="264"/>
      <c r="N70" s="76"/>
    </row>
    <row r="71" spans="1:16" hidden="1" x14ac:dyDescent="0.2"/>
    <row r="73" spans="1:16" x14ac:dyDescent="0.2">
      <c r="A73" s="273"/>
      <c r="B73" s="273"/>
      <c r="C73" s="273"/>
      <c r="D73" s="273"/>
      <c r="E73" s="273"/>
      <c r="F73" s="273"/>
      <c r="G73" s="273"/>
      <c r="H73" s="273"/>
      <c r="I73" s="273"/>
      <c r="J73" s="273"/>
      <c r="K73" s="273"/>
      <c r="L73" s="273"/>
      <c r="M73" s="273"/>
    </row>
    <row r="74" spans="1:16" x14ac:dyDescent="0.2">
      <c r="B74" s="262"/>
      <c r="C74" s="262"/>
      <c r="D74" s="262"/>
      <c r="E74" s="262"/>
      <c r="F74" s="262"/>
      <c r="G74" s="262"/>
      <c r="H74" s="262"/>
      <c r="I74" s="262"/>
      <c r="J74" s="262"/>
      <c r="K74" s="262"/>
      <c r="L74" s="262"/>
      <c r="M74" s="262"/>
    </row>
    <row r="80" spans="1:16" x14ac:dyDescent="0.2">
      <c r="A80" s="274"/>
    </row>
    <row r="81" spans="1:1" x14ac:dyDescent="0.2">
      <c r="A81" s="274"/>
    </row>
    <row r="82" spans="1:1" x14ac:dyDescent="0.2">
      <c r="A82" s="274"/>
    </row>
  </sheetData>
  <printOptions horizontalCentered="1"/>
  <pageMargins left="0.5" right="1" top="0.75" bottom="0.75" header="0.5" footer="0.5"/>
  <pageSetup scale="58" orientation="landscape" horizontalDpi="4294967292" r:id="rId1"/>
  <headerFooter alignWithMargins="0">
    <oddHeader>&amp;C &amp;R&amp;D &amp;T</oddHeader>
    <oddFooter>&amp;Ldev_fin/base/&amp;F&amp;C &amp;RPage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W53"/>
  <sheetViews>
    <sheetView zoomScale="75" workbookViewId="0">
      <selection activeCell="D14" sqref="D14"/>
    </sheetView>
  </sheetViews>
  <sheetFormatPr defaultRowHeight="12.75" x14ac:dyDescent="0.2"/>
  <cols>
    <col min="1" max="1" width="18" style="34" bestFit="1" customWidth="1"/>
    <col min="2" max="2" width="32" style="34" customWidth="1"/>
    <col min="3" max="3" width="3.7109375" style="34" customWidth="1"/>
    <col min="4" max="4" width="10.28515625" style="34" bestFit="1" customWidth="1"/>
    <col min="5" max="14" width="9.140625" style="34"/>
    <col min="15" max="15" width="9.85546875" style="34" bestFit="1" customWidth="1"/>
    <col min="16" max="16384" width="9.140625" style="34"/>
  </cols>
  <sheetData>
    <row r="1" spans="1:17" ht="15.75" x14ac:dyDescent="0.25">
      <c r="A1" s="147" t="s">
        <v>148</v>
      </c>
      <c r="B1" s="159"/>
    </row>
    <row r="2" spans="1:17" ht="15.75" x14ac:dyDescent="0.25">
      <c r="A2" s="160">
        <f>ASS!A4</f>
        <v>0</v>
      </c>
      <c r="B2" s="161"/>
    </row>
    <row r="3" spans="1:17" x14ac:dyDescent="0.2">
      <c r="A3" s="39" t="s">
        <v>149</v>
      </c>
      <c r="B3" s="46"/>
      <c r="C3" s="46"/>
      <c r="D3" s="46">
        <f>IF(D4&lt;STARTYR,0,#REF!+1)</f>
        <v>0</v>
      </c>
      <c r="E3" s="46">
        <f>IF(E4&lt;STARTYR,0,D3+1)</f>
        <v>1</v>
      </c>
      <c r="F3" s="46">
        <f>IF(F4&lt;STARTYR,0,E3+1)</f>
        <v>2</v>
      </c>
      <c r="G3" s="46">
        <f>IF(G4&lt;STARTYR,0,F3+1)</f>
        <v>3</v>
      </c>
      <c r="H3" s="46">
        <f t="shared" ref="H3:N3" si="0">IF(H4&lt;STARTYR,0,G3+1)</f>
        <v>4</v>
      </c>
      <c r="I3" s="46">
        <f t="shared" si="0"/>
        <v>5</v>
      </c>
      <c r="J3" s="46">
        <f t="shared" si="0"/>
        <v>6</v>
      </c>
      <c r="K3" s="46">
        <f t="shared" si="0"/>
        <v>7</v>
      </c>
      <c r="L3" s="46">
        <f t="shared" si="0"/>
        <v>8</v>
      </c>
      <c r="M3" s="46">
        <f t="shared" si="0"/>
        <v>9</v>
      </c>
      <c r="N3" s="46">
        <f t="shared" si="0"/>
        <v>10</v>
      </c>
      <c r="O3" s="35"/>
    </row>
    <row r="4" spans="1:17" x14ac:dyDescent="0.2">
      <c r="A4" s="211" t="s">
        <v>116</v>
      </c>
      <c r="B4" s="64"/>
      <c r="C4" s="64"/>
      <c r="D4" s="113">
        <f>E4-1</f>
        <v>2000</v>
      </c>
      <c r="E4" s="113">
        <f>CF!D4</f>
        <v>2001</v>
      </c>
      <c r="F4" s="113">
        <f>CF!E4</f>
        <v>2002</v>
      </c>
      <c r="G4" s="113">
        <f>CF!F4</f>
        <v>2003</v>
      </c>
      <c r="H4" s="113">
        <f>CF!G4</f>
        <v>2004</v>
      </c>
      <c r="I4" s="113">
        <f>CF!H4</f>
        <v>2005</v>
      </c>
      <c r="J4" s="113">
        <f>CF!I4</f>
        <v>2006</v>
      </c>
      <c r="K4" s="113">
        <f>CF!J4</f>
        <v>2007</v>
      </c>
      <c r="L4" s="113">
        <f>CF!K4</f>
        <v>2008</v>
      </c>
      <c r="M4" s="113">
        <f>CF!L4</f>
        <v>2009</v>
      </c>
      <c r="N4" s="113">
        <f>CF!M4</f>
        <v>2010</v>
      </c>
      <c r="O4" s="163" t="s">
        <v>117</v>
      </c>
    </row>
    <row r="5" spans="1:17" x14ac:dyDescent="0.2">
      <c r="A5" s="47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8"/>
    </row>
    <row r="6" spans="1:17" x14ac:dyDescent="0.2">
      <c r="A6" s="78" t="s">
        <v>150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35"/>
    </row>
    <row r="7" spans="1:17" x14ac:dyDescent="0.2">
      <c r="A7" s="47"/>
      <c r="B7" s="49" t="s">
        <v>151</v>
      </c>
      <c r="C7" s="49"/>
      <c r="D7" s="303">
        <f>-EQUITY</f>
        <v>-13000</v>
      </c>
      <c r="E7" s="302">
        <v>0</v>
      </c>
      <c r="F7" s="303">
        <f>E7</f>
        <v>0</v>
      </c>
      <c r="G7" s="303">
        <f>F7</f>
        <v>0</v>
      </c>
      <c r="H7" s="303">
        <f t="shared" ref="H7:N7" si="1">G7</f>
        <v>0</v>
      </c>
      <c r="I7" s="303">
        <f t="shared" si="1"/>
        <v>0</v>
      </c>
      <c r="J7" s="303">
        <f t="shared" si="1"/>
        <v>0</v>
      </c>
      <c r="K7" s="303">
        <f t="shared" si="1"/>
        <v>0</v>
      </c>
      <c r="L7" s="303">
        <f t="shared" si="1"/>
        <v>0</v>
      </c>
      <c r="M7" s="303">
        <f t="shared" si="1"/>
        <v>0</v>
      </c>
      <c r="N7" s="303">
        <f t="shared" si="1"/>
        <v>0</v>
      </c>
      <c r="O7" s="67">
        <f>SUM(D7:N7)</f>
        <v>-13000</v>
      </c>
      <c r="P7" s="77" t="str">
        <f>IF(ABS(O7+EQUITY)&lt;0.1," ", "CHECK")</f>
        <v xml:space="preserve"> </v>
      </c>
    </row>
    <row r="8" spans="1:17" x14ac:dyDescent="0.2">
      <c r="A8" s="47"/>
      <c r="B8" s="49" t="s">
        <v>152</v>
      </c>
      <c r="C8" s="49"/>
      <c r="D8" s="301">
        <f>CF!C67</f>
        <v>0</v>
      </c>
      <c r="E8" s="301">
        <f>CF!D67</f>
        <v>4425.6240000000007</v>
      </c>
      <c r="F8" s="301">
        <f>CF!E67</f>
        <v>4065.4244800000006</v>
      </c>
      <c r="G8" s="301">
        <f>CF!F67</f>
        <v>3496.1212095999999</v>
      </c>
      <c r="H8" s="301">
        <f>CF!G67</f>
        <v>3470.029953792</v>
      </c>
      <c r="I8" s="301">
        <f>CF!H67</f>
        <v>3445.2784728678407</v>
      </c>
      <c r="J8" s="301">
        <f>CF!I67</f>
        <v>3422.3865223251969</v>
      </c>
      <c r="K8" s="301">
        <f>CF!J67</f>
        <v>3401.0938527717008</v>
      </c>
      <c r="L8" s="301">
        <f>CF!K67</f>
        <v>3381.4002098271349</v>
      </c>
      <c r="M8" s="301">
        <f>CF!L67</f>
        <v>3377.6053340236776</v>
      </c>
      <c r="N8" s="301">
        <f>CF!M67</f>
        <v>3376.8649607041516</v>
      </c>
      <c r="O8" s="67">
        <f>SUM(D8:N8)</f>
        <v>35861.828995911703</v>
      </c>
      <c r="P8" s="77" t="str">
        <f>IF(ABS($O$8-CF!$N$67)&lt;0.01," ","CHECK:  DOES NOT EQUAL TOTAL CF DISTRIBUTED")</f>
        <v xml:space="preserve"> </v>
      </c>
    </row>
    <row r="9" spans="1:17" s="65" customFormat="1" x14ac:dyDescent="0.2">
      <c r="A9" s="101"/>
      <c r="B9" s="49" t="s">
        <v>153</v>
      </c>
      <c r="C9" s="49"/>
      <c r="D9" s="117">
        <f>SUM(D7:D8)</f>
        <v>-13000</v>
      </c>
      <c r="E9" s="117">
        <f>SUM(E7:E8)</f>
        <v>4425.6240000000007</v>
      </c>
      <c r="F9" s="117">
        <f>SUM(F7:F8)</f>
        <v>4065.4244800000006</v>
      </c>
      <c r="G9" s="117">
        <f>SUM(G7:G8)</f>
        <v>3496.1212095999999</v>
      </c>
      <c r="H9" s="117">
        <f t="shared" ref="H9:N9" si="2">SUM(H7:H8)</f>
        <v>3470.029953792</v>
      </c>
      <c r="I9" s="117">
        <f t="shared" si="2"/>
        <v>3445.2784728678407</v>
      </c>
      <c r="J9" s="117">
        <f t="shared" si="2"/>
        <v>3422.3865223251969</v>
      </c>
      <c r="K9" s="117">
        <f t="shared" si="2"/>
        <v>3401.0938527717008</v>
      </c>
      <c r="L9" s="117">
        <f t="shared" si="2"/>
        <v>3381.4002098271349</v>
      </c>
      <c r="M9" s="117">
        <f t="shared" si="2"/>
        <v>3377.6053340236776</v>
      </c>
      <c r="N9" s="117">
        <f t="shared" si="2"/>
        <v>3376.8649607041516</v>
      </c>
      <c r="O9" s="72">
        <f>SUM(D9:N9)</f>
        <v>22861.828995911703</v>
      </c>
      <c r="Q9" s="34"/>
    </row>
    <row r="10" spans="1:17" x14ac:dyDescent="0.2">
      <c r="A10" s="47"/>
      <c r="B10" s="49" t="s">
        <v>154</v>
      </c>
      <c r="C10" s="49"/>
      <c r="D10" s="115">
        <f>D9</f>
        <v>-13000</v>
      </c>
      <c r="E10" s="115">
        <f>$D$9+NPV(DISC, $E$9:E9)</f>
        <v>-8976.7054545454539</v>
      </c>
      <c r="F10" s="115">
        <f>$D$9+NPV(DISC, $E$9:F9)</f>
        <v>-5616.8505123966943</v>
      </c>
      <c r="G10" s="115">
        <f>$D$9+NPV(DISC, $E$9:G9)</f>
        <v>-2990.1629018782878</v>
      </c>
      <c r="H10" s="115">
        <f>$D$9+NPV(DISC, $E$9:H9)</f>
        <v>-620.08575291851776</v>
      </c>
      <c r="I10" s="115">
        <f>$D$9+NPV(DISC, $E$9:I9)</f>
        <v>1519.1611147618059</v>
      </c>
      <c r="J10" s="115">
        <f>$D$9+NPV(DISC, $E$9:J9)</f>
        <v>3451.0090851817877</v>
      </c>
      <c r="K10" s="115">
        <f>$D$9+NPV(DISC, $E$9:K9)</f>
        <v>5196.3080065961367</v>
      </c>
      <c r="L10" s="115">
        <f>$D$9+NPV(DISC, $E$9:L9)</f>
        <v>6773.7561599232358</v>
      </c>
      <c r="M10" s="115">
        <f>$D$9+NPV(DISC, $E$9:M9)</f>
        <v>8206.1905378848751</v>
      </c>
      <c r="N10" s="115">
        <f>$D$9+NPV(DISC, $E$9:N9)</f>
        <v>9508.1181627940823</v>
      </c>
      <c r="O10" s="67">
        <f>SUM(D10:N10)</f>
        <v>3450.7384454029743</v>
      </c>
    </row>
    <row r="11" spans="1:17" x14ac:dyDescent="0.2">
      <c r="A11" s="47"/>
      <c r="B11" s="49" t="s">
        <v>155</v>
      </c>
      <c r="C11" s="49"/>
      <c r="D11" s="51" t="e">
        <f>IRR($D$9:D9, $D$13)</f>
        <v>#NUM!</v>
      </c>
      <c r="E11" s="51" t="e">
        <f>IRR($D$9:E9, $D$13)</f>
        <v>#NUM!</v>
      </c>
      <c r="F11" s="51">
        <f>IRR($D$9:F9, $D$13)</f>
        <v>-0.24523382154865908</v>
      </c>
      <c r="G11" s="51">
        <f>IRR($D$9:G9, $D$13)</f>
        <v>-4.1027342609239729E-2</v>
      </c>
      <c r="H11" s="51">
        <f>IRR($D$9:H9, $D$13)</f>
        <v>7.6704439416606859E-2</v>
      </c>
      <c r="I11" s="51">
        <f>IRR($D$9:I9, $D$13)</f>
        <v>0.14719386333753071</v>
      </c>
      <c r="J11" s="51">
        <f>IRR($D$9:J9, $D$13)</f>
        <v>0.19141153707593681</v>
      </c>
      <c r="K11" s="51">
        <f>IRR($D$9:K9, $D$13)</f>
        <v>0.22027187923063296</v>
      </c>
      <c r="L11" s="51">
        <f>IRR($D$9:L9, $D$13)</f>
        <v>0.23972162383482865</v>
      </c>
      <c r="M11" s="51">
        <f>IRR($D$9:M9, $D$13)</f>
        <v>0.2532233857225058</v>
      </c>
      <c r="N11" s="51">
        <f>IRR($D$9:N9, $D$13)</f>
        <v>0.26279155757995692</v>
      </c>
      <c r="O11" s="67" t="e">
        <f>SUM(D11:N11)</f>
        <v>#NUM!</v>
      </c>
    </row>
    <row r="12" spans="1:17" ht="13.5" thickBot="1" x14ac:dyDescent="0.25">
      <c r="A12" s="47"/>
      <c r="B12" s="49"/>
      <c r="C12" s="49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37"/>
    </row>
    <row r="13" spans="1:17" x14ac:dyDescent="0.2">
      <c r="A13" s="47"/>
      <c r="B13" s="80" t="s">
        <v>366</v>
      </c>
      <c r="C13" s="339"/>
      <c r="D13" s="373">
        <f>DISC</f>
        <v>0.1</v>
      </c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304"/>
      <c r="P13" s="118"/>
      <c r="Q13" s="49"/>
    </row>
    <row r="14" spans="1:17" x14ac:dyDescent="0.2">
      <c r="A14" s="47"/>
      <c r="B14" s="90" t="s">
        <v>367</v>
      </c>
      <c r="C14" s="292"/>
      <c r="D14" s="374">
        <f>$D$9+NPV(DISC,$E$9:N9)</f>
        <v>9508.1181627940823</v>
      </c>
      <c r="E14" s="142"/>
      <c r="F14" s="260"/>
      <c r="G14" s="261"/>
      <c r="H14" s="261"/>
      <c r="I14" s="261"/>
      <c r="J14" s="261"/>
      <c r="K14" s="261"/>
      <c r="L14" s="261"/>
      <c r="M14" s="261"/>
      <c r="N14" s="261"/>
      <c r="O14" s="304"/>
      <c r="P14" s="118"/>
      <c r="Q14" s="49"/>
    </row>
    <row r="15" spans="1:17" x14ac:dyDescent="0.2">
      <c r="A15" s="47"/>
      <c r="B15" s="90" t="s">
        <v>2</v>
      </c>
      <c r="C15" s="49"/>
      <c r="D15" s="164">
        <f>IRR($D$9:N9,D13)</f>
        <v>0.26279155757995692</v>
      </c>
      <c r="E15" s="283"/>
      <c r="F15" s="118"/>
      <c r="G15" s="118"/>
      <c r="H15" s="118"/>
      <c r="I15" s="118"/>
      <c r="J15" s="118"/>
      <c r="K15" s="118"/>
      <c r="L15" s="118"/>
      <c r="M15" s="118"/>
      <c r="N15" s="118"/>
      <c r="O15" s="304"/>
      <c r="P15" s="118"/>
      <c r="Q15" s="49"/>
    </row>
    <row r="16" spans="1:17" ht="13.5" thickBot="1" x14ac:dyDescent="0.25">
      <c r="A16" s="58"/>
      <c r="B16" s="165" t="s">
        <v>156</v>
      </c>
      <c r="C16" s="96"/>
      <c r="D16" s="375">
        <f>MAX(E16:N16)</f>
        <v>4</v>
      </c>
      <c r="E16" s="162">
        <f>IF(AND(E10&gt;0,D10&lt;0),D3,0)</f>
        <v>0</v>
      </c>
      <c r="F16" s="162">
        <f>IF(AND(F10&gt;0,E10&lt;0),E3,0)</f>
        <v>0</v>
      </c>
      <c r="G16" s="162">
        <f>IF(AND(G10&gt;0,F10&lt;0),F3,0)</f>
        <v>0</v>
      </c>
      <c r="H16" s="162">
        <f t="shared" ref="H16:N16" si="3">IF(AND(H10&gt;0,G10&lt;0),G3,0)</f>
        <v>0</v>
      </c>
      <c r="I16" s="162">
        <f t="shared" si="3"/>
        <v>4</v>
      </c>
      <c r="J16" s="162">
        <f t="shared" si="3"/>
        <v>0</v>
      </c>
      <c r="K16" s="162">
        <f t="shared" si="3"/>
        <v>0</v>
      </c>
      <c r="L16" s="162">
        <f t="shared" si="3"/>
        <v>0</v>
      </c>
      <c r="M16" s="162">
        <f t="shared" si="3"/>
        <v>0</v>
      </c>
      <c r="N16" s="162">
        <f t="shared" si="3"/>
        <v>0</v>
      </c>
      <c r="O16" s="305">
        <f>SUM(E16:G16)</f>
        <v>0</v>
      </c>
      <c r="P16" s="300"/>
      <c r="Q16" s="49"/>
    </row>
    <row r="17" spans="1:18" x14ac:dyDescent="0.2">
      <c r="A17" s="49"/>
      <c r="B17" s="49"/>
      <c r="C17" s="49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49"/>
    </row>
    <row r="18" spans="1:18" x14ac:dyDescent="0.2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</row>
    <row r="19" spans="1:18" x14ac:dyDescent="0.2">
      <c r="A19" s="78" t="s">
        <v>157</v>
      </c>
      <c r="B19" s="46"/>
      <c r="C19" s="79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35"/>
    </row>
    <row r="20" spans="1:18" x14ac:dyDescent="0.2">
      <c r="A20" s="119">
        <f>ASS!$I$26</f>
        <v>1</v>
      </c>
      <c r="B20" s="49" t="s">
        <v>151</v>
      </c>
      <c r="C20" s="49"/>
      <c r="D20" s="303">
        <f>-EQUITY</f>
        <v>-13000</v>
      </c>
      <c r="E20" s="311">
        <v>0</v>
      </c>
      <c r="F20" s="303">
        <f>E20</f>
        <v>0</v>
      </c>
      <c r="G20" s="115">
        <f>G7*$A$20</f>
        <v>0</v>
      </c>
      <c r="H20" s="115">
        <f t="shared" ref="H20:N20" si="4">H7*$A$20</f>
        <v>0</v>
      </c>
      <c r="I20" s="115">
        <f t="shared" si="4"/>
        <v>0</v>
      </c>
      <c r="J20" s="115">
        <f t="shared" si="4"/>
        <v>0</v>
      </c>
      <c r="K20" s="115">
        <f t="shared" si="4"/>
        <v>0</v>
      </c>
      <c r="L20" s="115">
        <f t="shared" si="4"/>
        <v>0</v>
      </c>
      <c r="M20" s="115">
        <f t="shared" si="4"/>
        <v>0</v>
      </c>
      <c r="N20" s="115">
        <f t="shared" si="4"/>
        <v>0</v>
      </c>
      <c r="O20" s="67">
        <f>SUM(D20:N20)</f>
        <v>-13000</v>
      </c>
    </row>
    <row r="21" spans="1:18" x14ac:dyDescent="0.2">
      <c r="A21" s="119">
        <f>ASS!$J$26</f>
        <v>1</v>
      </c>
      <c r="B21" s="49" t="s">
        <v>152</v>
      </c>
      <c r="C21" s="49"/>
      <c r="D21" s="301">
        <f>CF!C79</f>
        <v>0</v>
      </c>
      <c r="E21" s="301">
        <f>CF!D67</f>
        <v>4425.6240000000007</v>
      </c>
      <c r="F21" s="301">
        <f>CF!E67</f>
        <v>4065.4244800000006</v>
      </c>
      <c r="G21" s="115">
        <f>G8*$A$21</f>
        <v>3496.1212095999999</v>
      </c>
      <c r="H21" s="115">
        <f t="shared" ref="H21:N21" si="5">H8*$A$21</f>
        <v>3470.029953792</v>
      </c>
      <c r="I21" s="115">
        <f t="shared" si="5"/>
        <v>3445.2784728678407</v>
      </c>
      <c r="J21" s="115">
        <f t="shared" si="5"/>
        <v>3422.3865223251969</v>
      </c>
      <c r="K21" s="115">
        <f t="shared" si="5"/>
        <v>3401.0938527717008</v>
      </c>
      <c r="L21" s="115">
        <f t="shared" si="5"/>
        <v>3381.4002098271349</v>
      </c>
      <c r="M21" s="115">
        <f t="shared" si="5"/>
        <v>3377.6053340236776</v>
      </c>
      <c r="N21" s="115">
        <f t="shared" si="5"/>
        <v>3376.8649607041516</v>
      </c>
      <c r="O21" s="67">
        <f>SUM(D21:N21)</f>
        <v>35861.828995911703</v>
      </c>
    </row>
    <row r="22" spans="1:18" s="121" customFormat="1" x14ac:dyDescent="0.2">
      <c r="A22" s="120"/>
      <c r="B22" s="49" t="s">
        <v>153</v>
      </c>
      <c r="C22" s="49"/>
      <c r="D22" s="117">
        <f>SUM(D20:D21)</f>
        <v>-13000</v>
      </c>
      <c r="E22" s="117">
        <f>SUM(E20:E21)</f>
        <v>4425.6240000000007</v>
      </c>
      <c r="F22" s="117">
        <f>SUM(F20:F21)</f>
        <v>4065.4244800000006</v>
      </c>
      <c r="G22" s="117">
        <f>SUM(G21:G21)</f>
        <v>3496.1212095999999</v>
      </c>
      <c r="H22" s="117">
        <f t="shared" ref="H22:N22" si="6">SUM(H21:H21)</f>
        <v>3470.029953792</v>
      </c>
      <c r="I22" s="117">
        <f t="shared" si="6"/>
        <v>3445.2784728678407</v>
      </c>
      <c r="J22" s="117">
        <f t="shared" si="6"/>
        <v>3422.3865223251969</v>
      </c>
      <c r="K22" s="117">
        <f t="shared" si="6"/>
        <v>3401.0938527717008</v>
      </c>
      <c r="L22" s="117">
        <f t="shared" si="6"/>
        <v>3381.4002098271349</v>
      </c>
      <c r="M22" s="117">
        <f t="shared" si="6"/>
        <v>3377.6053340236776</v>
      </c>
      <c r="N22" s="117">
        <f t="shared" si="6"/>
        <v>3376.8649607041516</v>
      </c>
      <c r="O22" s="72">
        <f>SUM(D22:N22)</f>
        <v>22861.828995911703</v>
      </c>
      <c r="Q22" s="34"/>
    </row>
    <row r="23" spans="1:18" x14ac:dyDescent="0.2">
      <c r="A23" s="47"/>
      <c r="B23" s="49" t="s">
        <v>154</v>
      </c>
      <c r="C23" s="49"/>
      <c r="D23" s="115">
        <f>D22</f>
        <v>-13000</v>
      </c>
      <c r="E23" s="115">
        <f>$D$22+NPV(DISC, E$22:$E22)</f>
        <v>-8976.7054545454539</v>
      </c>
      <c r="F23" s="115">
        <f>$D$9+NPV(DISC, $E$22:F22)</f>
        <v>-5616.8505123966943</v>
      </c>
      <c r="G23" s="115">
        <f>$D$22+NPV(DISC, $E$22:G22)</f>
        <v>-2990.1629018782878</v>
      </c>
      <c r="H23" s="115">
        <f>$D$22+NPV(DISC, $E$22:H22)</f>
        <v>-620.08575291851776</v>
      </c>
      <c r="I23" s="115">
        <f>$D$22+NPV(DISC, $E$22:I22)</f>
        <v>1519.1611147618059</v>
      </c>
      <c r="J23" s="115">
        <f>$D$22+NPV(DISC, $E$22:J22)</f>
        <v>3451.0090851817877</v>
      </c>
      <c r="K23" s="115">
        <f>$D$22+NPV(DISC, $E$22:K22)</f>
        <v>5196.3080065961367</v>
      </c>
      <c r="L23" s="115">
        <f>$D$22+NPV(DISC, $E$22:L22)</f>
        <v>6773.7561599232358</v>
      </c>
      <c r="M23" s="115">
        <f>$D$22+NPV(DISC, $E$22:M22)</f>
        <v>8206.1905378848751</v>
      </c>
      <c r="N23" s="115">
        <f>$D$22+NPV(DISC, $E$22:N22)</f>
        <v>9508.1181627940823</v>
      </c>
      <c r="O23" s="67">
        <f>SUM(D23:N23)</f>
        <v>3450.7384454029743</v>
      </c>
    </row>
    <row r="24" spans="1:18" x14ac:dyDescent="0.2">
      <c r="A24" s="47"/>
      <c r="B24" s="49" t="s">
        <v>155</v>
      </c>
      <c r="C24" s="49"/>
      <c r="D24" s="51" t="e">
        <f>IF(D22=0, 0, IRR($D$22:D22))</f>
        <v>#NUM!</v>
      </c>
      <c r="E24" s="51" t="e">
        <f>IRR($D$22:E22, D26)</f>
        <v>#NUM!</v>
      </c>
      <c r="F24" s="51">
        <f>IRR($D$22:F22, D26)</f>
        <v>-0.24523382154865908</v>
      </c>
      <c r="G24" s="51">
        <f>IRR($D$9:G9,D26)</f>
        <v>-4.1027342609239729E-2</v>
      </c>
      <c r="H24" s="51">
        <f>IRR($D$9:H9,E26)</f>
        <v>7.6704439414244124E-2</v>
      </c>
      <c r="I24" s="51">
        <f>IRR($D$9:I9,F26)</f>
        <v>0.14719386333707582</v>
      </c>
      <c r="J24" s="51">
        <f>IRR($D$9:J9,G26)</f>
        <v>0.19141153707593636</v>
      </c>
      <c r="K24" s="51">
        <f>IRR($D$9:K9,H26)</f>
        <v>0.22027187923047994</v>
      </c>
      <c r="L24" s="51">
        <f>IRR($D$9:L9,I26)</f>
        <v>0.23972162383482873</v>
      </c>
      <c r="M24" s="51">
        <f>IRR($D$9:M9,J26)</f>
        <v>0.25322338572250497</v>
      </c>
      <c r="N24" s="51">
        <f>IRR($D$9:N9,K26)</f>
        <v>0.26279155757992284</v>
      </c>
      <c r="O24" s="67" t="e">
        <f>SUM(D24:N24)</f>
        <v>#NUM!</v>
      </c>
    </row>
    <row r="25" spans="1:18" ht="13.5" thickBot="1" x14ac:dyDescent="0.25">
      <c r="A25" s="47"/>
      <c r="B25" s="49"/>
      <c r="C25" s="49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37"/>
    </row>
    <row r="26" spans="1:18" x14ac:dyDescent="0.2">
      <c r="A26" s="47"/>
      <c r="B26" s="80" t="s">
        <v>366</v>
      </c>
      <c r="C26" s="339"/>
      <c r="D26" s="373">
        <f>DISC</f>
        <v>0.1</v>
      </c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37"/>
    </row>
    <row r="27" spans="1:18" x14ac:dyDescent="0.2">
      <c r="A27" s="47"/>
      <c r="B27" s="90" t="s">
        <v>368</v>
      </c>
      <c r="C27" s="292"/>
      <c r="D27" s="374">
        <f>$D$22+NPV(DISC,$E$22:N22)</f>
        <v>9508.1181627940823</v>
      </c>
      <c r="E27" s="142"/>
      <c r="F27" s="118"/>
      <c r="G27" s="118"/>
      <c r="H27" s="118"/>
      <c r="I27" s="118"/>
      <c r="J27" s="118"/>
      <c r="K27" s="118"/>
      <c r="L27" s="118"/>
      <c r="M27" s="118"/>
      <c r="N27" s="118"/>
      <c r="O27" s="37"/>
    </row>
    <row r="28" spans="1:18" x14ac:dyDescent="0.2">
      <c r="A28" s="47"/>
      <c r="B28" s="90" t="s">
        <v>3</v>
      </c>
      <c r="C28" s="69"/>
      <c r="D28" s="164">
        <f>IRR($D22:N$22,D26)</f>
        <v>0.26279155757995692</v>
      </c>
      <c r="E28" s="283"/>
      <c r="F28" s="118"/>
      <c r="G28" s="118"/>
      <c r="H28" s="118"/>
      <c r="I28" s="118"/>
      <c r="J28" s="118"/>
      <c r="K28" s="118"/>
      <c r="L28" s="118"/>
      <c r="M28" s="118"/>
      <c r="N28" s="118"/>
      <c r="O28" s="37"/>
    </row>
    <row r="29" spans="1:18" ht="13.5" thickBot="1" x14ac:dyDescent="0.25">
      <c r="A29" s="58"/>
      <c r="B29" s="165" t="s">
        <v>156</v>
      </c>
      <c r="C29" s="166"/>
      <c r="D29" s="167">
        <f>MAX(E29:N29)</f>
        <v>4</v>
      </c>
      <c r="E29" s="376">
        <f>IF(AND(E23&gt;0,C23&lt;0),D3,0)</f>
        <v>0</v>
      </c>
      <c r="F29" s="145">
        <f>IF(AND(F23&gt;0,D23&lt;0),E3,0)</f>
        <v>0</v>
      </c>
      <c r="G29" s="162">
        <f>IF(AND(G23&gt;0,F23&lt;0),F3,0)</f>
        <v>0</v>
      </c>
      <c r="H29" s="162">
        <f t="shared" ref="H29:N29" si="7">IF(AND(H23&gt;0,G23&lt;0),G3,0)</f>
        <v>0</v>
      </c>
      <c r="I29" s="162">
        <f t="shared" si="7"/>
        <v>4</v>
      </c>
      <c r="J29" s="162">
        <f t="shared" si="7"/>
        <v>0</v>
      </c>
      <c r="K29" s="162">
        <f t="shared" si="7"/>
        <v>0</v>
      </c>
      <c r="L29" s="162">
        <f t="shared" si="7"/>
        <v>0</v>
      </c>
      <c r="M29" s="162">
        <f t="shared" si="7"/>
        <v>0</v>
      </c>
      <c r="N29" s="162">
        <f t="shared" si="7"/>
        <v>0</v>
      </c>
      <c r="O29" s="305">
        <f>SUM(E29:G29)</f>
        <v>0</v>
      </c>
    </row>
    <row r="30" spans="1:18" x14ac:dyDescent="0.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</row>
    <row r="31" spans="1:18" x14ac:dyDescent="0.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</row>
    <row r="32" spans="1:18" x14ac:dyDescent="0.2">
      <c r="A32" s="294"/>
      <c r="B32" s="49"/>
      <c r="C32" s="6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</row>
    <row r="33" spans="1:23" x14ac:dyDescent="0.2">
      <c r="A33" s="91"/>
      <c r="B33" s="49"/>
      <c r="C33" s="49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</row>
    <row r="34" spans="1:23" x14ac:dyDescent="0.2">
      <c r="A34" s="91"/>
      <c r="B34" s="49"/>
      <c r="C34" s="49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</row>
    <row r="35" spans="1:23" s="65" customFormat="1" x14ac:dyDescent="0.2">
      <c r="A35" s="295"/>
      <c r="B35" s="49"/>
      <c r="C35" s="49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T35" s="34"/>
      <c r="W35" s="66"/>
    </row>
    <row r="36" spans="1:23" s="121" customFormat="1" x14ac:dyDescent="0.2">
      <c r="A36" s="296"/>
      <c r="B36" s="49"/>
      <c r="C36" s="49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T36" s="34"/>
    </row>
    <row r="37" spans="1:23" x14ac:dyDescent="0.2">
      <c r="A37" s="93"/>
      <c r="B37" s="49"/>
      <c r="C37" s="49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</row>
    <row r="38" spans="1:23" x14ac:dyDescent="0.2">
      <c r="A38" s="93"/>
      <c r="B38" s="49"/>
      <c r="C38" s="49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49"/>
    </row>
    <row r="39" spans="1:23" x14ac:dyDescent="0.2">
      <c r="A39" s="93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</row>
    <row r="40" spans="1:23" x14ac:dyDescent="0.2">
      <c r="A40" s="93"/>
      <c r="B40" s="69"/>
      <c r="C40" s="292"/>
      <c r="D40" s="142"/>
      <c r="E40" s="142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</row>
    <row r="41" spans="1:23" x14ac:dyDescent="0.2">
      <c r="A41" s="93"/>
      <c r="B41" s="69"/>
      <c r="C41" s="69"/>
      <c r="D41" s="283"/>
      <c r="E41" s="283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</row>
    <row r="42" spans="1:23" x14ac:dyDescent="0.2">
      <c r="A42" s="93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</row>
    <row r="43" spans="1:23" x14ac:dyDescent="0.2">
      <c r="A43" s="93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</row>
    <row r="44" spans="1:23" x14ac:dyDescent="0.2">
      <c r="A44" s="294"/>
      <c r="B44" s="49"/>
      <c r="C44" s="6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</row>
    <row r="45" spans="1:23" x14ac:dyDescent="0.2">
      <c r="A45" s="91"/>
      <c r="B45" s="49"/>
      <c r="C45" s="49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</row>
    <row r="46" spans="1:23" x14ac:dyDescent="0.2">
      <c r="A46" s="91"/>
      <c r="B46" s="49"/>
      <c r="C46" s="49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</row>
    <row r="47" spans="1:23" s="65" customFormat="1" x14ac:dyDescent="0.2">
      <c r="A47" s="295"/>
      <c r="B47" s="49"/>
      <c r="C47" s="49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T47" s="34"/>
      <c r="W47" s="66"/>
    </row>
    <row r="48" spans="1:23" s="121" customFormat="1" x14ac:dyDescent="0.2">
      <c r="A48" s="296"/>
      <c r="B48" s="49"/>
      <c r="C48" s="49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T48" s="34"/>
    </row>
    <row r="49" spans="1:18" x14ac:dyDescent="0.2">
      <c r="A49" s="93"/>
      <c r="B49" s="49"/>
      <c r="C49" s="49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</row>
    <row r="50" spans="1:18" x14ac:dyDescent="0.2">
      <c r="A50" s="93"/>
      <c r="B50" s="49"/>
      <c r="C50" s="49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49"/>
    </row>
    <row r="51" spans="1:18" x14ac:dyDescent="0.2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</row>
    <row r="52" spans="1:18" x14ac:dyDescent="0.2">
      <c r="A52" s="49"/>
      <c r="B52" s="293"/>
      <c r="C52" s="292"/>
      <c r="D52" s="284"/>
      <c r="E52" s="284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</row>
    <row r="53" spans="1:18" x14ac:dyDescent="0.2">
      <c r="A53" s="49"/>
      <c r="B53" s="293"/>
      <c r="C53" s="293"/>
      <c r="D53" s="285"/>
      <c r="E53" s="285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</row>
  </sheetData>
  <printOptions horizontalCentered="1"/>
  <pageMargins left="0.5" right="1" top="0.75" bottom="0.75" header="0.5" footer="0.5"/>
  <pageSetup scale="59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H72"/>
  <sheetViews>
    <sheetView topLeftCell="A40" workbookViewId="0">
      <selection activeCell="G8" sqref="G8"/>
    </sheetView>
  </sheetViews>
  <sheetFormatPr defaultRowHeight="12.75" x14ac:dyDescent="0.2"/>
  <cols>
    <col min="1" max="2" width="9.140625" style="34"/>
    <col min="3" max="3" width="21.7109375" style="34" customWidth="1"/>
    <col min="4" max="6" width="9.140625" style="34"/>
    <col min="7" max="7" width="10" style="34" customWidth="1"/>
    <col min="8" max="9" width="9.140625" style="34"/>
    <col min="10" max="10" width="8.7109375" style="34" customWidth="1"/>
    <col min="11" max="11" width="13.5703125" style="34" customWidth="1"/>
    <col min="12" max="12" width="9" style="34" customWidth="1"/>
    <col min="13" max="13" width="13.85546875" style="34" customWidth="1"/>
    <col min="14" max="14" width="10.28515625" style="34" customWidth="1"/>
    <col min="15" max="15" width="15.140625" style="34" customWidth="1"/>
    <col min="16" max="16384" width="9.140625" style="34"/>
  </cols>
  <sheetData>
    <row r="1" spans="1:8" ht="15.75" x14ac:dyDescent="0.25">
      <c r="A1" s="147" t="s">
        <v>158</v>
      </c>
      <c r="B1" s="177"/>
      <c r="C1" s="159"/>
    </row>
    <row r="2" spans="1:8" ht="15.75" x14ac:dyDescent="0.25">
      <c r="A2" s="160">
        <f>ASS!A4</f>
        <v>0</v>
      </c>
      <c r="B2" s="158"/>
      <c r="C2" s="161"/>
    </row>
    <row r="3" spans="1:8" x14ac:dyDescent="0.2">
      <c r="B3" s="216" t="s">
        <v>159</v>
      </c>
      <c r="C3" s="71"/>
      <c r="D3" s="380">
        <f>COST</f>
        <v>13000</v>
      </c>
    </row>
    <row r="4" spans="1:8" x14ac:dyDescent="0.2">
      <c r="B4" s="47"/>
      <c r="E4" s="217" t="s">
        <v>160</v>
      </c>
      <c r="F4" s="122"/>
      <c r="G4" s="123"/>
    </row>
    <row r="5" spans="1:8" x14ac:dyDescent="0.2">
      <c r="B5" s="35"/>
      <c r="C5" s="46"/>
      <c r="D5" s="40"/>
      <c r="E5" s="221" t="s">
        <v>161</v>
      </c>
      <c r="F5" s="223" t="s">
        <v>161</v>
      </c>
      <c r="G5" s="224" t="s">
        <v>162</v>
      </c>
    </row>
    <row r="6" spans="1:8" x14ac:dyDescent="0.2">
      <c r="B6" s="37"/>
      <c r="C6" s="220" t="s">
        <v>163</v>
      </c>
      <c r="D6" s="48"/>
      <c r="E6" s="222" t="s">
        <v>164</v>
      </c>
      <c r="F6" s="220" t="s">
        <v>165</v>
      </c>
      <c r="G6" s="225" t="s">
        <v>165</v>
      </c>
    </row>
    <row r="7" spans="1:8" x14ac:dyDescent="0.2">
      <c r="B7" s="218" t="s">
        <v>166</v>
      </c>
      <c r="C7" s="219" t="s">
        <v>167</v>
      </c>
      <c r="D7" s="48"/>
      <c r="E7" s="54" t="s">
        <v>168</v>
      </c>
      <c r="F7" s="56" t="s">
        <v>169</v>
      </c>
      <c r="G7" s="55" t="s">
        <v>169</v>
      </c>
    </row>
    <row r="8" spans="1:8" x14ac:dyDescent="0.2">
      <c r="A8" s="234">
        <v>1</v>
      </c>
      <c r="B8" s="298">
        <v>36739</v>
      </c>
      <c r="C8" s="34" t="s">
        <v>340</v>
      </c>
      <c r="D8" s="48"/>
      <c r="E8" s="378">
        <f>ASS!U40</f>
        <v>3.1E-2</v>
      </c>
      <c r="F8" s="50">
        <f>E8*$D$3</f>
        <v>403</v>
      </c>
      <c r="G8" s="57">
        <f>F8</f>
        <v>403</v>
      </c>
    </row>
    <row r="9" spans="1:8" x14ac:dyDescent="0.2">
      <c r="A9" s="34">
        <f>A8+1</f>
        <v>2</v>
      </c>
      <c r="B9" s="298">
        <v>36770</v>
      </c>
      <c r="C9" s="49" t="s">
        <v>342</v>
      </c>
      <c r="D9" s="48"/>
      <c r="E9" s="378">
        <f>ASS!U41</f>
        <v>0.20499999999999999</v>
      </c>
      <c r="F9" s="50">
        <f t="shared" ref="F9:F24" si="0">E9*$D$3</f>
        <v>2665</v>
      </c>
      <c r="G9" s="57">
        <f>F9+G8</f>
        <v>3068</v>
      </c>
    </row>
    <row r="10" spans="1:8" x14ac:dyDescent="0.2">
      <c r="A10" s="34">
        <f t="shared" ref="A10:A25" si="1">A9+1</f>
        <v>3</v>
      </c>
      <c r="B10" s="298">
        <v>36800</v>
      </c>
      <c r="C10" s="34" t="s">
        <v>346</v>
      </c>
      <c r="D10" s="48"/>
      <c r="E10" s="378">
        <f>ASS!U42</f>
        <v>0</v>
      </c>
      <c r="F10" s="50">
        <f t="shared" si="0"/>
        <v>0</v>
      </c>
      <c r="G10" s="57">
        <f t="shared" ref="G10:G25" si="2">F10+G9</f>
        <v>3068</v>
      </c>
    </row>
    <row r="11" spans="1:8" customFormat="1" x14ac:dyDescent="0.2">
      <c r="A11" s="34">
        <f t="shared" si="1"/>
        <v>4</v>
      </c>
      <c r="B11" s="298">
        <v>36831</v>
      </c>
      <c r="C11" s="34" t="s">
        <v>341</v>
      </c>
      <c r="D11" s="48"/>
      <c r="E11" s="378">
        <f>ASS!U43</f>
        <v>6.3E-2</v>
      </c>
      <c r="F11" s="50">
        <f t="shared" si="0"/>
        <v>819</v>
      </c>
      <c r="G11" s="57">
        <f t="shared" si="2"/>
        <v>3887</v>
      </c>
      <c r="H11" s="34"/>
    </row>
    <row r="12" spans="1:8" customFormat="1" x14ac:dyDescent="0.2">
      <c r="A12" s="34">
        <f t="shared" si="1"/>
        <v>5</v>
      </c>
      <c r="B12" s="298">
        <v>36861</v>
      </c>
      <c r="C12" s="49" t="s">
        <v>343</v>
      </c>
      <c r="D12" s="48"/>
      <c r="E12" s="378">
        <f>ASS!U44</f>
        <v>0.7</v>
      </c>
      <c r="F12" s="50">
        <f t="shared" si="0"/>
        <v>9100</v>
      </c>
      <c r="G12" s="57">
        <f t="shared" si="2"/>
        <v>12987</v>
      </c>
      <c r="H12" s="34"/>
    </row>
    <row r="13" spans="1:8" customFormat="1" x14ac:dyDescent="0.2">
      <c r="A13" s="34">
        <f t="shared" si="1"/>
        <v>6</v>
      </c>
      <c r="B13" s="298">
        <v>36892</v>
      </c>
      <c r="C13" s="49" t="s">
        <v>344</v>
      </c>
      <c r="D13" s="48"/>
      <c r="E13" s="125">
        <v>0</v>
      </c>
      <c r="F13" s="50">
        <f t="shared" si="0"/>
        <v>0</v>
      </c>
      <c r="G13" s="57">
        <f t="shared" si="2"/>
        <v>12987</v>
      </c>
      <c r="H13" s="34"/>
    </row>
    <row r="14" spans="1:8" customFormat="1" x14ac:dyDescent="0.2">
      <c r="A14" s="34">
        <f t="shared" si="1"/>
        <v>7</v>
      </c>
      <c r="B14" s="298">
        <v>36923</v>
      </c>
      <c r="C14" s="49" t="s">
        <v>344</v>
      </c>
      <c r="D14" s="48"/>
      <c r="E14" s="125">
        <f t="shared" ref="E14:E24" si="3">IF(TERM_C&gt;=A14, 1/TERM_C, 0)</f>
        <v>0</v>
      </c>
      <c r="F14" s="50">
        <f t="shared" si="0"/>
        <v>0</v>
      </c>
      <c r="G14" s="57">
        <f t="shared" si="2"/>
        <v>12987</v>
      </c>
      <c r="H14" s="34"/>
    </row>
    <row r="15" spans="1:8" customFormat="1" x14ac:dyDescent="0.2">
      <c r="A15" s="34">
        <f t="shared" si="1"/>
        <v>8</v>
      </c>
      <c r="B15" s="298">
        <v>36951</v>
      </c>
      <c r="C15" s="49" t="s">
        <v>344</v>
      </c>
      <c r="D15" s="48"/>
      <c r="E15" s="125">
        <f t="shared" si="3"/>
        <v>0</v>
      </c>
      <c r="F15" s="50">
        <f t="shared" si="0"/>
        <v>0</v>
      </c>
      <c r="G15" s="57">
        <f t="shared" si="2"/>
        <v>12987</v>
      </c>
      <c r="H15" s="34"/>
    </row>
    <row r="16" spans="1:8" customFormat="1" x14ac:dyDescent="0.2">
      <c r="A16" s="34">
        <f t="shared" si="1"/>
        <v>9</v>
      </c>
      <c r="B16" s="298">
        <v>36982</v>
      </c>
      <c r="C16" s="49" t="s">
        <v>344</v>
      </c>
      <c r="D16" s="48"/>
      <c r="E16" s="125">
        <f t="shared" si="3"/>
        <v>0</v>
      </c>
      <c r="F16" s="50">
        <f t="shared" si="0"/>
        <v>0</v>
      </c>
      <c r="G16" s="57">
        <f t="shared" si="2"/>
        <v>12987</v>
      </c>
      <c r="H16" s="34"/>
    </row>
    <row r="17" spans="1:8" customFormat="1" x14ac:dyDescent="0.2">
      <c r="A17" s="34">
        <f t="shared" si="1"/>
        <v>10</v>
      </c>
      <c r="B17" s="298">
        <v>37012</v>
      </c>
      <c r="C17" s="49" t="s">
        <v>344</v>
      </c>
      <c r="D17" s="48"/>
      <c r="E17" s="125">
        <f t="shared" si="3"/>
        <v>0</v>
      </c>
      <c r="F17" s="50">
        <f t="shared" si="0"/>
        <v>0</v>
      </c>
      <c r="G17" s="57">
        <f t="shared" si="2"/>
        <v>12987</v>
      </c>
      <c r="H17" s="34"/>
    </row>
    <row r="18" spans="1:8" customFormat="1" x14ac:dyDescent="0.2">
      <c r="A18" s="34">
        <f t="shared" si="1"/>
        <v>11</v>
      </c>
      <c r="B18" s="298">
        <v>37043</v>
      </c>
      <c r="C18" s="49" t="s">
        <v>345</v>
      </c>
      <c r="D18" s="48"/>
      <c r="E18" s="125">
        <f t="shared" si="3"/>
        <v>0</v>
      </c>
      <c r="F18" s="50">
        <f t="shared" si="0"/>
        <v>0</v>
      </c>
      <c r="G18" s="57">
        <f t="shared" si="2"/>
        <v>12987</v>
      </c>
      <c r="H18" s="34"/>
    </row>
    <row r="19" spans="1:8" customFormat="1" x14ac:dyDescent="0.2">
      <c r="A19" s="34">
        <f t="shared" si="1"/>
        <v>12</v>
      </c>
      <c r="B19" s="298">
        <v>37073</v>
      </c>
      <c r="C19" s="49" t="s">
        <v>345</v>
      </c>
      <c r="D19" s="48"/>
      <c r="E19" s="125">
        <f t="shared" si="3"/>
        <v>0</v>
      </c>
      <c r="F19" s="50">
        <f t="shared" si="0"/>
        <v>0</v>
      </c>
      <c r="G19" s="57">
        <f t="shared" si="2"/>
        <v>12987</v>
      </c>
      <c r="H19" s="34"/>
    </row>
    <row r="20" spans="1:8" customFormat="1" x14ac:dyDescent="0.2">
      <c r="A20" s="34">
        <f t="shared" si="1"/>
        <v>13</v>
      </c>
      <c r="B20" s="298">
        <v>37104</v>
      </c>
      <c r="C20" s="49" t="s">
        <v>345</v>
      </c>
      <c r="D20" s="48"/>
      <c r="E20" s="125">
        <f t="shared" si="3"/>
        <v>0</v>
      </c>
      <c r="F20" s="50">
        <f t="shared" si="0"/>
        <v>0</v>
      </c>
      <c r="G20" s="57">
        <f t="shared" si="2"/>
        <v>12987</v>
      </c>
      <c r="H20" s="34"/>
    </row>
    <row r="21" spans="1:8" customFormat="1" x14ac:dyDescent="0.2">
      <c r="A21" s="34">
        <f t="shared" si="1"/>
        <v>14</v>
      </c>
      <c r="B21" s="298">
        <v>37135</v>
      </c>
      <c r="C21" s="49" t="s">
        <v>345</v>
      </c>
      <c r="D21" s="48"/>
      <c r="E21" s="125">
        <f t="shared" si="3"/>
        <v>0</v>
      </c>
      <c r="F21" s="50">
        <f t="shared" si="0"/>
        <v>0</v>
      </c>
      <c r="G21" s="57">
        <f t="shared" si="2"/>
        <v>12987</v>
      </c>
      <c r="H21" s="34"/>
    </row>
    <row r="22" spans="1:8" x14ac:dyDescent="0.2">
      <c r="A22" s="34">
        <f t="shared" si="1"/>
        <v>15</v>
      </c>
      <c r="B22" s="298">
        <v>37165</v>
      </c>
      <c r="C22" s="49" t="s">
        <v>345</v>
      </c>
      <c r="D22" s="48"/>
      <c r="E22" s="125">
        <f t="shared" si="3"/>
        <v>0</v>
      </c>
      <c r="F22" s="50">
        <f t="shared" si="0"/>
        <v>0</v>
      </c>
      <c r="G22" s="57">
        <f t="shared" si="2"/>
        <v>12987</v>
      </c>
    </row>
    <row r="23" spans="1:8" x14ac:dyDescent="0.2">
      <c r="A23" s="34">
        <f t="shared" si="1"/>
        <v>16</v>
      </c>
      <c r="B23" s="298">
        <v>37196</v>
      </c>
      <c r="C23" s="49" t="s">
        <v>345</v>
      </c>
      <c r="D23" s="48"/>
      <c r="E23" s="125">
        <f t="shared" si="3"/>
        <v>0</v>
      </c>
      <c r="F23" s="50">
        <f t="shared" si="0"/>
        <v>0</v>
      </c>
      <c r="G23" s="57">
        <f t="shared" si="2"/>
        <v>12987</v>
      </c>
    </row>
    <row r="24" spans="1:8" x14ac:dyDescent="0.2">
      <c r="A24" s="34">
        <f t="shared" si="1"/>
        <v>17</v>
      </c>
      <c r="B24" s="298">
        <v>37226</v>
      </c>
      <c r="C24" s="49" t="s">
        <v>345</v>
      </c>
      <c r="D24" s="48"/>
      <c r="E24" s="125">
        <f t="shared" si="3"/>
        <v>0</v>
      </c>
      <c r="F24" s="50">
        <f t="shared" si="0"/>
        <v>0</v>
      </c>
      <c r="G24" s="57">
        <f t="shared" si="2"/>
        <v>12987</v>
      </c>
    </row>
    <row r="25" spans="1:8" x14ac:dyDescent="0.2">
      <c r="A25" s="34">
        <f t="shared" si="1"/>
        <v>18</v>
      </c>
      <c r="B25" s="298">
        <v>37257</v>
      </c>
      <c r="C25" s="49" t="s">
        <v>345</v>
      </c>
      <c r="D25" s="48"/>
      <c r="E25" s="125">
        <f t="shared" ref="E25:E40" si="4">IF(TERM_C&gt;=A25, 1/TERM_C, 0)</f>
        <v>0</v>
      </c>
      <c r="F25" s="50">
        <f t="shared" ref="F25:F40" si="5">E25*$D$3</f>
        <v>0</v>
      </c>
      <c r="G25" s="57">
        <f t="shared" si="2"/>
        <v>12987</v>
      </c>
    </row>
    <row r="26" spans="1:8" x14ac:dyDescent="0.2">
      <c r="A26" s="34">
        <f t="shared" ref="A26:A41" si="6">A25+1</f>
        <v>19</v>
      </c>
      <c r="B26" s="298">
        <v>37288</v>
      </c>
      <c r="C26" s="49" t="s">
        <v>345</v>
      </c>
      <c r="D26" s="48"/>
      <c r="E26" s="125">
        <f t="shared" si="4"/>
        <v>0</v>
      </c>
      <c r="F26" s="50">
        <f t="shared" si="5"/>
        <v>0</v>
      </c>
      <c r="G26" s="57">
        <f t="shared" ref="G26:G41" si="7">F26+G25</f>
        <v>12987</v>
      </c>
    </row>
    <row r="27" spans="1:8" x14ac:dyDescent="0.2">
      <c r="A27" s="34">
        <f t="shared" si="6"/>
        <v>20</v>
      </c>
      <c r="B27" s="298">
        <v>37316</v>
      </c>
      <c r="C27" s="49" t="s">
        <v>345</v>
      </c>
      <c r="D27" s="48"/>
      <c r="E27" s="125">
        <f t="shared" si="4"/>
        <v>0</v>
      </c>
      <c r="F27" s="50">
        <f t="shared" si="5"/>
        <v>0</v>
      </c>
      <c r="G27" s="57">
        <f t="shared" si="7"/>
        <v>12987</v>
      </c>
    </row>
    <row r="28" spans="1:8" x14ac:dyDescent="0.2">
      <c r="A28" s="34">
        <f t="shared" si="6"/>
        <v>21</v>
      </c>
      <c r="B28" s="298">
        <v>37347</v>
      </c>
      <c r="C28" s="49" t="s">
        <v>345</v>
      </c>
      <c r="D28" s="48"/>
      <c r="E28" s="125">
        <f t="shared" si="4"/>
        <v>0</v>
      </c>
      <c r="F28" s="50">
        <f t="shared" si="5"/>
        <v>0</v>
      </c>
      <c r="G28" s="57">
        <f t="shared" si="7"/>
        <v>12987</v>
      </c>
    </row>
    <row r="29" spans="1:8" x14ac:dyDescent="0.2">
      <c r="A29" s="34">
        <f t="shared" si="6"/>
        <v>22</v>
      </c>
      <c r="B29" s="298">
        <v>37377</v>
      </c>
      <c r="C29" s="49" t="s">
        <v>345</v>
      </c>
      <c r="D29" s="48"/>
      <c r="E29" s="125">
        <f t="shared" si="4"/>
        <v>0</v>
      </c>
      <c r="F29" s="50">
        <f t="shared" si="5"/>
        <v>0</v>
      </c>
      <c r="G29" s="57">
        <f t="shared" si="7"/>
        <v>12987</v>
      </c>
    </row>
    <row r="30" spans="1:8" x14ac:dyDescent="0.2">
      <c r="A30" s="34">
        <f t="shared" si="6"/>
        <v>23</v>
      </c>
      <c r="B30" s="298">
        <v>37408</v>
      </c>
      <c r="C30" s="49" t="s">
        <v>345</v>
      </c>
      <c r="D30" s="48"/>
      <c r="E30" s="125">
        <f t="shared" si="4"/>
        <v>0</v>
      </c>
      <c r="F30" s="50">
        <f t="shared" si="5"/>
        <v>0</v>
      </c>
      <c r="G30" s="57">
        <f t="shared" si="7"/>
        <v>12987</v>
      </c>
    </row>
    <row r="31" spans="1:8" x14ac:dyDescent="0.2">
      <c r="A31" s="34">
        <f t="shared" si="6"/>
        <v>24</v>
      </c>
      <c r="B31" s="298">
        <v>37438</v>
      </c>
      <c r="C31" s="49" t="s">
        <v>345</v>
      </c>
      <c r="D31" s="48"/>
      <c r="E31" s="125">
        <f t="shared" si="4"/>
        <v>0</v>
      </c>
      <c r="F31" s="50">
        <f t="shared" si="5"/>
        <v>0</v>
      </c>
      <c r="G31" s="57">
        <f t="shared" si="7"/>
        <v>12987</v>
      </c>
    </row>
    <row r="32" spans="1:8" x14ac:dyDescent="0.2">
      <c r="A32" s="34">
        <f t="shared" si="6"/>
        <v>25</v>
      </c>
      <c r="B32" s="298">
        <v>37469</v>
      </c>
      <c r="C32" s="49" t="s">
        <v>345</v>
      </c>
      <c r="D32" s="48"/>
      <c r="E32" s="125">
        <f t="shared" si="4"/>
        <v>0</v>
      </c>
      <c r="F32" s="50">
        <f t="shared" si="5"/>
        <v>0</v>
      </c>
      <c r="G32" s="57">
        <f t="shared" si="7"/>
        <v>12987</v>
      </c>
    </row>
    <row r="33" spans="1:7" x14ac:dyDescent="0.2">
      <c r="A33" s="34">
        <f t="shared" si="6"/>
        <v>26</v>
      </c>
      <c r="B33" s="298">
        <v>37500</v>
      </c>
      <c r="C33" s="49" t="s">
        <v>345</v>
      </c>
      <c r="D33" s="48"/>
      <c r="E33" s="125">
        <f t="shared" si="4"/>
        <v>0</v>
      </c>
      <c r="F33" s="50">
        <f t="shared" si="5"/>
        <v>0</v>
      </c>
      <c r="G33" s="57">
        <f t="shared" si="7"/>
        <v>12987</v>
      </c>
    </row>
    <row r="34" spans="1:7" x14ac:dyDescent="0.2">
      <c r="A34" s="34">
        <f t="shared" si="6"/>
        <v>27</v>
      </c>
      <c r="B34" s="298">
        <v>37530</v>
      </c>
      <c r="C34" s="49" t="s">
        <v>345</v>
      </c>
      <c r="D34" s="48"/>
      <c r="E34" s="125">
        <f t="shared" si="4"/>
        <v>0</v>
      </c>
      <c r="F34" s="50">
        <f t="shared" si="5"/>
        <v>0</v>
      </c>
      <c r="G34" s="57">
        <f t="shared" si="7"/>
        <v>12987</v>
      </c>
    </row>
    <row r="35" spans="1:7" x14ac:dyDescent="0.2">
      <c r="A35" s="34">
        <f t="shared" si="6"/>
        <v>28</v>
      </c>
      <c r="B35" s="298">
        <v>37561</v>
      </c>
      <c r="C35" s="49" t="s">
        <v>345</v>
      </c>
      <c r="D35" s="48"/>
      <c r="E35" s="125">
        <f t="shared" si="4"/>
        <v>0</v>
      </c>
      <c r="F35" s="50">
        <f t="shared" si="5"/>
        <v>0</v>
      </c>
      <c r="G35" s="57">
        <f t="shared" si="7"/>
        <v>12987</v>
      </c>
    </row>
    <row r="36" spans="1:7" x14ac:dyDescent="0.2">
      <c r="A36" s="34">
        <f t="shared" si="6"/>
        <v>29</v>
      </c>
      <c r="B36" s="298">
        <v>37591</v>
      </c>
      <c r="C36" s="49" t="s">
        <v>345</v>
      </c>
      <c r="D36" s="48"/>
      <c r="E36" s="125">
        <f t="shared" si="4"/>
        <v>0</v>
      </c>
      <c r="F36" s="50">
        <f t="shared" si="5"/>
        <v>0</v>
      </c>
      <c r="G36" s="57">
        <f t="shared" si="7"/>
        <v>12987</v>
      </c>
    </row>
    <row r="37" spans="1:7" x14ac:dyDescent="0.2">
      <c r="A37" s="34">
        <f t="shared" si="6"/>
        <v>30</v>
      </c>
      <c r="B37" s="298">
        <v>37622</v>
      </c>
      <c r="C37" s="49" t="s">
        <v>345</v>
      </c>
      <c r="D37" s="48"/>
      <c r="E37" s="125">
        <f t="shared" si="4"/>
        <v>0</v>
      </c>
      <c r="F37" s="50">
        <f t="shared" si="5"/>
        <v>0</v>
      </c>
      <c r="G37" s="57">
        <f t="shared" si="7"/>
        <v>12987</v>
      </c>
    </row>
    <row r="38" spans="1:7" x14ac:dyDescent="0.2">
      <c r="A38" s="34">
        <f t="shared" si="6"/>
        <v>31</v>
      </c>
      <c r="B38" s="298">
        <v>37653</v>
      </c>
      <c r="C38" s="49" t="s">
        <v>345</v>
      </c>
      <c r="D38" s="48"/>
      <c r="E38" s="125">
        <f t="shared" si="4"/>
        <v>0</v>
      </c>
      <c r="F38" s="50">
        <f t="shared" si="5"/>
        <v>0</v>
      </c>
      <c r="G38" s="57">
        <f t="shared" si="7"/>
        <v>12987</v>
      </c>
    </row>
    <row r="39" spans="1:7" x14ac:dyDescent="0.2">
      <c r="A39" s="34">
        <f t="shared" si="6"/>
        <v>32</v>
      </c>
      <c r="B39" s="298">
        <v>37681</v>
      </c>
      <c r="C39" s="49" t="s">
        <v>345</v>
      </c>
      <c r="D39" s="48"/>
      <c r="E39" s="125">
        <f t="shared" si="4"/>
        <v>0</v>
      </c>
      <c r="F39" s="50">
        <f t="shared" si="5"/>
        <v>0</v>
      </c>
      <c r="G39" s="57">
        <f t="shared" si="7"/>
        <v>12987</v>
      </c>
    </row>
    <row r="40" spans="1:7" x14ac:dyDescent="0.2">
      <c r="A40" s="34">
        <f t="shared" si="6"/>
        <v>33</v>
      </c>
      <c r="B40" s="298">
        <v>37712</v>
      </c>
      <c r="C40" s="49" t="s">
        <v>345</v>
      </c>
      <c r="D40" s="48"/>
      <c r="E40" s="125">
        <f t="shared" si="4"/>
        <v>0</v>
      </c>
      <c r="F40" s="50">
        <f t="shared" si="5"/>
        <v>0</v>
      </c>
      <c r="G40" s="57">
        <f t="shared" si="7"/>
        <v>12987</v>
      </c>
    </row>
    <row r="41" spans="1:7" x14ac:dyDescent="0.2">
      <c r="A41" s="34">
        <f t="shared" si="6"/>
        <v>34</v>
      </c>
      <c r="B41" s="298">
        <v>37742</v>
      </c>
      <c r="C41" s="49" t="s">
        <v>345</v>
      </c>
      <c r="D41" s="48"/>
      <c r="E41" s="125">
        <f t="shared" ref="E41:E56" si="8">IF(TERM_C&gt;=A41, 1/TERM_C, 0)</f>
        <v>0</v>
      </c>
      <c r="F41" s="50">
        <f t="shared" ref="F41:F56" si="9">E41*$D$3</f>
        <v>0</v>
      </c>
      <c r="G41" s="57">
        <f t="shared" si="7"/>
        <v>12987</v>
      </c>
    </row>
    <row r="42" spans="1:7" x14ac:dyDescent="0.2">
      <c r="A42" s="34">
        <f t="shared" ref="A42:A57" si="10">A41+1</f>
        <v>35</v>
      </c>
      <c r="B42" s="298">
        <v>37773</v>
      </c>
      <c r="C42" s="49" t="s">
        <v>345</v>
      </c>
      <c r="D42" s="48"/>
      <c r="E42" s="125">
        <f t="shared" si="8"/>
        <v>0</v>
      </c>
      <c r="F42" s="50">
        <f t="shared" si="9"/>
        <v>0</v>
      </c>
      <c r="G42" s="57">
        <f t="shared" ref="G42:G57" si="11">F42+G41</f>
        <v>12987</v>
      </c>
    </row>
    <row r="43" spans="1:7" x14ac:dyDescent="0.2">
      <c r="A43" s="34">
        <f t="shared" si="10"/>
        <v>36</v>
      </c>
      <c r="B43" s="298">
        <v>37803</v>
      </c>
      <c r="C43" s="49" t="s">
        <v>345</v>
      </c>
      <c r="D43" s="48"/>
      <c r="E43" s="125">
        <f t="shared" si="8"/>
        <v>0</v>
      </c>
      <c r="F43" s="50">
        <f t="shared" si="9"/>
        <v>0</v>
      </c>
      <c r="G43" s="57">
        <f t="shared" si="11"/>
        <v>12987</v>
      </c>
    </row>
    <row r="44" spans="1:7" x14ac:dyDescent="0.2">
      <c r="A44" s="34">
        <f t="shared" si="10"/>
        <v>37</v>
      </c>
      <c r="B44" s="298">
        <v>37834</v>
      </c>
      <c r="C44" s="49" t="s">
        <v>345</v>
      </c>
      <c r="D44" s="48"/>
      <c r="E44" s="125">
        <f t="shared" si="8"/>
        <v>0</v>
      </c>
      <c r="F44" s="50">
        <f t="shared" si="9"/>
        <v>0</v>
      </c>
      <c r="G44" s="57">
        <f t="shared" si="11"/>
        <v>12987</v>
      </c>
    </row>
    <row r="45" spans="1:7" x14ac:dyDescent="0.2">
      <c r="A45" s="34">
        <f t="shared" si="10"/>
        <v>38</v>
      </c>
      <c r="B45" s="298">
        <v>37865</v>
      </c>
      <c r="C45" s="49" t="s">
        <v>345</v>
      </c>
      <c r="D45" s="48"/>
      <c r="E45" s="125">
        <f t="shared" si="8"/>
        <v>0</v>
      </c>
      <c r="F45" s="50">
        <f t="shared" si="9"/>
        <v>0</v>
      </c>
      <c r="G45" s="57">
        <f t="shared" si="11"/>
        <v>12987</v>
      </c>
    </row>
    <row r="46" spans="1:7" x14ac:dyDescent="0.2">
      <c r="A46" s="34">
        <f t="shared" si="10"/>
        <v>39</v>
      </c>
      <c r="B46" s="298">
        <v>37895</v>
      </c>
      <c r="C46" s="49" t="s">
        <v>345</v>
      </c>
      <c r="D46" s="48"/>
      <c r="E46" s="125">
        <f t="shared" si="8"/>
        <v>0</v>
      </c>
      <c r="F46" s="50">
        <f t="shared" si="9"/>
        <v>0</v>
      </c>
      <c r="G46" s="57">
        <f t="shared" si="11"/>
        <v>12987</v>
      </c>
    </row>
    <row r="47" spans="1:7" x14ac:dyDescent="0.2">
      <c r="A47" s="34">
        <f t="shared" si="10"/>
        <v>40</v>
      </c>
      <c r="B47" s="298">
        <v>37926</v>
      </c>
      <c r="C47" s="49" t="s">
        <v>345</v>
      </c>
      <c r="D47" s="48"/>
      <c r="E47" s="125">
        <f t="shared" si="8"/>
        <v>0</v>
      </c>
      <c r="F47" s="50">
        <f t="shared" si="9"/>
        <v>0</v>
      </c>
      <c r="G47" s="57">
        <f t="shared" si="11"/>
        <v>12987</v>
      </c>
    </row>
    <row r="48" spans="1:7" x14ac:dyDescent="0.2">
      <c r="A48" s="34">
        <f t="shared" si="10"/>
        <v>41</v>
      </c>
      <c r="B48" s="298">
        <v>37956</v>
      </c>
      <c r="C48" s="49" t="s">
        <v>345</v>
      </c>
      <c r="D48" s="48"/>
      <c r="E48" s="125">
        <f t="shared" si="8"/>
        <v>0</v>
      </c>
      <c r="F48" s="50">
        <f t="shared" si="9"/>
        <v>0</v>
      </c>
      <c r="G48" s="57">
        <f t="shared" si="11"/>
        <v>12987</v>
      </c>
    </row>
    <row r="49" spans="1:7" x14ac:dyDescent="0.2">
      <c r="A49" s="34">
        <f t="shared" si="10"/>
        <v>42</v>
      </c>
      <c r="B49" s="298">
        <v>37987</v>
      </c>
      <c r="C49" s="49"/>
      <c r="D49" s="48"/>
      <c r="E49" s="125">
        <f t="shared" si="8"/>
        <v>0</v>
      </c>
      <c r="F49" s="50">
        <f t="shared" si="9"/>
        <v>0</v>
      </c>
      <c r="G49" s="57">
        <f t="shared" si="11"/>
        <v>12987</v>
      </c>
    </row>
    <row r="50" spans="1:7" x14ac:dyDescent="0.2">
      <c r="A50" s="34">
        <f t="shared" si="10"/>
        <v>43</v>
      </c>
      <c r="B50" s="298">
        <v>38018</v>
      </c>
      <c r="C50" s="49"/>
      <c r="D50" s="48"/>
      <c r="E50" s="125">
        <f t="shared" si="8"/>
        <v>0</v>
      </c>
      <c r="F50" s="50">
        <f t="shared" si="9"/>
        <v>0</v>
      </c>
      <c r="G50" s="57">
        <f t="shared" si="11"/>
        <v>12987</v>
      </c>
    </row>
    <row r="51" spans="1:7" x14ac:dyDescent="0.2">
      <c r="A51" s="34">
        <f t="shared" si="10"/>
        <v>44</v>
      </c>
      <c r="B51" s="298">
        <v>38047</v>
      </c>
      <c r="C51" s="49"/>
      <c r="D51" s="48"/>
      <c r="E51" s="125">
        <f t="shared" si="8"/>
        <v>0</v>
      </c>
      <c r="F51" s="50">
        <f t="shared" si="9"/>
        <v>0</v>
      </c>
      <c r="G51" s="57">
        <f t="shared" si="11"/>
        <v>12987</v>
      </c>
    </row>
    <row r="52" spans="1:7" x14ac:dyDescent="0.2">
      <c r="A52" s="34">
        <f t="shared" si="10"/>
        <v>45</v>
      </c>
      <c r="B52" s="298">
        <v>38078</v>
      </c>
      <c r="C52" s="49"/>
      <c r="D52" s="48"/>
      <c r="E52" s="125">
        <f t="shared" si="8"/>
        <v>0</v>
      </c>
      <c r="F52" s="50">
        <f t="shared" si="9"/>
        <v>0</v>
      </c>
      <c r="G52" s="57">
        <f t="shared" si="11"/>
        <v>12987</v>
      </c>
    </row>
    <row r="53" spans="1:7" x14ac:dyDescent="0.2">
      <c r="A53" s="34">
        <f t="shared" si="10"/>
        <v>46</v>
      </c>
      <c r="B53" s="298">
        <v>38108</v>
      </c>
      <c r="C53" s="49"/>
      <c r="D53" s="48"/>
      <c r="E53" s="125">
        <f t="shared" si="8"/>
        <v>0</v>
      </c>
      <c r="F53" s="50">
        <f t="shared" si="9"/>
        <v>0</v>
      </c>
      <c r="G53" s="57">
        <f t="shared" si="11"/>
        <v>12987</v>
      </c>
    </row>
    <row r="54" spans="1:7" x14ac:dyDescent="0.2">
      <c r="A54" s="34">
        <f t="shared" si="10"/>
        <v>47</v>
      </c>
      <c r="B54" s="298">
        <v>38139</v>
      </c>
      <c r="C54" s="49"/>
      <c r="D54" s="48"/>
      <c r="E54" s="125">
        <f t="shared" si="8"/>
        <v>0</v>
      </c>
      <c r="F54" s="50">
        <f t="shared" si="9"/>
        <v>0</v>
      </c>
      <c r="G54" s="57">
        <f t="shared" si="11"/>
        <v>12987</v>
      </c>
    </row>
    <row r="55" spans="1:7" x14ac:dyDescent="0.2">
      <c r="A55" s="34">
        <f t="shared" si="10"/>
        <v>48</v>
      </c>
      <c r="B55" s="298">
        <v>38169</v>
      </c>
      <c r="C55" s="49"/>
      <c r="D55" s="48"/>
      <c r="E55" s="125">
        <f t="shared" si="8"/>
        <v>0</v>
      </c>
      <c r="F55" s="50">
        <f t="shared" si="9"/>
        <v>0</v>
      </c>
      <c r="G55" s="57">
        <f t="shared" si="11"/>
        <v>12987</v>
      </c>
    </row>
    <row r="56" spans="1:7" x14ac:dyDescent="0.2">
      <c r="A56" s="34">
        <f t="shared" si="10"/>
        <v>49</v>
      </c>
      <c r="B56" s="298">
        <v>38200</v>
      </c>
      <c r="C56" s="49"/>
      <c r="D56" s="48"/>
      <c r="E56" s="125">
        <f t="shared" si="8"/>
        <v>0</v>
      </c>
      <c r="F56" s="50">
        <f t="shared" si="9"/>
        <v>0</v>
      </c>
      <c r="G56" s="57">
        <f t="shared" si="11"/>
        <v>12987</v>
      </c>
    </row>
    <row r="57" spans="1:7" x14ac:dyDescent="0.2">
      <c r="A57" s="34">
        <f t="shared" si="10"/>
        <v>50</v>
      </c>
      <c r="B57" s="298">
        <v>38231</v>
      </c>
      <c r="C57" s="49"/>
      <c r="D57" s="48"/>
      <c r="E57" s="125">
        <f t="shared" ref="E57:E67" si="12">IF(TERM_C&gt;=A57, 1/TERM_C, 0)</f>
        <v>0</v>
      </c>
      <c r="F57" s="50">
        <f t="shared" ref="F57:F67" si="13">E57*$D$3</f>
        <v>0</v>
      </c>
      <c r="G57" s="57">
        <f t="shared" si="11"/>
        <v>12987</v>
      </c>
    </row>
    <row r="58" spans="1:7" x14ac:dyDescent="0.2">
      <c r="A58" s="34">
        <f t="shared" ref="A58:A67" si="14">A57+1</f>
        <v>51</v>
      </c>
      <c r="B58" s="298">
        <v>38261</v>
      </c>
      <c r="C58" s="49"/>
      <c r="D58" s="48"/>
      <c r="E58" s="125">
        <f t="shared" si="12"/>
        <v>0</v>
      </c>
      <c r="F58" s="50">
        <f t="shared" si="13"/>
        <v>0</v>
      </c>
      <c r="G58" s="57">
        <f t="shared" ref="G58:G67" si="15">F58+G57</f>
        <v>12987</v>
      </c>
    </row>
    <row r="59" spans="1:7" x14ac:dyDescent="0.2">
      <c r="A59" s="34">
        <f t="shared" si="14"/>
        <v>52</v>
      </c>
      <c r="B59" s="298">
        <v>38292</v>
      </c>
      <c r="C59" s="49"/>
      <c r="D59" s="48"/>
      <c r="E59" s="125">
        <f t="shared" si="12"/>
        <v>0</v>
      </c>
      <c r="F59" s="50">
        <f t="shared" si="13"/>
        <v>0</v>
      </c>
      <c r="G59" s="57">
        <f t="shared" si="15"/>
        <v>12987</v>
      </c>
    </row>
    <row r="60" spans="1:7" x14ac:dyDescent="0.2">
      <c r="A60" s="34">
        <f t="shared" si="14"/>
        <v>53</v>
      </c>
      <c r="B60" s="298">
        <v>38322</v>
      </c>
      <c r="C60" s="49"/>
      <c r="D60" s="48"/>
      <c r="E60" s="125">
        <f t="shared" si="12"/>
        <v>0</v>
      </c>
      <c r="F60" s="50">
        <f t="shared" si="13"/>
        <v>0</v>
      </c>
      <c r="G60" s="57">
        <f t="shared" si="15"/>
        <v>12987</v>
      </c>
    </row>
    <row r="61" spans="1:7" x14ac:dyDescent="0.2">
      <c r="A61" s="34">
        <f t="shared" si="14"/>
        <v>54</v>
      </c>
      <c r="B61" s="298">
        <v>38353</v>
      </c>
      <c r="C61" s="49"/>
      <c r="D61" s="48"/>
      <c r="E61" s="125">
        <f t="shared" si="12"/>
        <v>0</v>
      </c>
      <c r="F61" s="50">
        <f t="shared" si="13"/>
        <v>0</v>
      </c>
      <c r="G61" s="57">
        <f t="shared" si="15"/>
        <v>12987</v>
      </c>
    </row>
    <row r="62" spans="1:7" x14ac:dyDescent="0.2">
      <c r="A62" s="34">
        <f t="shared" si="14"/>
        <v>55</v>
      </c>
      <c r="B62" s="298">
        <v>38384</v>
      </c>
      <c r="C62" s="49"/>
      <c r="D62" s="48"/>
      <c r="E62" s="125">
        <f t="shared" si="12"/>
        <v>0</v>
      </c>
      <c r="F62" s="50">
        <f t="shared" si="13"/>
        <v>0</v>
      </c>
      <c r="G62" s="57">
        <f t="shared" si="15"/>
        <v>12987</v>
      </c>
    </row>
    <row r="63" spans="1:7" x14ac:dyDescent="0.2">
      <c r="A63" s="34">
        <f t="shared" si="14"/>
        <v>56</v>
      </c>
      <c r="B63" s="298">
        <v>38412</v>
      </c>
      <c r="C63" s="49"/>
      <c r="D63" s="48"/>
      <c r="E63" s="125">
        <f t="shared" si="12"/>
        <v>0</v>
      </c>
      <c r="F63" s="50">
        <f t="shared" si="13"/>
        <v>0</v>
      </c>
      <c r="G63" s="57">
        <f t="shared" si="15"/>
        <v>12987</v>
      </c>
    </row>
    <row r="64" spans="1:7" x14ac:dyDescent="0.2">
      <c r="A64" s="34">
        <f t="shared" si="14"/>
        <v>57</v>
      </c>
      <c r="B64" s="298">
        <v>38443</v>
      </c>
      <c r="C64" s="49"/>
      <c r="D64" s="48"/>
      <c r="E64" s="125">
        <f t="shared" si="12"/>
        <v>0</v>
      </c>
      <c r="F64" s="50">
        <f t="shared" si="13"/>
        <v>0</v>
      </c>
      <c r="G64" s="57">
        <f t="shared" si="15"/>
        <v>12987</v>
      </c>
    </row>
    <row r="65" spans="1:7" x14ac:dyDescent="0.2">
      <c r="A65" s="34">
        <f t="shared" si="14"/>
        <v>58</v>
      </c>
      <c r="B65" s="298">
        <v>38473</v>
      </c>
      <c r="C65" s="49"/>
      <c r="D65" s="48"/>
      <c r="E65" s="125">
        <f t="shared" si="12"/>
        <v>0</v>
      </c>
      <c r="F65" s="50">
        <f t="shared" si="13"/>
        <v>0</v>
      </c>
      <c r="G65" s="57">
        <f t="shared" si="15"/>
        <v>12987</v>
      </c>
    </row>
    <row r="66" spans="1:7" x14ac:dyDescent="0.2">
      <c r="A66" s="34">
        <f t="shared" si="14"/>
        <v>59</v>
      </c>
      <c r="B66" s="298">
        <v>38504</v>
      </c>
      <c r="C66" s="49"/>
      <c r="D66" s="48"/>
      <c r="E66" s="125">
        <f t="shared" si="12"/>
        <v>0</v>
      </c>
      <c r="F66" s="50">
        <f t="shared" si="13"/>
        <v>0</v>
      </c>
      <c r="G66" s="57">
        <f t="shared" si="15"/>
        <v>12987</v>
      </c>
    </row>
    <row r="67" spans="1:7" x14ac:dyDescent="0.2">
      <c r="A67" s="34">
        <f t="shared" si="14"/>
        <v>60</v>
      </c>
      <c r="B67" s="298">
        <v>38534</v>
      </c>
      <c r="C67" s="49"/>
      <c r="D67" s="48"/>
      <c r="E67" s="125">
        <f t="shared" si="12"/>
        <v>0</v>
      </c>
      <c r="F67" s="50">
        <f t="shared" si="13"/>
        <v>0</v>
      </c>
      <c r="G67" s="57">
        <f t="shared" si="15"/>
        <v>12987</v>
      </c>
    </row>
    <row r="68" spans="1:7" ht="13.5" thickBot="1" x14ac:dyDescent="0.25">
      <c r="B68" s="37"/>
      <c r="C68" s="49"/>
      <c r="D68" s="48"/>
      <c r="E68" s="125" t="s">
        <v>5</v>
      </c>
      <c r="F68" s="49"/>
      <c r="G68" s="48"/>
    </row>
    <row r="69" spans="1:7" ht="14.25" thickTop="1" thickBot="1" x14ac:dyDescent="0.25">
      <c r="B69" s="212" t="s">
        <v>170</v>
      </c>
      <c r="C69" s="207"/>
      <c r="D69" s="213"/>
      <c r="E69" s="214">
        <f>SUM(E8:E68)</f>
        <v>0.99899999999999989</v>
      </c>
      <c r="F69" s="215">
        <f>SUM(F8:F68)</f>
        <v>12987</v>
      </c>
      <c r="G69" s="213"/>
    </row>
    <row r="70" spans="1:7" ht="13.5" thickTop="1" x14ac:dyDescent="0.2"/>
    <row r="72" spans="1:7" x14ac:dyDescent="0.2">
      <c r="A72" s="235">
        <v>1</v>
      </c>
      <c r="B72" s="235">
        <f t="shared" ref="B72:G72" si="16">A72+1</f>
        <v>2</v>
      </c>
      <c r="C72" s="235">
        <f t="shared" si="16"/>
        <v>3</v>
      </c>
      <c r="D72" s="235">
        <f t="shared" si="16"/>
        <v>4</v>
      </c>
      <c r="E72" s="235">
        <f t="shared" si="16"/>
        <v>5</v>
      </c>
      <c r="F72" s="235">
        <f t="shared" si="16"/>
        <v>6</v>
      </c>
      <c r="G72" s="235">
        <f t="shared" si="16"/>
        <v>7</v>
      </c>
    </row>
  </sheetData>
  <printOptions horizontalCentered="1"/>
  <pageMargins left="0.5" right="1" top="0.75" bottom="0.75" header="0.5" footer="0.5"/>
  <pageSetup scale="55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4"/>
  <sheetViews>
    <sheetView workbookViewId="0">
      <selection activeCell="D10" sqref="D10"/>
    </sheetView>
  </sheetViews>
  <sheetFormatPr defaultRowHeight="12.75" x14ac:dyDescent="0.2"/>
  <cols>
    <col min="1" max="1" width="26.7109375" style="34" customWidth="1"/>
    <col min="2" max="2" width="10.7109375" style="34" customWidth="1"/>
    <col min="3" max="3" width="3.7109375" style="34" customWidth="1"/>
    <col min="4" max="16384" width="9.140625" style="34"/>
  </cols>
  <sheetData>
    <row r="1" spans="1:12" ht="15.75" x14ac:dyDescent="0.25">
      <c r="A1" s="141" t="s">
        <v>171</v>
      </c>
      <c r="B1" s="136"/>
      <c r="C1" s="137"/>
      <c r="D1" s="38"/>
    </row>
    <row r="2" spans="1:12" ht="15.75" x14ac:dyDescent="0.25">
      <c r="A2" s="138">
        <f>ASS!A4</f>
        <v>0</v>
      </c>
      <c r="B2" s="139"/>
      <c r="C2" s="140"/>
      <c r="D2" s="38"/>
    </row>
    <row r="4" spans="1:12" x14ac:dyDescent="0.2">
      <c r="A4" s="39" t="s">
        <v>172</v>
      </c>
      <c r="B4" s="46"/>
      <c r="C4" s="46"/>
      <c r="D4" s="46"/>
      <c r="E4" s="124">
        <f>1</f>
        <v>1</v>
      </c>
      <c r="F4" s="124">
        <f>E4+1</f>
        <v>2</v>
      </c>
      <c r="G4" s="124">
        <f>F4+1</f>
        <v>3</v>
      </c>
      <c r="H4" s="124">
        <f>G4+1</f>
        <v>4</v>
      </c>
      <c r="I4" s="124">
        <f>H4+1</f>
        <v>5</v>
      </c>
      <c r="J4" s="124">
        <f>I4+1</f>
        <v>6</v>
      </c>
      <c r="K4" s="35"/>
    </row>
    <row r="5" spans="1:12" x14ac:dyDescent="0.2">
      <c r="A5" s="112" t="s">
        <v>173</v>
      </c>
      <c r="B5" s="201"/>
      <c r="C5" s="201"/>
      <c r="D5" s="201"/>
      <c r="E5" s="381">
        <f>ASS!T40</f>
        <v>36739</v>
      </c>
      <c r="F5" s="381">
        <f>ASS!T41</f>
        <v>36770</v>
      </c>
      <c r="G5" s="381">
        <f>ASS!T42</f>
        <v>36800</v>
      </c>
      <c r="H5" s="381">
        <f>ASS!T43</f>
        <v>36831</v>
      </c>
      <c r="I5" s="381">
        <f>ASS!T44</f>
        <v>36861</v>
      </c>
      <c r="J5" s="381">
        <f>ASS!T45</f>
        <v>36892</v>
      </c>
      <c r="K5" s="163" t="s">
        <v>170</v>
      </c>
      <c r="L5" s="234">
        <v>1</v>
      </c>
    </row>
    <row r="6" spans="1:12" x14ac:dyDescent="0.2">
      <c r="L6" s="34">
        <f>L5+1</f>
        <v>2</v>
      </c>
    </row>
    <row r="7" spans="1:12" x14ac:dyDescent="0.2">
      <c r="L7" s="34">
        <f t="shared" ref="L7:L31" si="0">L6+1</f>
        <v>3</v>
      </c>
    </row>
    <row r="8" spans="1:12" x14ac:dyDescent="0.2">
      <c r="A8" s="78"/>
      <c r="B8" s="100" t="s">
        <v>174</v>
      </c>
      <c r="C8" s="100"/>
      <c r="D8" s="105" t="s">
        <v>175</v>
      </c>
      <c r="E8" s="46"/>
      <c r="F8" s="46"/>
      <c r="G8" s="46"/>
      <c r="H8" s="46"/>
      <c r="I8" s="46"/>
      <c r="J8" s="46"/>
      <c r="K8" s="35"/>
      <c r="L8" s="34">
        <f t="shared" si="0"/>
        <v>4</v>
      </c>
    </row>
    <row r="9" spans="1:12" x14ac:dyDescent="0.2">
      <c r="A9" s="85" t="s">
        <v>176</v>
      </c>
      <c r="B9" s="142">
        <f>COST</f>
        <v>13000</v>
      </c>
      <c r="C9" s="142"/>
      <c r="D9" s="142">
        <f>COST</f>
        <v>13000</v>
      </c>
      <c r="E9" s="49"/>
      <c r="F9" s="49"/>
      <c r="G9" s="49"/>
      <c r="H9" s="49"/>
      <c r="I9" s="49"/>
      <c r="J9" s="49"/>
      <c r="K9" s="37"/>
      <c r="L9" s="34">
        <f t="shared" si="0"/>
        <v>5</v>
      </c>
    </row>
    <row r="10" spans="1:12" x14ac:dyDescent="0.2">
      <c r="A10" s="85" t="s">
        <v>177</v>
      </c>
      <c r="B10" s="69"/>
      <c r="C10" s="69"/>
      <c r="D10" s="258">
        <f>ASS!V24</f>
        <v>0</v>
      </c>
      <c r="E10" s="49"/>
      <c r="F10" s="49"/>
      <c r="G10" s="49"/>
      <c r="H10" s="49"/>
      <c r="I10" s="49"/>
      <c r="J10" s="49"/>
      <c r="K10" s="37"/>
      <c r="L10" s="34">
        <f t="shared" si="0"/>
        <v>6</v>
      </c>
    </row>
    <row r="11" spans="1:12" x14ac:dyDescent="0.2">
      <c r="A11" s="112" t="s">
        <v>297</v>
      </c>
      <c r="B11" s="412" t="str">
        <f>ASS!W18</f>
        <v/>
      </c>
      <c r="C11" s="412"/>
      <c r="D11" s="413"/>
      <c r="E11" s="49"/>
      <c r="F11" s="49"/>
      <c r="G11" s="49"/>
      <c r="H11" s="49"/>
      <c r="I11" s="49"/>
      <c r="J11" s="49"/>
      <c r="K11" s="37"/>
      <c r="L11" s="34">
        <f t="shared" si="0"/>
        <v>7</v>
      </c>
    </row>
    <row r="12" spans="1:12" x14ac:dyDescent="0.2">
      <c r="A12" s="47" t="s">
        <v>5</v>
      </c>
      <c r="B12" s="49"/>
      <c r="C12" s="49"/>
      <c r="D12" s="49"/>
      <c r="E12" s="49"/>
      <c r="F12" s="49"/>
      <c r="G12" s="49"/>
      <c r="H12" s="49"/>
      <c r="I12" s="49"/>
      <c r="J12" s="49"/>
      <c r="K12" s="37"/>
      <c r="L12" s="34">
        <f t="shared" si="0"/>
        <v>8</v>
      </c>
    </row>
    <row r="13" spans="1:12" x14ac:dyDescent="0.2">
      <c r="A13" s="47"/>
      <c r="B13" s="49"/>
      <c r="C13" s="49"/>
      <c r="D13" s="49"/>
      <c r="E13" s="49"/>
      <c r="F13" s="49"/>
      <c r="G13" s="49"/>
      <c r="H13" s="49"/>
      <c r="I13" s="49"/>
      <c r="J13" s="49"/>
      <c r="K13" s="37"/>
      <c r="L13" s="34">
        <f t="shared" si="0"/>
        <v>9</v>
      </c>
    </row>
    <row r="14" spans="1:12" x14ac:dyDescent="0.2">
      <c r="A14" s="108" t="s">
        <v>178</v>
      </c>
      <c r="B14" s="49"/>
      <c r="C14" s="49"/>
      <c r="D14" s="49"/>
      <c r="E14" s="49"/>
      <c r="F14" s="49"/>
      <c r="G14" s="49"/>
      <c r="H14" s="49"/>
      <c r="I14" s="49"/>
      <c r="J14" s="49"/>
      <c r="K14" s="37"/>
      <c r="L14" s="34">
        <f t="shared" si="0"/>
        <v>10</v>
      </c>
    </row>
    <row r="15" spans="1:12" x14ac:dyDescent="0.2">
      <c r="A15" s="47" t="s">
        <v>179</v>
      </c>
      <c r="B15" s="49"/>
      <c r="C15" s="49"/>
      <c r="D15" s="49"/>
      <c r="E15" s="143">
        <v>0</v>
      </c>
      <c r="F15" s="115">
        <f>E17</f>
        <v>403</v>
      </c>
      <c r="G15" s="115">
        <f>F17</f>
        <v>3068</v>
      </c>
      <c r="H15" s="115">
        <f>G17</f>
        <v>3068</v>
      </c>
      <c r="I15" s="115">
        <f>H17</f>
        <v>3887</v>
      </c>
      <c r="J15" s="115">
        <f>I17</f>
        <v>12987</v>
      </c>
      <c r="K15" s="37"/>
      <c r="L15" s="34">
        <f t="shared" si="0"/>
        <v>11</v>
      </c>
    </row>
    <row r="16" spans="1:12" x14ac:dyDescent="0.2">
      <c r="A16" s="47" t="s">
        <v>180</v>
      </c>
      <c r="B16" s="49"/>
      <c r="C16" s="49"/>
      <c r="D16" s="49"/>
      <c r="E16" s="115">
        <f>VLOOKUP(E4,DRAW_TABLE,DRAWDOWN!$F$72)</f>
        <v>403</v>
      </c>
      <c r="F16" s="115">
        <f>VLOOKUP(F4,DRAW_TABLE,DRAWDOWN!$F$72)</f>
        <v>2665</v>
      </c>
      <c r="G16" s="115">
        <f>VLOOKUP(G4,DRAW_TABLE,DRAWDOWN!$F$72)</f>
        <v>0</v>
      </c>
      <c r="H16" s="115">
        <f>VLOOKUP(H4,DRAW_TABLE,DRAWDOWN!$F$72)</f>
        <v>819</v>
      </c>
      <c r="I16" s="115">
        <f>VLOOKUP(I4,DRAW_TABLE,DRAWDOWN!$F$72)</f>
        <v>9100</v>
      </c>
      <c r="J16" s="115">
        <f>VLOOKUP(J4,DRAW_TABLE,DRAWDOWN!$F$72)</f>
        <v>0</v>
      </c>
      <c r="K16" s="67">
        <f>SUM(E16:J16)</f>
        <v>12987</v>
      </c>
      <c r="L16" s="34">
        <f t="shared" si="0"/>
        <v>12</v>
      </c>
    </row>
    <row r="17" spans="1:12" x14ac:dyDescent="0.2">
      <c r="A17" s="47" t="s">
        <v>181</v>
      </c>
      <c r="B17" s="49"/>
      <c r="C17" s="49"/>
      <c r="D17" s="49"/>
      <c r="E17" s="115">
        <f t="shared" ref="E17:J17" si="1">SUM(E15:E16)</f>
        <v>403</v>
      </c>
      <c r="F17" s="115">
        <f t="shared" si="1"/>
        <v>3068</v>
      </c>
      <c r="G17" s="115">
        <f t="shared" si="1"/>
        <v>3068</v>
      </c>
      <c r="H17" s="115">
        <f t="shared" si="1"/>
        <v>3887</v>
      </c>
      <c r="I17" s="115">
        <f t="shared" si="1"/>
        <v>12987</v>
      </c>
      <c r="J17" s="115">
        <f t="shared" si="1"/>
        <v>12987</v>
      </c>
      <c r="K17" s="37"/>
      <c r="L17" s="34">
        <f t="shared" si="0"/>
        <v>13</v>
      </c>
    </row>
    <row r="18" spans="1:12" x14ac:dyDescent="0.2">
      <c r="A18" s="47" t="s">
        <v>182</v>
      </c>
      <c r="B18" s="49"/>
      <c r="C18" s="49"/>
      <c r="D18" s="49"/>
      <c r="E18" s="144">
        <f>SUM($E$16:E16)/$B$9</f>
        <v>3.1E-2</v>
      </c>
      <c r="F18" s="144">
        <f>SUM($E$16:F16)/$B$9</f>
        <v>0.23599999999999999</v>
      </c>
      <c r="G18" s="144">
        <f>SUM($E$16:G16)/$B$9</f>
        <v>0.23599999999999999</v>
      </c>
      <c r="H18" s="144">
        <f>SUM($E$16:H16)/$B$9</f>
        <v>0.29899999999999999</v>
      </c>
      <c r="I18" s="144">
        <f>SUM($E$16:I16)/$B$9</f>
        <v>0.999</v>
      </c>
      <c r="J18" s="144">
        <f>SUM($E$16:J16)/$B$9</f>
        <v>0.999</v>
      </c>
      <c r="K18" s="37"/>
      <c r="L18" s="34">
        <f t="shared" si="0"/>
        <v>14</v>
      </c>
    </row>
    <row r="19" spans="1:12" x14ac:dyDescent="0.2">
      <c r="A19" s="47" t="s">
        <v>183</v>
      </c>
      <c r="B19" s="49"/>
      <c r="C19" s="49"/>
      <c r="D19" s="49"/>
      <c r="E19" s="144">
        <f t="shared" ref="E19:J19" si="2">E17/$D$9</f>
        <v>3.1E-2</v>
      </c>
      <c r="F19" s="144">
        <f t="shared" si="2"/>
        <v>0.23599999999999999</v>
      </c>
      <c r="G19" s="144">
        <f t="shared" si="2"/>
        <v>0.23599999999999999</v>
      </c>
      <c r="H19" s="144">
        <f t="shared" si="2"/>
        <v>0.29899999999999999</v>
      </c>
      <c r="I19" s="144">
        <f t="shared" si="2"/>
        <v>0.999</v>
      </c>
      <c r="J19" s="144">
        <f t="shared" si="2"/>
        <v>0.999</v>
      </c>
      <c r="K19" s="37"/>
      <c r="L19" s="34">
        <f t="shared" si="0"/>
        <v>15</v>
      </c>
    </row>
    <row r="20" spans="1:12" x14ac:dyDescent="0.2">
      <c r="A20" s="47"/>
      <c r="B20" s="49"/>
      <c r="C20" s="49"/>
      <c r="D20" s="49"/>
      <c r="E20" s="49"/>
      <c r="F20" s="49"/>
      <c r="G20" s="49"/>
      <c r="H20" s="49"/>
      <c r="I20" s="49"/>
      <c r="J20" s="49"/>
      <c r="K20" s="37"/>
      <c r="L20" s="34">
        <f t="shared" si="0"/>
        <v>16</v>
      </c>
    </row>
    <row r="21" spans="1:12" x14ac:dyDescent="0.2">
      <c r="A21" s="108" t="s">
        <v>184</v>
      </c>
      <c r="B21" s="49"/>
      <c r="C21" s="49"/>
      <c r="D21" s="49"/>
      <c r="E21" s="49"/>
      <c r="F21" s="49"/>
      <c r="G21" s="49"/>
      <c r="H21" s="49"/>
      <c r="I21" s="49"/>
      <c r="J21" s="49"/>
      <c r="K21" s="37"/>
      <c r="L21" s="34">
        <f t="shared" si="0"/>
        <v>17</v>
      </c>
    </row>
    <row r="22" spans="1:12" x14ac:dyDescent="0.2">
      <c r="A22" s="47" t="s">
        <v>185</v>
      </c>
      <c r="B22" s="49"/>
      <c r="C22" s="49"/>
      <c r="D22" s="49"/>
      <c r="E22" s="115">
        <f t="shared" ref="E22:J22" si="3">E15*DEBTPERC</f>
        <v>0</v>
      </c>
      <c r="F22" s="115">
        <f t="shared" si="3"/>
        <v>0</v>
      </c>
      <c r="G22" s="115">
        <f t="shared" si="3"/>
        <v>0</v>
      </c>
      <c r="H22" s="115">
        <f t="shared" si="3"/>
        <v>0</v>
      </c>
      <c r="I22" s="115">
        <f t="shared" si="3"/>
        <v>0</v>
      </c>
      <c r="J22" s="115">
        <f t="shared" si="3"/>
        <v>0</v>
      </c>
      <c r="K22" s="37"/>
      <c r="L22" s="34">
        <f t="shared" si="0"/>
        <v>18</v>
      </c>
    </row>
    <row r="23" spans="1:12" x14ac:dyDescent="0.2">
      <c r="A23" s="47" t="s">
        <v>186</v>
      </c>
      <c r="B23" s="49"/>
      <c r="C23" s="49"/>
      <c r="D23" s="49"/>
      <c r="E23" s="115">
        <f t="shared" ref="E23:J23" si="4">E16*DEBTPERC</f>
        <v>0</v>
      </c>
      <c r="F23" s="115">
        <f t="shared" si="4"/>
        <v>0</v>
      </c>
      <c r="G23" s="115">
        <f t="shared" si="4"/>
        <v>0</v>
      </c>
      <c r="H23" s="115">
        <f t="shared" si="4"/>
        <v>0</v>
      </c>
      <c r="I23" s="115">
        <f t="shared" si="4"/>
        <v>0</v>
      </c>
      <c r="J23" s="115">
        <f t="shared" si="4"/>
        <v>0</v>
      </c>
      <c r="K23" s="67">
        <f>SUM(E23:J23)</f>
        <v>0</v>
      </c>
      <c r="L23" s="34">
        <f t="shared" si="0"/>
        <v>19</v>
      </c>
    </row>
    <row r="24" spans="1:12" x14ac:dyDescent="0.2">
      <c r="A24" s="47" t="s">
        <v>187</v>
      </c>
      <c r="B24" s="49"/>
      <c r="C24" s="49"/>
      <c r="D24" s="49"/>
      <c r="E24" s="115">
        <f t="shared" ref="E24:J24" si="5">SUM(E22:E23)</f>
        <v>0</v>
      </c>
      <c r="F24" s="115">
        <f t="shared" si="5"/>
        <v>0</v>
      </c>
      <c r="G24" s="115">
        <f t="shared" si="5"/>
        <v>0</v>
      </c>
      <c r="H24" s="115">
        <f t="shared" si="5"/>
        <v>0</v>
      </c>
      <c r="I24" s="115">
        <f t="shared" si="5"/>
        <v>0</v>
      </c>
      <c r="J24" s="115">
        <f t="shared" si="5"/>
        <v>0</v>
      </c>
      <c r="K24" s="37"/>
      <c r="L24" s="34">
        <f t="shared" si="0"/>
        <v>20</v>
      </c>
    </row>
    <row r="25" spans="1:12" x14ac:dyDescent="0.2">
      <c r="A25" s="47"/>
      <c r="B25" s="49"/>
      <c r="C25" s="49"/>
      <c r="D25" s="49"/>
      <c r="E25" s="115"/>
      <c r="F25" s="115"/>
      <c r="G25" s="115"/>
      <c r="H25" s="115"/>
      <c r="I25" s="115"/>
      <c r="J25" s="115"/>
      <c r="K25" s="37"/>
      <c r="L25" s="34">
        <f t="shared" si="0"/>
        <v>21</v>
      </c>
    </row>
    <row r="26" spans="1:12" x14ac:dyDescent="0.2">
      <c r="A26" s="47" t="s">
        <v>348</v>
      </c>
      <c r="B26" s="49"/>
      <c r="C26" s="49"/>
      <c r="D26" s="49"/>
      <c r="E26" s="115">
        <f t="shared" ref="E26:J26" si="6">IF(E4&gt;TERM_C,0,(E15+SUM(E15:E16))/2*$D$10/12)</f>
        <v>0</v>
      </c>
      <c r="F26" s="115">
        <f t="shared" si="6"/>
        <v>0</v>
      </c>
      <c r="G26" s="115">
        <f t="shared" si="6"/>
        <v>0</v>
      </c>
      <c r="H26" s="115">
        <f t="shared" si="6"/>
        <v>0</v>
      </c>
      <c r="I26" s="115">
        <f t="shared" si="6"/>
        <v>0</v>
      </c>
      <c r="J26" s="115">
        <f t="shared" si="6"/>
        <v>0</v>
      </c>
      <c r="K26" s="67">
        <f>SUM(E26:J26)</f>
        <v>0</v>
      </c>
      <c r="L26" s="34">
        <f t="shared" si="0"/>
        <v>22</v>
      </c>
    </row>
    <row r="27" spans="1:12" x14ac:dyDescent="0.2">
      <c r="A27" s="47"/>
      <c r="B27" s="49"/>
      <c r="C27" s="49"/>
      <c r="D27" s="49"/>
      <c r="E27" s="115"/>
      <c r="F27" s="115"/>
      <c r="G27" s="115"/>
      <c r="H27" s="115"/>
      <c r="I27" s="115"/>
      <c r="J27" s="115"/>
      <c r="K27" s="37"/>
      <c r="L27" s="34">
        <f t="shared" si="0"/>
        <v>23</v>
      </c>
    </row>
    <row r="28" spans="1:12" x14ac:dyDescent="0.2">
      <c r="A28" s="108" t="s">
        <v>188</v>
      </c>
      <c r="B28" s="49"/>
      <c r="C28" s="49"/>
      <c r="D28" s="49"/>
      <c r="E28" s="115"/>
      <c r="F28" s="115"/>
      <c r="G28" s="115"/>
      <c r="H28" s="115"/>
      <c r="I28" s="115"/>
      <c r="J28" s="115"/>
      <c r="K28" s="37"/>
      <c r="L28" s="34">
        <f t="shared" si="0"/>
        <v>24</v>
      </c>
    </row>
    <row r="29" spans="1:12" x14ac:dyDescent="0.2">
      <c r="A29" s="47" t="s">
        <v>189</v>
      </c>
      <c r="B29" s="49"/>
      <c r="C29" s="49"/>
      <c r="D29" s="49"/>
      <c r="E29" s="115">
        <f t="shared" ref="E29:J29" si="7">E15-E22</f>
        <v>0</v>
      </c>
      <c r="F29" s="115">
        <f t="shared" si="7"/>
        <v>403</v>
      </c>
      <c r="G29" s="115">
        <f t="shared" si="7"/>
        <v>3068</v>
      </c>
      <c r="H29" s="115">
        <f t="shared" si="7"/>
        <v>3068</v>
      </c>
      <c r="I29" s="115">
        <f t="shared" si="7"/>
        <v>3887</v>
      </c>
      <c r="J29" s="115">
        <f t="shared" si="7"/>
        <v>12987</v>
      </c>
      <c r="K29" s="37"/>
      <c r="L29" s="34">
        <f t="shared" si="0"/>
        <v>25</v>
      </c>
    </row>
    <row r="30" spans="1:12" x14ac:dyDescent="0.2">
      <c r="A30" s="47" t="s">
        <v>190</v>
      </c>
      <c r="B30" s="49"/>
      <c r="C30" s="49"/>
      <c r="D30" s="49"/>
      <c r="E30" s="115">
        <f t="shared" ref="E30:J30" si="8">E16-E23</f>
        <v>403</v>
      </c>
      <c r="F30" s="115">
        <f t="shared" si="8"/>
        <v>2665</v>
      </c>
      <c r="G30" s="115">
        <f t="shared" si="8"/>
        <v>0</v>
      </c>
      <c r="H30" s="115">
        <f t="shared" si="8"/>
        <v>819</v>
      </c>
      <c r="I30" s="115">
        <f t="shared" si="8"/>
        <v>9100</v>
      </c>
      <c r="J30" s="115">
        <f t="shared" si="8"/>
        <v>0</v>
      </c>
      <c r="K30" s="67">
        <f>SUM(E30:J30)</f>
        <v>12987</v>
      </c>
      <c r="L30" s="34">
        <f t="shared" si="0"/>
        <v>26</v>
      </c>
    </row>
    <row r="31" spans="1:12" x14ac:dyDescent="0.2">
      <c r="A31" s="58" t="s">
        <v>191</v>
      </c>
      <c r="B31" s="64"/>
      <c r="C31" s="64"/>
      <c r="D31" s="64"/>
      <c r="E31" s="145">
        <f t="shared" ref="E31:J31" si="9">E17-E24</f>
        <v>403</v>
      </c>
      <c r="F31" s="145">
        <f t="shared" si="9"/>
        <v>3068</v>
      </c>
      <c r="G31" s="145">
        <f t="shared" si="9"/>
        <v>3068</v>
      </c>
      <c r="H31" s="145">
        <f t="shared" si="9"/>
        <v>3887</v>
      </c>
      <c r="I31" s="145">
        <f t="shared" si="9"/>
        <v>12987</v>
      </c>
      <c r="J31" s="145">
        <f t="shared" si="9"/>
        <v>12987</v>
      </c>
      <c r="K31" s="76"/>
      <c r="L31" s="34">
        <f t="shared" si="0"/>
        <v>27</v>
      </c>
    </row>
    <row r="33" spans="1:4" ht="13.5" thickBot="1" x14ac:dyDescent="0.25">
      <c r="A33" s="308" t="s">
        <v>192</v>
      </c>
      <c r="B33" s="309"/>
      <c r="C33" s="309"/>
      <c r="D33" s="310">
        <f>K26</f>
        <v>0</v>
      </c>
    </row>
    <row r="34" spans="1:4" ht="13.5" thickTop="1" x14ac:dyDescent="0.2"/>
  </sheetData>
  <mergeCells count="1">
    <mergeCell ref="B11:D11"/>
  </mergeCells>
  <printOptions horizontalCentered="1"/>
  <pageMargins left="0.5" right="1" top="0.75" bottom="0.75" header="0.5" footer="0.5"/>
  <pageSetup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E62"/>
  <sheetViews>
    <sheetView workbookViewId="0">
      <selection activeCell="H3" sqref="H3"/>
    </sheetView>
  </sheetViews>
  <sheetFormatPr defaultRowHeight="12.75" x14ac:dyDescent="0.2"/>
  <cols>
    <col min="1" max="1" width="9.140625" style="34"/>
    <col min="2" max="2" width="6.28515625" style="34" customWidth="1"/>
    <col min="3" max="26" width="9.7109375" style="34" customWidth="1"/>
    <col min="27" max="16384" width="9.140625" style="34"/>
  </cols>
  <sheetData>
    <row r="1" spans="1:31" ht="15.75" x14ac:dyDescent="0.25">
      <c r="A1" s="147" t="s">
        <v>193</v>
      </c>
      <c r="B1" s="177"/>
      <c r="C1" s="177"/>
      <c r="D1" s="177"/>
      <c r="E1" s="159"/>
    </row>
    <row r="2" spans="1:31" ht="15.75" x14ac:dyDescent="0.25">
      <c r="A2" s="160">
        <f>ASS!A4</f>
        <v>0</v>
      </c>
      <c r="B2" s="158"/>
      <c r="C2" s="158"/>
      <c r="D2" s="158"/>
      <c r="E2" s="161"/>
      <c r="G2" s="274"/>
      <c r="H2" s="274"/>
    </row>
    <row r="3" spans="1:31" x14ac:dyDescent="0.2">
      <c r="A3" s="39" t="s">
        <v>115</v>
      </c>
      <c r="B3" s="46"/>
      <c r="C3" s="46"/>
      <c r="D3" s="46">
        <f>CF!D3</f>
        <v>1</v>
      </c>
      <c r="E3" s="46">
        <f>CF!E3</f>
        <v>2</v>
      </c>
      <c r="F3" s="46">
        <f>CF!F3</f>
        <v>3</v>
      </c>
      <c r="G3" s="35"/>
    </row>
    <row r="4" spans="1:31" x14ac:dyDescent="0.2">
      <c r="A4" s="202" t="s">
        <v>116</v>
      </c>
      <c r="B4" s="49"/>
      <c r="C4" s="49"/>
      <c r="D4" s="200">
        <f>CF!D4</f>
        <v>2001</v>
      </c>
      <c r="E4" s="200">
        <f>CF!E4</f>
        <v>2002</v>
      </c>
      <c r="F4" s="200">
        <f>CF!F4</f>
        <v>2003</v>
      </c>
      <c r="G4" s="36" t="s">
        <v>194</v>
      </c>
    </row>
    <row r="5" spans="1:31" x14ac:dyDescent="0.2">
      <c r="A5" s="58" t="s">
        <v>118</v>
      </c>
      <c r="B5" s="64"/>
      <c r="C5" s="64"/>
      <c r="D5" s="64">
        <f>CF!D5</f>
        <v>12</v>
      </c>
      <c r="E5" s="64">
        <f>CF!E5</f>
        <v>12</v>
      </c>
      <c r="F5" s="64">
        <f>CF!F5</f>
        <v>12</v>
      </c>
      <c r="G5" s="76"/>
    </row>
    <row r="6" spans="1:31" x14ac:dyDescent="0.2">
      <c r="AD6" s="49"/>
    </row>
    <row r="7" spans="1:31" x14ac:dyDescent="0.2">
      <c r="A7" s="203" t="s">
        <v>195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35"/>
    </row>
    <row r="8" spans="1:31" x14ac:dyDescent="0.2">
      <c r="A8" s="226" t="s">
        <v>196</v>
      </c>
      <c r="B8" s="49"/>
      <c r="C8" s="49"/>
      <c r="D8" s="115" t="e">
        <f>VLOOKUP(#REF!,FIN_TABLE,26)</f>
        <v>#REF!</v>
      </c>
      <c r="E8" s="115" t="e">
        <f>VLOOKUP(#REF!,FIN_TABLE,26)</f>
        <v>#REF!</v>
      </c>
      <c r="F8" s="115" t="e">
        <f>VLOOKUP(#REF!,FIN_TABLE,26)</f>
        <v>#REF!</v>
      </c>
      <c r="G8" s="115" t="e">
        <f>VLOOKUP(#REF!,FIN_TABLE,26)</f>
        <v>#REF!</v>
      </c>
      <c r="H8" s="115" t="e">
        <f>VLOOKUP(#REF!,FIN_TABLE,26)</f>
        <v>#REF!</v>
      </c>
      <c r="I8" s="115" t="e">
        <f>VLOOKUP(#REF!,FIN_TABLE,26)</f>
        <v>#REF!</v>
      </c>
      <c r="J8" s="115" t="e">
        <f>VLOOKUP(#REF!,FIN_TABLE,26)</f>
        <v>#REF!</v>
      </c>
      <c r="K8" s="115" t="e">
        <f>VLOOKUP(#REF!,FIN_TABLE,26)</f>
        <v>#REF!</v>
      </c>
      <c r="L8" s="115" t="e">
        <f>VLOOKUP(#REF!,FIN_TABLE,26)</f>
        <v>#REF!</v>
      </c>
      <c r="M8" s="115" t="e">
        <f>VLOOKUP(#REF!,FIN_TABLE,26)</f>
        <v>#REF!</v>
      </c>
      <c r="N8" s="115" t="e">
        <f>VLOOKUP(#REF!,FIN_TABLE,26)</f>
        <v>#REF!</v>
      </c>
      <c r="O8" s="115" t="e">
        <f>VLOOKUP(#REF!,FIN_TABLE,26)</f>
        <v>#REF!</v>
      </c>
      <c r="P8" s="115" t="e">
        <f>VLOOKUP(#REF!,FIN_TABLE,26)</f>
        <v>#REF!</v>
      </c>
      <c r="Q8" s="115" t="e">
        <f>VLOOKUP(#REF!,FIN_TABLE,26)</f>
        <v>#REF!</v>
      </c>
      <c r="R8" s="115" t="e">
        <f>VLOOKUP(#REF!,FIN_TABLE,26)</f>
        <v>#REF!</v>
      </c>
      <c r="S8" s="115" t="e">
        <f>VLOOKUP(#REF!,FIN_TABLE,26)</f>
        <v>#REF!</v>
      </c>
      <c r="T8" s="115" t="e">
        <f>VLOOKUP(#REF!,FIN_TABLE,26)</f>
        <v>#REF!</v>
      </c>
      <c r="U8" s="115" t="e">
        <f>VLOOKUP(#REF!,FIN_TABLE,26)</f>
        <v>#REF!</v>
      </c>
      <c r="V8" s="115" t="e">
        <f>VLOOKUP(#REF!,FIN_TABLE,26)</f>
        <v>#REF!</v>
      </c>
      <c r="W8" s="115" t="e">
        <f>VLOOKUP(#REF!,FIN_TABLE,26)</f>
        <v>#REF!</v>
      </c>
      <c r="X8" s="115" t="e">
        <f>VLOOKUP(#REF!,FIN_TABLE,26)</f>
        <v>#REF!</v>
      </c>
      <c r="Y8" s="115" t="e">
        <f>VLOOKUP(#REF!,FIN_TABLE,26)</f>
        <v>#REF!</v>
      </c>
      <c r="Z8" s="115" t="e">
        <f>VLOOKUP(#REF!,FIN_TABLE,26)</f>
        <v>#REF!</v>
      </c>
      <c r="AA8" s="115" t="e">
        <f>VLOOKUP(#REF!,FIN_TABLE,26)</f>
        <v>#REF!</v>
      </c>
      <c r="AB8" s="115" t="e">
        <f>VLOOKUP(#REF!,FIN_TABLE,26)</f>
        <v>#REF!</v>
      </c>
      <c r="AC8" s="115" t="e">
        <f>VLOOKUP(#REF!,FIN_TABLE,26)</f>
        <v>#REF!</v>
      </c>
      <c r="AD8" s="67" t="e">
        <f>SUM(D8:X8)</f>
        <v>#REF!</v>
      </c>
    </row>
    <row r="9" spans="1:31" x14ac:dyDescent="0.2">
      <c r="A9" s="226" t="s">
        <v>197</v>
      </c>
      <c r="B9" s="49"/>
      <c r="C9" s="49"/>
      <c r="D9" s="116" t="e">
        <f>VLOOKUP(#REF!,FIN_TABLE,27)</f>
        <v>#REF!</v>
      </c>
      <c r="E9" s="116" t="e">
        <f>VLOOKUP(#REF!,FIN_TABLE,27)</f>
        <v>#REF!</v>
      </c>
      <c r="F9" s="116" t="e">
        <f>VLOOKUP(#REF!,FIN_TABLE,27)</f>
        <v>#REF!</v>
      </c>
      <c r="G9" s="116" t="e">
        <f>VLOOKUP(#REF!,FIN_TABLE,27)</f>
        <v>#REF!</v>
      </c>
      <c r="H9" s="116" t="e">
        <f>VLOOKUP(#REF!,FIN_TABLE,27)</f>
        <v>#REF!</v>
      </c>
      <c r="I9" s="116" t="e">
        <f>VLOOKUP(#REF!,FIN_TABLE,27)</f>
        <v>#REF!</v>
      </c>
      <c r="J9" s="116" t="e">
        <f>VLOOKUP(#REF!,FIN_TABLE,27)</f>
        <v>#REF!</v>
      </c>
      <c r="K9" s="116" t="e">
        <f>VLOOKUP(#REF!,FIN_TABLE,27)</f>
        <v>#REF!</v>
      </c>
      <c r="L9" s="116" t="e">
        <f>VLOOKUP(#REF!,FIN_TABLE,27)</f>
        <v>#REF!</v>
      </c>
      <c r="M9" s="116" t="e">
        <f>VLOOKUP(#REF!,FIN_TABLE,27)</f>
        <v>#REF!</v>
      </c>
      <c r="N9" s="116" t="e">
        <f>VLOOKUP(#REF!,FIN_TABLE,27)</f>
        <v>#REF!</v>
      </c>
      <c r="O9" s="116" t="e">
        <f>VLOOKUP(#REF!,FIN_TABLE,27)</f>
        <v>#REF!</v>
      </c>
      <c r="P9" s="116" t="e">
        <f>VLOOKUP(#REF!,FIN_TABLE,27)</f>
        <v>#REF!</v>
      </c>
      <c r="Q9" s="116" t="e">
        <f>VLOOKUP(#REF!,FIN_TABLE,27)</f>
        <v>#REF!</v>
      </c>
      <c r="R9" s="116" t="e">
        <f>VLOOKUP(#REF!,FIN_TABLE,27)</f>
        <v>#REF!</v>
      </c>
      <c r="S9" s="116" t="e">
        <f>VLOOKUP(#REF!,FIN_TABLE,27)</f>
        <v>#REF!</v>
      </c>
      <c r="T9" s="116" t="e">
        <f>VLOOKUP(#REF!,FIN_TABLE,27)</f>
        <v>#REF!</v>
      </c>
      <c r="U9" s="116" t="e">
        <f>VLOOKUP(#REF!,FIN_TABLE,27)</f>
        <v>#REF!</v>
      </c>
      <c r="V9" s="116" t="e">
        <f>VLOOKUP(#REF!,FIN_TABLE,27)</f>
        <v>#REF!</v>
      </c>
      <c r="W9" s="116" t="e">
        <f>VLOOKUP(#REF!,FIN_TABLE,27)</f>
        <v>#REF!</v>
      </c>
      <c r="X9" s="116" t="e">
        <f>VLOOKUP(#REF!,FIN_TABLE,27)</f>
        <v>#REF!</v>
      </c>
      <c r="Y9" s="116" t="e">
        <f>VLOOKUP(#REF!,FIN_TABLE,27)</f>
        <v>#REF!</v>
      </c>
      <c r="Z9" s="116" t="e">
        <f>VLOOKUP(#REF!,FIN_TABLE,27)</f>
        <v>#REF!</v>
      </c>
      <c r="AA9" s="116" t="e">
        <f>VLOOKUP(#REF!,FIN_TABLE,27)</f>
        <v>#REF!</v>
      </c>
      <c r="AB9" s="116" t="e">
        <f>VLOOKUP(#REF!,FIN_TABLE,27)</f>
        <v>#REF!</v>
      </c>
      <c r="AC9" s="116" t="e">
        <f>VLOOKUP(#REF!,FIN_TABLE,27)</f>
        <v>#REF!</v>
      </c>
      <c r="AD9" s="72" t="e">
        <f>SUM(D9:X9)</f>
        <v>#REF!</v>
      </c>
      <c r="AE9" s="77" t="e">
        <f>IF(ABS(AD9-DEBT)&lt;0.01," ","SUM OF PRINCIPAL PAYMENTS DOES NOT EQUAL DEBT")</f>
        <v>#REF!</v>
      </c>
    </row>
    <row r="10" spans="1:31" x14ac:dyDescent="0.2">
      <c r="A10" s="227" t="s">
        <v>198</v>
      </c>
      <c r="B10" s="178"/>
      <c r="C10" s="178"/>
      <c r="D10" s="228" t="e">
        <f>SUM(D8:D9)</f>
        <v>#REF!</v>
      </c>
      <c r="E10" s="228" t="e">
        <f t="shared" ref="E10:S10" si="0">SUM(E8:E9)</f>
        <v>#REF!</v>
      </c>
      <c r="F10" s="228" t="e">
        <f t="shared" si="0"/>
        <v>#REF!</v>
      </c>
      <c r="G10" s="228" t="e">
        <f t="shared" si="0"/>
        <v>#REF!</v>
      </c>
      <c r="H10" s="228" t="e">
        <f t="shared" si="0"/>
        <v>#REF!</v>
      </c>
      <c r="I10" s="228" t="e">
        <f t="shared" si="0"/>
        <v>#REF!</v>
      </c>
      <c r="J10" s="228" t="e">
        <f t="shared" si="0"/>
        <v>#REF!</v>
      </c>
      <c r="K10" s="228" t="e">
        <f t="shared" si="0"/>
        <v>#REF!</v>
      </c>
      <c r="L10" s="228" t="e">
        <f t="shared" si="0"/>
        <v>#REF!</v>
      </c>
      <c r="M10" s="228" t="e">
        <f t="shared" si="0"/>
        <v>#REF!</v>
      </c>
      <c r="N10" s="228" t="e">
        <f t="shared" si="0"/>
        <v>#REF!</v>
      </c>
      <c r="O10" s="228" t="e">
        <f t="shared" si="0"/>
        <v>#REF!</v>
      </c>
      <c r="P10" s="228" t="e">
        <f t="shared" si="0"/>
        <v>#REF!</v>
      </c>
      <c r="Q10" s="228" t="e">
        <f t="shared" si="0"/>
        <v>#REF!</v>
      </c>
      <c r="R10" s="228" t="e">
        <f t="shared" si="0"/>
        <v>#REF!</v>
      </c>
      <c r="S10" s="228" t="e">
        <f t="shared" si="0"/>
        <v>#REF!</v>
      </c>
      <c r="T10" s="228" t="e">
        <f t="shared" ref="T10:AC10" si="1">SUM(T8:T9)</f>
        <v>#REF!</v>
      </c>
      <c r="U10" s="228" t="e">
        <f t="shared" si="1"/>
        <v>#REF!</v>
      </c>
      <c r="V10" s="228" t="e">
        <f t="shared" si="1"/>
        <v>#REF!</v>
      </c>
      <c r="W10" s="228" t="e">
        <f t="shared" si="1"/>
        <v>#REF!</v>
      </c>
      <c r="X10" s="228" t="e">
        <f t="shared" si="1"/>
        <v>#REF!</v>
      </c>
      <c r="Y10" s="228" t="e">
        <f t="shared" si="1"/>
        <v>#REF!</v>
      </c>
      <c r="Z10" s="228" t="e">
        <f t="shared" si="1"/>
        <v>#REF!</v>
      </c>
      <c r="AA10" s="228" t="e">
        <f t="shared" si="1"/>
        <v>#REF!</v>
      </c>
      <c r="AB10" s="228" t="e">
        <f t="shared" si="1"/>
        <v>#REF!</v>
      </c>
      <c r="AC10" s="228" t="e">
        <f t="shared" si="1"/>
        <v>#REF!</v>
      </c>
      <c r="AD10" s="229" t="e">
        <f>SUM(AD8:AD9)</f>
        <v>#REF!</v>
      </c>
    </row>
    <row r="13" spans="1:31" x14ac:dyDescent="0.2">
      <c r="A13" s="203" t="s">
        <v>199</v>
      </c>
      <c r="B13" s="40"/>
      <c r="C13" s="41" t="e">
        <f>ASS!#REF!</f>
        <v>#REF!</v>
      </c>
      <c r="D13" s="42"/>
      <c r="E13" s="42"/>
      <c r="F13" s="43"/>
      <c r="G13" s="41" t="e">
        <f>ASS!#REF!</f>
        <v>#REF!</v>
      </c>
      <c r="H13" s="44"/>
      <c r="I13" s="44"/>
      <c r="J13" s="45"/>
      <c r="K13" s="41" t="e">
        <f>ASS!#REF!</f>
        <v>#REF!</v>
      </c>
      <c r="L13" s="44"/>
      <c r="M13" s="44"/>
      <c r="N13" s="45"/>
      <c r="O13" s="41" t="e">
        <f>ASS!#REF!</f>
        <v>#REF!</v>
      </c>
      <c r="P13" s="44"/>
      <c r="Q13" s="44"/>
      <c r="R13" s="45"/>
      <c r="S13" s="41" t="e">
        <f>ASS!#REF!</f>
        <v>#REF!</v>
      </c>
      <c r="T13" s="44"/>
      <c r="U13" s="44"/>
      <c r="V13" s="45"/>
      <c r="W13" s="41" t="e">
        <f>ASS!#REF!</f>
        <v>#REF!</v>
      </c>
      <c r="X13" s="44"/>
      <c r="Y13" s="44"/>
      <c r="Z13" s="45"/>
      <c r="AA13" s="46"/>
      <c r="AB13" s="40"/>
    </row>
    <row r="14" spans="1:31" x14ac:dyDescent="0.2">
      <c r="A14" s="204" t="s">
        <v>200</v>
      </c>
      <c r="B14" s="48"/>
      <c r="C14" s="47" t="s">
        <v>8</v>
      </c>
      <c r="D14" s="49"/>
      <c r="E14" s="127" t="e">
        <f>ASS!#REF!</f>
        <v>#REF!</v>
      </c>
      <c r="F14" s="48"/>
      <c r="G14" s="47" t="s">
        <v>8</v>
      </c>
      <c r="H14" s="49"/>
      <c r="I14" s="127" t="e">
        <f>ASS!#REF!</f>
        <v>#REF!</v>
      </c>
      <c r="J14" s="127"/>
      <c r="K14" s="47" t="s">
        <v>8</v>
      </c>
      <c r="L14" s="49"/>
      <c r="M14" s="50" t="e">
        <f>ASS!#REF!</f>
        <v>#REF!</v>
      </c>
      <c r="N14" s="50"/>
      <c r="O14" s="47" t="s">
        <v>8</v>
      </c>
      <c r="P14" s="49"/>
      <c r="Q14" s="50" t="e">
        <f>ASS!#REF!</f>
        <v>#REF!</v>
      </c>
      <c r="R14" s="48"/>
      <c r="S14" s="47" t="s">
        <v>8</v>
      </c>
      <c r="T14" s="49"/>
      <c r="U14" s="50" t="e">
        <f>ASS!#REF!</f>
        <v>#REF!</v>
      </c>
      <c r="V14" s="48"/>
      <c r="W14" s="47" t="s">
        <v>8</v>
      </c>
      <c r="X14" s="49"/>
      <c r="Y14" s="127" t="e">
        <f>ASS!#REF!</f>
        <v>#REF!</v>
      </c>
      <c r="Z14" s="48"/>
      <c r="AA14" s="49"/>
      <c r="AB14" s="48"/>
    </row>
    <row r="15" spans="1:31" x14ac:dyDescent="0.2">
      <c r="A15" s="47"/>
      <c r="B15" s="48"/>
      <c r="C15" s="47" t="s">
        <v>201</v>
      </c>
      <c r="D15" s="49"/>
      <c r="E15" s="49" t="e">
        <f>ASS!#REF!</f>
        <v>#REF!</v>
      </c>
      <c r="F15" s="48" t="s">
        <v>202</v>
      </c>
      <c r="G15" s="47" t="s">
        <v>201</v>
      </c>
      <c r="H15" s="49"/>
      <c r="I15" s="49" t="e">
        <f>ASS!#REF!</f>
        <v>#REF!</v>
      </c>
      <c r="J15" s="48" t="s">
        <v>202</v>
      </c>
      <c r="K15" s="47" t="s">
        <v>201</v>
      </c>
      <c r="L15" s="49"/>
      <c r="M15" s="49" t="e">
        <f>ASS!#REF!</f>
        <v>#REF!</v>
      </c>
      <c r="N15" s="48" t="s">
        <v>202</v>
      </c>
      <c r="O15" s="47" t="s">
        <v>201</v>
      </c>
      <c r="P15" s="49"/>
      <c r="Q15" s="49" t="e">
        <f>ASS!#REF!</f>
        <v>#REF!</v>
      </c>
      <c r="R15" s="48" t="s">
        <v>202</v>
      </c>
      <c r="S15" s="47" t="s">
        <v>201</v>
      </c>
      <c r="T15" s="49"/>
      <c r="U15" s="49" t="e">
        <f>ASS!#REF!</f>
        <v>#REF!</v>
      </c>
      <c r="V15" s="48" t="s">
        <v>202</v>
      </c>
      <c r="W15" s="47" t="s">
        <v>201</v>
      </c>
      <c r="X15" s="49"/>
      <c r="Y15" s="49" t="e">
        <f>ASS!#REF!</f>
        <v>#REF!</v>
      </c>
      <c r="Z15" s="48" t="s">
        <v>202</v>
      </c>
      <c r="AA15" s="49"/>
      <c r="AB15" s="48"/>
    </row>
    <row r="16" spans="1:31" x14ac:dyDescent="0.2">
      <c r="A16" s="47"/>
      <c r="B16" s="48"/>
      <c r="C16" s="47" t="s">
        <v>177</v>
      </c>
      <c r="D16" s="49"/>
      <c r="E16" s="51" t="e">
        <f>ASS!#REF!</f>
        <v>#REF!</v>
      </c>
      <c r="F16" s="48"/>
      <c r="G16" s="47" t="s">
        <v>177</v>
      </c>
      <c r="H16" s="49"/>
      <c r="I16" s="51" t="e">
        <f>ASS!#REF!</f>
        <v>#REF!</v>
      </c>
      <c r="J16" s="48"/>
      <c r="K16" s="47" t="s">
        <v>177</v>
      </c>
      <c r="L16" s="49"/>
      <c r="M16" s="51" t="e">
        <f>ASS!#REF!</f>
        <v>#REF!</v>
      </c>
      <c r="N16" s="48"/>
      <c r="O16" s="47" t="s">
        <v>177</v>
      </c>
      <c r="P16" s="49"/>
      <c r="Q16" s="51" t="e">
        <f>ASS!#REF!</f>
        <v>#REF!</v>
      </c>
      <c r="R16" s="48"/>
      <c r="S16" s="47" t="s">
        <v>177</v>
      </c>
      <c r="T16" s="49"/>
      <c r="U16" s="51" t="e">
        <f>ASS!#REF!</f>
        <v>#REF!</v>
      </c>
      <c r="V16" s="48"/>
      <c r="W16" s="47" t="s">
        <v>177</v>
      </c>
      <c r="X16" s="49"/>
      <c r="Y16" s="51" t="e">
        <f>ASS!#REF!</f>
        <v>#REF!</v>
      </c>
      <c r="Z16" s="48"/>
      <c r="AA16" s="49"/>
      <c r="AB16" s="48"/>
    </row>
    <row r="17" spans="1:28" x14ac:dyDescent="0.2">
      <c r="A17" s="47"/>
      <c r="B17" s="48"/>
      <c r="C17" s="47" t="s">
        <v>203</v>
      </c>
      <c r="D17" s="49"/>
      <c r="E17" s="232" t="e">
        <f>ASS!#REF!</f>
        <v>#REF!</v>
      </c>
      <c r="F17" s="48" t="s">
        <v>83</v>
      </c>
      <c r="G17" s="47" t="s">
        <v>203</v>
      </c>
      <c r="H17" s="49"/>
      <c r="I17" s="232" t="e">
        <f>ASS!#REF!</f>
        <v>#REF!</v>
      </c>
      <c r="J17" s="48" t="s">
        <v>83</v>
      </c>
      <c r="K17" s="47" t="s">
        <v>203</v>
      </c>
      <c r="L17" s="49"/>
      <c r="M17" s="232" t="e">
        <f>ASS!#REF!</f>
        <v>#REF!</v>
      </c>
      <c r="N17" s="48" t="s">
        <v>83</v>
      </c>
      <c r="O17" s="47" t="s">
        <v>203</v>
      </c>
      <c r="P17" s="49"/>
      <c r="Q17" s="232" t="e">
        <f>ASS!#REF!</f>
        <v>#REF!</v>
      </c>
      <c r="R17" s="48" t="s">
        <v>83</v>
      </c>
      <c r="S17" s="47" t="s">
        <v>203</v>
      </c>
      <c r="T17" s="49"/>
      <c r="U17" s="232" t="e">
        <f>ASS!#REF!</f>
        <v>#REF!</v>
      </c>
      <c r="V17" s="48" t="s">
        <v>83</v>
      </c>
      <c r="W17" s="47" t="s">
        <v>203</v>
      </c>
      <c r="X17" s="49"/>
      <c r="Y17" s="232" t="e">
        <f>ASS!#REF!</f>
        <v>#REF!</v>
      </c>
      <c r="Z17" s="48" t="s">
        <v>83</v>
      </c>
      <c r="AA17" s="49"/>
      <c r="AB17" s="48"/>
    </row>
    <row r="18" spans="1:28" x14ac:dyDescent="0.2">
      <c r="A18" s="47"/>
      <c r="B18" s="48"/>
      <c r="C18" s="47" t="e">
        <f>IF(ASS!#REF!=1,"STRAIGHT LINE AMORTIZATION", IF(ASS!#REF!=2,"MORTGAGE STYLE AMORTIZATION","CHECK"))</f>
        <v>#REF!</v>
      </c>
      <c r="D18" s="49"/>
      <c r="E18" s="49"/>
      <c r="F18" s="48"/>
      <c r="G18" s="47" t="e">
        <f>IF(ASS!#REF!=1,"STRAIGHT LINE AMORTIZATION", IF(ASS!#REF!=2,"MORTGAGE STYLE AMORTIZATION","CHECK"))</f>
        <v>#REF!</v>
      </c>
      <c r="H18" s="49"/>
      <c r="I18" s="49"/>
      <c r="J18" s="48"/>
      <c r="K18" s="47" t="e">
        <f>IF(ASS!#REF!=1,"STRAIGHT LINE AMORTIZATION", IF(ASS!#REF!=2,"MORTGAGE STYLE AMORTIZATION","CHECK"))</f>
        <v>#REF!</v>
      </c>
      <c r="L18" s="49"/>
      <c r="M18" s="49"/>
      <c r="N18" s="48"/>
      <c r="O18" s="47" t="e">
        <f>IF(ASS!#REF!=1,"STRAIGHT LINE AMORTIZATION", IF(ASS!#REF!=2,"MORTGAGE STYLE AMORTIZATION","CHECK"))</f>
        <v>#REF!</v>
      </c>
      <c r="P18" s="49"/>
      <c r="Q18" s="49"/>
      <c r="R18" s="48"/>
      <c r="S18" s="47" t="e">
        <f>IF(ASS!#REF!=1,"STRAIGHT LINE AMORTIZATION", IF(ASS!#REF!=2,"MORTGAGE STYLE AMORTIZATION","CHECK"))</f>
        <v>#REF!</v>
      </c>
      <c r="T18" s="49"/>
      <c r="U18" s="49"/>
      <c r="V18" s="48"/>
      <c r="W18" s="47" t="e">
        <f>IF(ASS!#REF!=1,"STRAIGHT LINE AMORTIZATION", IF(ASS!#REF!=2,"MORTGAGE STYLE AMORTIZATION","CHECK"))</f>
        <v>#REF!</v>
      </c>
      <c r="X18" s="49"/>
      <c r="Y18" s="49"/>
      <c r="Z18" s="48"/>
      <c r="AA18" s="52" t="s">
        <v>175</v>
      </c>
      <c r="AB18" s="53" t="s">
        <v>175</v>
      </c>
    </row>
    <row r="19" spans="1:28" x14ac:dyDescent="0.2">
      <c r="A19" s="47"/>
      <c r="B19" s="48"/>
      <c r="C19" s="47"/>
      <c r="D19" s="49"/>
      <c r="E19" s="49"/>
      <c r="F19" s="48"/>
      <c r="G19" s="47"/>
      <c r="H19" s="49"/>
      <c r="I19" s="49"/>
      <c r="J19" s="48"/>
      <c r="K19" s="47"/>
      <c r="L19" s="49"/>
      <c r="M19" s="49"/>
      <c r="N19" s="48"/>
      <c r="O19" s="47"/>
      <c r="P19" s="49"/>
      <c r="Q19" s="49"/>
      <c r="R19" s="48"/>
      <c r="S19" s="47"/>
      <c r="T19" s="49"/>
      <c r="U19" s="49"/>
      <c r="V19" s="48"/>
      <c r="W19" s="47"/>
      <c r="X19" s="49"/>
      <c r="Y19" s="49"/>
      <c r="Z19" s="48"/>
      <c r="AA19" s="49"/>
      <c r="AB19" s="48"/>
    </row>
    <row r="20" spans="1:28" x14ac:dyDescent="0.2">
      <c r="A20" s="54" t="s">
        <v>204</v>
      </c>
      <c r="B20" s="55" t="s">
        <v>205</v>
      </c>
      <c r="C20" s="54" t="s">
        <v>206</v>
      </c>
      <c r="D20" s="56" t="s">
        <v>207</v>
      </c>
      <c r="E20" s="56" t="s">
        <v>208</v>
      </c>
      <c r="F20" s="55" t="s">
        <v>209</v>
      </c>
      <c r="G20" s="54" t="s">
        <v>206</v>
      </c>
      <c r="H20" s="56" t="s">
        <v>207</v>
      </c>
      <c r="I20" s="56" t="s">
        <v>208</v>
      </c>
      <c r="J20" s="55" t="s">
        <v>209</v>
      </c>
      <c r="K20" s="54" t="s">
        <v>206</v>
      </c>
      <c r="L20" s="56" t="s">
        <v>207</v>
      </c>
      <c r="M20" s="56" t="s">
        <v>208</v>
      </c>
      <c r="N20" s="55" t="s">
        <v>209</v>
      </c>
      <c r="O20" s="54" t="s">
        <v>206</v>
      </c>
      <c r="P20" s="56" t="s">
        <v>207</v>
      </c>
      <c r="Q20" s="56" t="s">
        <v>208</v>
      </c>
      <c r="R20" s="55" t="s">
        <v>209</v>
      </c>
      <c r="S20" s="54" t="s">
        <v>206</v>
      </c>
      <c r="T20" s="56" t="s">
        <v>207</v>
      </c>
      <c r="U20" s="56" t="s">
        <v>208</v>
      </c>
      <c r="V20" s="55" t="s">
        <v>209</v>
      </c>
      <c r="W20" s="54" t="s">
        <v>206</v>
      </c>
      <c r="X20" s="56" t="s">
        <v>207</v>
      </c>
      <c r="Y20" s="56" t="s">
        <v>208</v>
      </c>
      <c r="Z20" s="55" t="s">
        <v>209</v>
      </c>
      <c r="AA20" s="56" t="s">
        <v>207</v>
      </c>
      <c r="AB20" s="55" t="s">
        <v>208</v>
      </c>
    </row>
    <row r="21" spans="1:28" x14ac:dyDescent="0.2">
      <c r="A21" s="47">
        <f>STARTYR</f>
        <v>2001</v>
      </c>
      <c r="B21" s="48">
        <f>IF(MOSYR1&gt;1, 0, 1)</f>
        <v>0</v>
      </c>
      <c r="C21" s="126" t="e">
        <f>E14</f>
        <v>#REF!</v>
      </c>
      <c r="D21" s="127" t="e">
        <f>IF($C21&gt;0, IF(D5&gt;6, C21*(D5-6)/12*E16, 0),0)</f>
        <v>#REF!</v>
      </c>
      <c r="E21" s="127" t="e">
        <f>IF(D5&lt;12,0,IF($E$17&gt;=B21, 0, IF(C21&gt;1, IF(ASS!#REF!=1,$E$14/(($E$15*2)-$E$17), -PMT($E$16/2,($E$15*2-$E$17),$E$14,0)-D21), 0)))</f>
        <v>#REF!</v>
      </c>
      <c r="F21" s="128" t="e">
        <f>C21-E21</f>
        <v>#REF!</v>
      </c>
      <c r="G21" s="126" t="e">
        <f>I14</f>
        <v>#REF!</v>
      </c>
      <c r="H21" s="127" t="e">
        <f>IF($G21&gt;0, IF(D5&gt;6, G21*(D5-6)/12*I16, 0),0)</f>
        <v>#REF!</v>
      </c>
      <c r="I21" s="127" t="e">
        <f>IF(D5&lt;12,0,IF($I$17&gt;=$B21, 0, IF(G21&gt;1, IF(ASS!#REF!=1,$I$14/(($I$15*2)-$I$17),-PMT($I$16/2,($I$15*2-$I$17),$I$14,0)-H21), 0)))</f>
        <v>#REF!</v>
      </c>
      <c r="J21" s="128" t="e">
        <f>G21-I21</f>
        <v>#REF!</v>
      </c>
      <c r="K21" s="126" t="e">
        <f>M14</f>
        <v>#REF!</v>
      </c>
      <c r="L21" s="127" t="e">
        <f>IF($K21&gt;0, IF(D5&gt;6, K21*(D5-6)/12*M16, 0),0)</f>
        <v>#REF!</v>
      </c>
      <c r="M21" s="127" t="e">
        <f>IF(D5&lt;12,0,IF($M$17&gt;=$B21, 0, IF(K21&gt;1, IF(ASS!#REF!=1,$M$14/(($M$15*2)-$M$17), -PMT($M$16/2,($M$15*2-$M$17),$M$14,0)-L21), 0)))</f>
        <v>#REF!</v>
      </c>
      <c r="N21" s="128" t="e">
        <f>K21-M21</f>
        <v>#REF!</v>
      </c>
      <c r="O21" s="126" t="e">
        <f>Q14</f>
        <v>#REF!</v>
      </c>
      <c r="P21" s="127" t="e">
        <f>IF($O21&gt;0, IF(D5&gt;6, O21*(D5-6)/12*Q16, 0),0)</f>
        <v>#REF!</v>
      </c>
      <c r="Q21" s="127" t="e">
        <f>IF(D5&lt;12,0,IF($Q$17&gt;=B21, 0, IF(O21&gt;1, IF(ASS!#REF!=1,$Q$14/(($Q$15*2)-$Q$17), -PMT($Q$16/2,($Q$15*2-$Q$17),$Q$14,0)-P21), 0)))</f>
        <v>#REF!</v>
      </c>
      <c r="R21" s="128" t="e">
        <f>O21-Q21</f>
        <v>#REF!</v>
      </c>
      <c r="S21" s="126" t="e">
        <f>U14</f>
        <v>#REF!</v>
      </c>
      <c r="T21" s="127" t="e">
        <f>IF(S21&gt;0, IF($D5&gt;6, S21*($D5-6)/12*U16, 0),0)</f>
        <v>#REF!</v>
      </c>
      <c r="U21" s="127" t="e">
        <f>IF(D5&lt;12,0,IF($U$17&gt;=B21, 0, IF(S21&gt;1, IF(ASS!#REF!=1,$U$14/(($U$15*2)-$U$17), -PMT($U$16/2,($U$15*2-$U$17),$U$14,0)-T21), 0)))</f>
        <v>#REF!</v>
      </c>
      <c r="V21" s="128" t="e">
        <f>S21-U21</f>
        <v>#REF!</v>
      </c>
      <c r="W21" s="126" t="e">
        <f>Y14</f>
        <v>#REF!</v>
      </c>
      <c r="X21" s="127" t="e">
        <f>IF(W21&gt;0, IF($D5&gt;6, W21*($D5-6)/12*Y16, 0),0)</f>
        <v>#REF!</v>
      </c>
      <c r="Y21" s="127" t="e">
        <f>IF(D5&lt;12,0,IF($Y$17&gt;=B21, 0, IF(W21&gt;1, IF(ASS!#REF!=1,$Y$14/(($Y$15*2)-$Y$17), -PMT($Y$16/2,($Y$15*2-$Y$17),$Y$14,0)-X21), 0)))</f>
        <v>#REF!</v>
      </c>
      <c r="Z21" s="128" t="e">
        <f>W21-Y21</f>
        <v>#REF!</v>
      </c>
      <c r="AA21" s="127"/>
      <c r="AB21" s="128"/>
    </row>
    <row r="22" spans="1:28" x14ac:dyDescent="0.2">
      <c r="A22" s="58">
        <f>A21</f>
        <v>2001</v>
      </c>
      <c r="B22" s="59">
        <f>B21+1</f>
        <v>1</v>
      </c>
      <c r="C22" s="129" t="e">
        <f t="shared" ref="C22:C60" si="2">F21</f>
        <v>#REF!</v>
      </c>
      <c r="D22" s="130" t="e">
        <f>IF($D$5&gt;6, C22*$E$16*0.5, C22*E16*$D$5/12)</f>
        <v>#REF!</v>
      </c>
      <c r="E22" s="233" t="e">
        <f>IF($E$17&gt;=B22, 0, IF(C22&gt;1, IF(ASS!#REF!=1,$E$14/(($E$15*2)-$E$17), -PMT($E$16/2,($E$15*2-B21),C22,0)-D22), 0))</f>
        <v>#REF!</v>
      </c>
      <c r="F22" s="131" t="e">
        <f>C22-E22</f>
        <v>#REF!</v>
      </c>
      <c r="G22" s="129" t="e">
        <f t="shared" ref="G22:G60" si="3">J21</f>
        <v>#REF!</v>
      </c>
      <c r="H22" s="130" t="e">
        <f>IF($D$5&gt;6, G22*$I$16*0.5, G22*$I$16*$D$5/12)</f>
        <v>#REF!</v>
      </c>
      <c r="I22" s="233" t="e">
        <f>IF($I$17&gt;=B22, 0, IF(G22&gt;1, IF(ASS!#REF!=1,$I$14/(($I$15*2)-$I$17), -PMT($I$16/2,($I$15*2-B21),G22,0)-H22), 0))</f>
        <v>#REF!</v>
      </c>
      <c r="J22" s="131" t="e">
        <f t="shared" ref="J22:J37" si="4">G22-I22</f>
        <v>#REF!</v>
      </c>
      <c r="K22" s="129" t="e">
        <f t="shared" ref="K22:K60" si="5">N21</f>
        <v>#REF!</v>
      </c>
      <c r="L22" s="130" t="e">
        <f>IF($D$5&gt;6, K22*$M$16*0.5, K22*$M$16*$D$5/12)</f>
        <v>#REF!</v>
      </c>
      <c r="M22" s="233" t="e">
        <f>IF($M$17&gt;=B22, 0, IF(K22&gt;1, IF(ASS!#REF!=1,$M$14/(($M$15*2)-$M$17), -PMT($M$16/2,($M$15*2-B21),K22,0)-L22), 0))</f>
        <v>#REF!</v>
      </c>
      <c r="N22" s="131" t="e">
        <f t="shared" ref="N22:N37" si="6">K22-M22</f>
        <v>#REF!</v>
      </c>
      <c r="O22" s="129" t="e">
        <f t="shared" ref="O22:O60" si="7">R21</f>
        <v>#REF!</v>
      </c>
      <c r="P22" s="130" t="e">
        <f>IF($D$5&gt;6, O22*$Q$16*0.5, O22*$Q$16*$D$5/12)</f>
        <v>#REF!</v>
      </c>
      <c r="Q22" s="233" t="e">
        <f>IF($Q$17&gt;=B22, 0, IF(O22&gt;1, IF(ASS!#REF!=1,$Q$14/(($Q$15*2)-$Q$17), -PMT($Q$16/2,($Q$15*2-B21),O22,0)-P22), 0))</f>
        <v>#REF!</v>
      </c>
      <c r="R22" s="131" t="e">
        <f t="shared" ref="R22:R37" si="8">O22-Q22</f>
        <v>#REF!</v>
      </c>
      <c r="S22" s="129" t="e">
        <f t="shared" ref="S22:S60" si="9">V21</f>
        <v>#REF!</v>
      </c>
      <c r="T22" s="130" t="e">
        <f>IF($D$5&gt;6, S22*$U$16*0.5, S22*$U$16*$D$5/12)</f>
        <v>#REF!</v>
      </c>
      <c r="U22" s="233" t="e">
        <f>IF($U$17&gt;=B22, 0, IF(S22&gt;1, IF(ASS!#REF!=1,$U$14/(($U$15*2)-$U$17), -PMT($U$16/2,($U$15*2-B21),S22,0)-T22), 0))</f>
        <v>#REF!</v>
      </c>
      <c r="V22" s="131" t="e">
        <f t="shared" ref="V22:V37" si="10">S22-U22</f>
        <v>#REF!</v>
      </c>
      <c r="W22" s="129" t="e">
        <f t="shared" ref="W22:W60" si="11">Z21</f>
        <v>#REF!</v>
      </c>
      <c r="X22" s="130" t="e">
        <f>IF($D$5&gt;6, W22*$Y$16*0.5, W22*$Y$16*$D$5/12)</f>
        <v>#REF!</v>
      </c>
      <c r="Y22" s="233" t="e">
        <f>IF($Y$17&gt;=B22, 0, IF(W22&gt;1, IF(ASS!#REF!=1,$Y$14/(($Y$15*2)-$Y$17), -PMT($Y$16/2,($Y$15*2-B21),W22,0)-X22), 0))</f>
        <v>#REF!</v>
      </c>
      <c r="Z22" s="131" t="e">
        <f t="shared" ref="Z22:Z37" si="12">W22-Y22</f>
        <v>#REF!</v>
      </c>
      <c r="AA22" s="130" t="e">
        <f>SUM(D21:D22,H21:H22,L21:L22, P21:P22, T21:T22, X21:X22)</f>
        <v>#REF!</v>
      </c>
      <c r="AB22" s="131" t="e">
        <f>SUM(E21:E22, I21:I22, M21:M22, Q21:Q22, U21:U22, Y21:Y22)</f>
        <v>#REF!</v>
      </c>
    </row>
    <row r="23" spans="1:28" x14ac:dyDescent="0.2">
      <c r="A23" s="47">
        <f>A21+1</f>
        <v>2002</v>
      </c>
      <c r="B23" s="48">
        <f t="shared" ref="B23:B38" si="13">B22+1</f>
        <v>2</v>
      </c>
      <c r="C23" s="126" t="e">
        <f t="shared" si="2"/>
        <v>#REF!</v>
      </c>
      <c r="D23" s="127" t="e">
        <f>C23*$E$16*0.5</f>
        <v>#REF!</v>
      </c>
      <c r="E23" s="127" t="e">
        <f>IF($E$17&gt;=B23, 0, IF(C23&gt;1, IF(ASS!#REF!=1,$E$14/(($E$15*2)-$E$17), -PMT($E$16/2,($E$15*2-B22),C23,0)-D23), 0))</f>
        <v>#REF!</v>
      </c>
      <c r="F23" s="128" t="e">
        <f t="shared" ref="F23:F38" si="14">C23-E23</f>
        <v>#REF!</v>
      </c>
      <c r="G23" s="126" t="e">
        <f t="shared" si="3"/>
        <v>#REF!</v>
      </c>
      <c r="H23" s="127" t="e">
        <f>G23*$I$16*0.5</f>
        <v>#REF!</v>
      </c>
      <c r="I23" s="127" t="e">
        <f>IF($I$17&gt;=B23, 0, IF(G23&gt;1, IF(ASS!#REF!=1,$I$14/(($I$15*2)-$I$17), -PMT($I$16/2,($I$15*2-B22),G23,0)-H23), 0))</f>
        <v>#REF!</v>
      </c>
      <c r="J23" s="128" t="e">
        <f t="shared" si="4"/>
        <v>#REF!</v>
      </c>
      <c r="K23" s="126" t="e">
        <f t="shared" si="5"/>
        <v>#REF!</v>
      </c>
      <c r="L23" s="127" t="e">
        <f>K23*$M$16*0.5</f>
        <v>#REF!</v>
      </c>
      <c r="M23" s="127" t="e">
        <f>IF($M$17&gt;=B23, 0, IF(K23&gt;1, IF(ASS!#REF!=1,$M$14/(($M$15*2)-$M$17), -PMT($M$16/2,($M$15*2-B22),K23,0)-L23), 0))</f>
        <v>#REF!</v>
      </c>
      <c r="N23" s="128" t="e">
        <f t="shared" si="6"/>
        <v>#REF!</v>
      </c>
      <c r="O23" s="126" t="e">
        <f t="shared" si="7"/>
        <v>#REF!</v>
      </c>
      <c r="P23" s="127" t="e">
        <f>O23*$Q$16*0.5</f>
        <v>#REF!</v>
      </c>
      <c r="Q23" s="127" t="e">
        <f>IF($Q$17&gt;=B23, 0, IF(O23&gt;1, IF(ASS!#REF!=1,$Q$14/(($Q$15*2)-$Q$17), -PMT($Q$16/2,($Q$15*2-B22),O23,0)-P23), 0))</f>
        <v>#REF!</v>
      </c>
      <c r="R23" s="128" t="e">
        <f t="shared" si="8"/>
        <v>#REF!</v>
      </c>
      <c r="S23" s="126" t="e">
        <f t="shared" si="9"/>
        <v>#REF!</v>
      </c>
      <c r="T23" s="127" t="e">
        <f>S23*$U$16*0.5</f>
        <v>#REF!</v>
      </c>
      <c r="U23" s="127" t="e">
        <f>IF($U$17&gt;=B23, 0, IF(S23&gt;1, IF(ASS!#REF!=1,$U$14/(($U$15*2)-$U$17), -PMT($U$16/2,($U$15*2-B22),S23,0)-T23), 0))</f>
        <v>#REF!</v>
      </c>
      <c r="V23" s="128" t="e">
        <f t="shared" si="10"/>
        <v>#REF!</v>
      </c>
      <c r="W23" s="126" t="e">
        <f t="shared" si="11"/>
        <v>#REF!</v>
      </c>
      <c r="X23" s="127" t="e">
        <f>W23*$Y$16*0.5</f>
        <v>#REF!</v>
      </c>
      <c r="Y23" s="127" t="e">
        <f>IF($Y$17&gt;=B23, 0, IF(W23&gt;1, IF(ASS!#REF!=1,$Y$14/(($Y$15*2)-$Y$17), -PMT($Y$16/2,($Y$15*2-B22),W23,0)-X23), 0))</f>
        <v>#REF!</v>
      </c>
      <c r="Z23" s="128" t="e">
        <f t="shared" si="12"/>
        <v>#REF!</v>
      </c>
      <c r="AA23" s="127"/>
      <c r="AB23" s="128"/>
    </row>
    <row r="24" spans="1:28" x14ac:dyDescent="0.2">
      <c r="A24" s="58">
        <f>A23</f>
        <v>2002</v>
      </c>
      <c r="B24" s="59">
        <f t="shared" si="13"/>
        <v>3</v>
      </c>
      <c r="C24" s="129" t="e">
        <f t="shared" si="2"/>
        <v>#REF!</v>
      </c>
      <c r="D24" s="130" t="e">
        <f t="shared" ref="D24:D39" si="15">C24*$E$16*0.5</f>
        <v>#REF!</v>
      </c>
      <c r="E24" s="130" t="e">
        <f>IF($E$17&gt;=B24, 0, IF(C24&gt;1, IF(ASS!#REF!=1,$E$14/(($E$15*2)-$E$17), -PMT($E$16/2,($E$15*2-B23),C24,0)-D24), 0))</f>
        <v>#REF!</v>
      </c>
      <c r="F24" s="131" t="e">
        <f t="shared" si="14"/>
        <v>#REF!</v>
      </c>
      <c r="G24" s="129" t="e">
        <f t="shared" si="3"/>
        <v>#REF!</v>
      </c>
      <c r="H24" s="130" t="e">
        <f t="shared" ref="H24:H39" si="16">G24*$I$16*0.5</f>
        <v>#REF!</v>
      </c>
      <c r="I24" s="130" t="e">
        <f>IF($I$17&gt;=B24, 0, IF(G24&gt;1, IF(ASS!#REF!=1,$I$14/(($I$15*2)-$I$17), -PMT($I$16/2,($I$15*2-B23),G24,0)-H24), 0))</f>
        <v>#REF!</v>
      </c>
      <c r="J24" s="131" t="e">
        <f t="shared" si="4"/>
        <v>#REF!</v>
      </c>
      <c r="K24" s="129" t="e">
        <f t="shared" si="5"/>
        <v>#REF!</v>
      </c>
      <c r="L24" s="130" t="e">
        <f>K24*$M$16*0.5</f>
        <v>#REF!</v>
      </c>
      <c r="M24" s="130" t="e">
        <f>IF($M$17&gt;=B24, 0, IF(K24&gt;1, IF(ASS!#REF!=1,$M$14/(($M$15*2)-$M$17), -PMT($M$16/2,($M$15*2-B23),K24,0)-L24), 0))</f>
        <v>#REF!</v>
      </c>
      <c r="N24" s="131" t="e">
        <f t="shared" si="6"/>
        <v>#REF!</v>
      </c>
      <c r="O24" s="129" t="e">
        <f t="shared" si="7"/>
        <v>#REF!</v>
      </c>
      <c r="P24" s="130" t="e">
        <f t="shared" ref="P24:P39" si="17">O24*$Q$16*0.5</f>
        <v>#REF!</v>
      </c>
      <c r="Q24" s="130" t="e">
        <f>IF($Q$17&gt;=B24, 0, IF(O24&gt;1, IF(ASS!#REF!=1,$Q$14/(($Q$15*2)-$Q$17), -PMT($Q$16/2,($Q$15*2-B23),O24,0)-P24), 0))</f>
        <v>#REF!</v>
      </c>
      <c r="R24" s="131" t="e">
        <f t="shared" si="8"/>
        <v>#REF!</v>
      </c>
      <c r="S24" s="129" t="e">
        <f t="shared" si="9"/>
        <v>#REF!</v>
      </c>
      <c r="T24" s="130" t="e">
        <f t="shared" ref="T24:T39" si="18">S24*$U$16*0.5</f>
        <v>#REF!</v>
      </c>
      <c r="U24" s="130" t="e">
        <f>IF($U$17&gt;=B24, 0, IF(S24&gt;1, IF(ASS!#REF!=1,$U$14/(($U$15*2)-$U$17), -PMT($U$16/2,($U$15*2-B23),S24,0)-T24), 0))</f>
        <v>#REF!</v>
      </c>
      <c r="V24" s="131" t="e">
        <f t="shared" si="10"/>
        <v>#REF!</v>
      </c>
      <c r="W24" s="129" t="e">
        <f t="shared" si="11"/>
        <v>#REF!</v>
      </c>
      <c r="X24" s="130" t="e">
        <f t="shared" ref="X24:X39" si="19">W24*$Y$16*0.5</f>
        <v>#REF!</v>
      </c>
      <c r="Y24" s="130" t="e">
        <f>IF($Y$17&gt;=B24, 0, IF(W24&gt;1, IF(ASS!#REF!=1,$Y$14/(($Y$15*2)-$Y$17), -PMT($Y$16/2,($Y$15*2-B23),W24,0)-X24), 0))</f>
        <v>#REF!</v>
      </c>
      <c r="Z24" s="131" t="e">
        <f t="shared" si="12"/>
        <v>#REF!</v>
      </c>
      <c r="AA24" s="130" t="e">
        <f>SUM(D23:D24,H23:H24,L23:L24, P23:P24, T23:T24, X23:X24)</f>
        <v>#REF!</v>
      </c>
      <c r="AB24" s="131" t="e">
        <f>SUM(E23:E24, I23:I24, M23:M24, Q23:Q24, U23:U24, Y23:Y24)</f>
        <v>#REF!</v>
      </c>
    </row>
    <row r="25" spans="1:28" x14ac:dyDescent="0.2">
      <c r="A25" s="47">
        <f>A23+1</f>
        <v>2003</v>
      </c>
      <c r="B25" s="48">
        <f t="shared" si="13"/>
        <v>4</v>
      </c>
      <c r="C25" s="126" t="e">
        <f t="shared" si="2"/>
        <v>#REF!</v>
      </c>
      <c r="D25" s="127" t="e">
        <f t="shared" si="15"/>
        <v>#REF!</v>
      </c>
      <c r="E25" s="127" t="e">
        <f>IF($E$17&gt;=B25, 0, IF(C25&gt;1, IF(ASS!#REF!=1,$E$14/(($E$15*2)-$E$17), -PMT($E$16/2,($E$15*2-B24),C25,0)-D25), 0))</f>
        <v>#REF!</v>
      </c>
      <c r="F25" s="128" t="e">
        <f t="shared" si="14"/>
        <v>#REF!</v>
      </c>
      <c r="G25" s="126" t="e">
        <f t="shared" si="3"/>
        <v>#REF!</v>
      </c>
      <c r="H25" s="127" t="e">
        <f t="shared" si="16"/>
        <v>#REF!</v>
      </c>
      <c r="I25" s="127" t="e">
        <f>IF($I$17&gt;=B25, 0, IF(G25&gt;1, IF(ASS!#REF!=1,$I$14/(($I$15*2)-$I$17), -PMT($I$16/2,($I$15*2-B24),G25,0)-H25), 0))</f>
        <v>#REF!</v>
      </c>
      <c r="J25" s="128" t="e">
        <f t="shared" si="4"/>
        <v>#REF!</v>
      </c>
      <c r="K25" s="126" t="e">
        <f t="shared" si="5"/>
        <v>#REF!</v>
      </c>
      <c r="L25" s="127" t="e">
        <f t="shared" ref="L25:L40" si="20">K25*$M$16*0.5</f>
        <v>#REF!</v>
      </c>
      <c r="M25" s="127" t="e">
        <f>IF($M$17&gt;=B25, 0, IF(K25&gt;1, IF(ASS!#REF!=1,$M$14/(($M$15*2)-$M$17), -PMT($M$16/2,($M$15*2-B24),K25,0)-L25), 0))</f>
        <v>#REF!</v>
      </c>
      <c r="N25" s="128" t="e">
        <f t="shared" si="6"/>
        <v>#REF!</v>
      </c>
      <c r="O25" s="126" t="e">
        <f t="shared" si="7"/>
        <v>#REF!</v>
      </c>
      <c r="P25" s="127" t="e">
        <f t="shared" si="17"/>
        <v>#REF!</v>
      </c>
      <c r="Q25" s="127" t="e">
        <f>IF($Q$17&gt;=B25, 0, IF(O25&gt;1, IF(ASS!#REF!=1,$Q$14/(($Q$15*2)-$Q$17), -PMT($Q$16/2,($Q$15*2-B24),O25,0)-P25), 0))</f>
        <v>#REF!</v>
      </c>
      <c r="R25" s="128" t="e">
        <f t="shared" si="8"/>
        <v>#REF!</v>
      </c>
      <c r="S25" s="126" t="e">
        <f t="shared" si="9"/>
        <v>#REF!</v>
      </c>
      <c r="T25" s="127" t="e">
        <f t="shared" si="18"/>
        <v>#REF!</v>
      </c>
      <c r="U25" s="127" t="e">
        <f>IF($U$17&gt;=B25, 0, IF(S25&gt;1, IF(ASS!#REF!=1,$U$14/(($U$15*2)-$U$17), -PMT($U$16/2,($U$15*2-B24),S25,0)-T25), 0))</f>
        <v>#REF!</v>
      </c>
      <c r="V25" s="128" t="e">
        <f t="shared" si="10"/>
        <v>#REF!</v>
      </c>
      <c r="W25" s="126" t="e">
        <f t="shared" si="11"/>
        <v>#REF!</v>
      </c>
      <c r="X25" s="127" t="e">
        <f t="shared" si="19"/>
        <v>#REF!</v>
      </c>
      <c r="Y25" s="127" t="e">
        <f>IF($Y$17&gt;=B25, 0, IF(W25&gt;1, IF(ASS!#REF!=1,$Y$14/(($Y$15*2)-$Y$17), -PMT($Y$16/2,($Y$15*2-B24),W25,0)-X25), 0))</f>
        <v>#REF!</v>
      </c>
      <c r="Z25" s="128" t="e">
        <f t="shared" si="12"/>
        <v>#REF!</v>
      </c>
      <c r="AA25" s="127"/>
      <c r="AB25" s="128"/>
    </row>
    <row r="26" spans="1:28" x14ac:dyDescent="0.2">
      <c r="A26" s="58">
        <f t="shared" ref="A26:A41" si="21">A24+1</f>
        <v>2003</v>
      </c>
      <c r="B26" s="59">
        <f t="shared" si="13"/>
        <v>5</v>
      </c>
      <c r="C26" s="129" t="e">
        <f t="shared" si="2"/>
        <v>#REF!</v>
      </c>
      <c r="D26" s="130" t="e">
        <f t="shared" si="15"/>
        <v>#REF!</v>
      </c>
      <c r="E26" s="130" t="e">
        <f>IF($E$17&gt;=B26, 0, IF(C26&gt;1, IF(ASS!#REF!=1,$E$14/(($E$15*2)-$E$17), -PMT($E$16/2,($E$15*2-B25),C26,0)-D26), 0))</f>
        <v>#REF!</v>
      </c>
      <c r="F26" s="131" t="e">
        <f t="shared" si="14"/>
        <v>#REF!</v>
      </c>
      <c r="G26" s="129" t="e">
        <f t="shared" si="3"/>
        <v>#REF!</v>
      </c>
      <c r="H26" s="130" t="e">
        <f t="shared" si="16"/>
        <v>#REF!</v>
      </c>
      <c r="I26" s="130" t="e">
        <f>IF($I$17&gt;=B26, 0, IF(G26&gt;1, IF(ASS!#REF!=1,$I$14/(($I$15*2)-$I$17), -PMT($I$16/2,($I$15*2-B25),G26,0)-H26), 0))</f>
        <v>#REF!</v>
      </c>
      <c r="J26" s="131" t="e">
        <f t="shared" si="4"/>
        <v>#REF!</v>
      </c>
      <c r="K26" s="129" t="e">
        <f t="shared" si="5"/>
        <v>#REF!</v>
      </c>
      <c r="L26" s="130" t="e">
        <f t="shared" si="20"/>
        <v>#REF!</v>
      </c>
      <c r="M26" s="130" t="e">
        <f>IF($M$17&gt;=B26, 0, IF(K26&gt;1, IF(ASS!#REF!=1,$M$14/(($M$15*2)-$M$17), -PMT($M$16/2,($M$15*2-B25),K26,0)-L26), 0))</f>
        <v>#REF!</v>
      </c>
      <c r="N26" s="131" t="e">
        <f t="shared" si="6"/>
        <v>#REF!</v>
      </c>
      <c r="O26" s="129" t="e">
        <f t="shared" si="7"/>
        <v>#REF!</v>
      </c>
      <c r="P26" s="130" t="e">
        <f t="shared" si="17"/>
        <v>#REF!</v>
      </c>
      <c r="Q26" s="130" t="e">
        <f>IF($Q$17&gt;=B26, 0, IF(O26&gt;1, IF(ASS!#REF!=1,$Q$14/(($Q$15*2)-$Q$17), -PMT($Q$16/2,($Q$15*2-B25),O26,0)-P26), 0))</f>
        <v>#REF!</v>
      </c>
      <c r="R26" s="131" t="e">
        <f t="shared" si="8"/>
        <v>#REF!</v>
      </c>
      <c r="S26" s="129" t="e">
        <f t="shared" si="9"/>
        <v>#REF!</v>
      </c>
      <c r="T26" s="130" t="e">
        <f t="shared" si="18"/>
        <v>#REF!</v>
      </c>
      <c r="U26" s="130" t="e">
        <f>IF($U$17&gt;=B26, 0, IF(S26&gt;1, IF(ASS!#REF!=1,$U$14/(($U$15*2)-$U$17), -PMT($U$16/2,($U$15*2-B25),S26,0)-T26), 0))</f>
        <v>#REF!</v>
      </c>
      <c r="V26" s="131" t="e">
        <f t="shared" si="10"/>
        <v>#REF!</v>
      </c>
      <c r="W26" s="129" t="e">
        <f t="shared" si="11"/>
        <v>#REF!</v>
      </c>
      <c r="X26" s="130" t="e">
        <f t="shared" si="19"/>
        <v>#REF!</v>
      </c>
      <c r="Y26" s="130" t="e">
        <f>IF($Y$17&gt;=B26, 0, IF(W26&gt;1, IF(ASS!#REF!=1,$Y$14/(($Y$15*2)-$Y$17), -PMT($Y$16/2,($Y$15*2-B25),W26,0)-X26), 0))</f>
        <v>#REF!</v>
      </c>
      <c r="Z26" s="131" t="e">
        <f t="shared" si="12"/>
        <v>#REF!</v>
      </c>
      <c r="AA26" s="130" t="e">
        <f>SUM(D25:D26,H25:H26,L25:L26, P25:P26, T25:T26, X25:X26)</f>
        <v>#REF!</v>
      </c>
      <c r="AB26" s="131" t="e">
        <f>SUM(E25:E26, I25:I26, M25:M26, Q25:Q26, U25:U26, Y25:Y26)</f>
        <v>#REF!</v>
      </c>
    </row>
    <row r="27" spans="1:28" x14ac:dyDescent="0.2">
      <c r="A27" s="47">
        <f t="shared" si="21"/>
        <v>2004</v>
      </c>
      <c r="B27" s="48">
        <f t="shared" si="13"/>
        <v>6</v>
      </c>
      <c r="C27" s="126" t="e">
        <f t="shared" si="2"/>
        <v>#REF!</v>
      </c>
      <c r="D27" s="127" t="e">
        <f t="shared" si="15"/>
        <v>#REF!</v>
      </c>
      <c r="E27" s="127" t="e">
        <f>IF($E$17&gt;=B27, 0, IF(C27&gt;1, IF(ASS!#REF!=1,$E$14/(($E$15*2)-$E$17), -PMT($E$16/2,($E$15*2-B26),C27,0)-D27), 0))</f>
        <v>#REF!</v>
      </c>
      <c r="F27" s="128" t="e">
        <f t="shared" si="14"/>
        <v>#REF!</v>
      </c>
      <c r="G27" s="126" t="e">
        <f t="shared" si="3"/>
        <v>#REF!</v>
      </c>
      <c r="H27" s="127" t="e">
        <f t="shared" si="16"/>
        <v>#REF!</v>
      </c>
      <c r="I27" s="127" t="e">
        <f>IF($I$17&gt;=B27, 0, IF(G27&gt;1, IF(ASS!#REF!=1,$I$14/(($I$15*2)-$I$17), -PMT($I$16/2,($I$15*2-B26),G27,0)-H27), 0))</f>
        <v>#REF!</v>
      </c>
      <c r="J27" s="128" t="e">
        <f t="shared" si="4"/>
        <v>#REF!</v>
      </c>
      <c r="K27" s="126" t="e">
        <f t="shared" si="5"/>
        <v>#REF!</v>
      </c>
      <c r="L27" s="127" t="e">
        <f t="shared" si="20"/>
        <v>#REF!</v>
      </c>
      <c r="M27" s="127" t="e">
        <f>IF($M$17&gt;=B27, 0, IF(K27&gt;1, IF(ASS!#REF!=1,$M$14/(($M$15*2)-$M$17), -PMT($M$16/2,($M$15*2-B26),K27,0)-L27), 0))</f>
        <v>#REF!</v>
      </c>
      <c r="N27" s="128" t="e">
        <f t="shared" si="6"/>
        <v>#REF!</v>
      </c>
      <c r="O27" s="126" t="e">
        <f t="shared" si="7"/>
        <v>#REF!</v>
      </c>
      <c r="P27" s="127" t="e">
        <f t="shared" si="17"/>
        <v>#REF!</v>
      </c>
      <c r="Q27" s="127" t="e">
        <f>IF($Q$17&gt;=B27, 0, IF(O27&gt;1, IF(ASS!#REF!=1,$Q$14/(($Q$15*2)-$Q$17), -PMT($Q$16/2,($Q$15*2-B26),O27,0)-P27), 0))</f>
        <v>#REF!</v>
      </c>
      <c r="R27" s="128" t="e">
        <f t="shared" si="8"/>
        <v>#REF!</v>
      </c>
      <c r="S27" s="126" t="e">
        <f t="shared" si="9"/>
        <v>#REF!</v>
      </c>
      <c r="T27" s="127" t="e">
        <f t="shared" si="18"/>
        <v>#REF!</v>
      </c>
      <c r="U27" s="127" t="e">
        <f>IF($U$17&gt;=B27, 0, IF(S27&gt;1, IF(ASS!#REF!=1,$U$14/(($U$15*2)-$U$17), -PMT($U$16/2,($U$15*2-B26),S27,0)-T27), 0))</f>
        <v>#REF!</v>
      </c>
      <c r="V27" s="128" t="e">
        <f t="shared" si="10"/>
        <v>#REF!</v>
      </c>
      <c r="W27" s="126" t="e">
        <f t="shared" si="11"/>
        <v>#REF!</v>
      </c>
      <c r="X27" s="127" t="e">
        <f t="shared" si="19"/>
        <v>#REF!</v>
      </c>
      <c r="Y27" s="127" t="e">
        <f>IF($Y$17&gt;=B27, 0, IF(W27&gt;1, IF(ASS!#REF!=1,$Y$14/(($Y$15*2)-$Y$17), -PMT($Y$16/2,($Y$15*2-B26),W27,0)-X27), 0))</f>
        <v>#REF!</v>
      </c>
      <c r="Z27" s="128" t="e">
        <f t="shared" si="12"/>
        <v>#REF!</v>
      </c>
      <c r="AA27" s="127"/>
      <c r="AB27" s="128"/>
    </row>
    <row r="28" spans="1:28" x14ac:dyDescent="0.2">
      <c r="A28" s="58">
        <f>A27</f>
        <v>2004</v>
      </c>
      <c r="B28" s="59">
        <f t="shared" si="13"/>
        <v>7</v>
      </c>
      <c r="C28" s="129" t="e">
        <f t="shared" si="2"/>
        <v>#REF!</v>
      </c>
      <c r="D28" s="130" t="e">
        <f t="shared" si="15"/>
        <v>#REF!</v>
      </c>
      <c r="E28" s="130" t="e">
        <f>IF($E$17&gt;=B28, 0, IF(C28&gt;1, IF(ASS!#REF!=1,$E$14/(($E$15*2)-$E$17), -PMT($E$16/2,($E$15*2-B27),C28,0)-D28), 0))</f>
        <v>#REF!</v>
      </c>
      <c r="F28" s="131" t="e">
        <f t="shared" si="14"/>
        <v>#REF!</v>
      </c>
      <c r="G28" s="129" t="e">
        <f t="shared" si="3"/>
        <v>#REF!</v>
      </c>
      <c r="H28" s="130" t="e">
        <f t="shared" si="16"/>
        <v>#REF!</v>
      </c>
      <c r="I28" s="130" t="e">
        <f>IF($I$17&gt;=B28, 0, IF(G28&gt;1, IF(ASS!#REF!=1,$I$14/(($I$15*2)-$I$17), -PMT($I$16/2,($I$15*2-B27),G28,0)-H28), 0))</f>
        <v>#REF!</v>
      </c>
      <c r="J28" s="131" t="e">
        <f t="shared" si="4"/>
        <v>#REF!</v>
      </c>
      <c r="K28" s="129" t="e">
        <f t="shared" si="5"/>
        <v>#REF!</v>
      </c>
      <c r="L28" s="130" t="e">
        <f t="shared" si="20"/>
        <v>#REF!</v>
      </c>
      <c r="M28" s="130" t="e">
        <f>IF($M$17&gt;=B28, 0, IF(K28&gt;1, IF(ASS!#REF!=1,$M$14/(($M$15*2)-$M$17), -PMT($M$16/2,($M$15*2-B27),K28,0)-L28), 0))</f>
        <v>#REF!</v>
      </c>
      <c r="N28" s="131" t="e">
        <f t="shared" si="6"/>
        <v>#REF!</v>
      </c>
      <c r="O28" s="129" t="e">
        <f t="shared" si="7"/>
        <v>#REF!</v>
      </c>
      <c r="P28" s="130" t="e">
        <f t="shared" si="17"/>
        <v>#REF!</v>
      </c>
      <c r="Q28" s="130" t="e">
        <f>IF($Q$17&gt;=B28, 0, IF(O28&gt;1, IF(ASS!#REF!=1,$Q$14/(($Q$15*2)-$Q$17), -PMT($Q$16/2,($Q$15*2-B27),O28,0)-P28), 0))</f>
        <v>#REF!</v>
      </c>
      <c r="R28" s="131" t="e">
        <f t="shared" si="8"/>
        <v>#REF!</v>
      </c>
      <c r="S28" s="129" t="e">
        <f t="shared" si="9"/>
        <v>#REF!</v>
      </c>
      <c r="T28" s="130" t="e">
        <f t="shared" si="18"/>
        <v>#REF!</v>
      </c>
      <c r="U28" s="130" t="e">
        <f>IF($U$17&gt;=B28, 0, IF(S28&gt;1, IF(ASS!#REF!=1,$U$14/(($U$15*2)-$U$17), -PMT($U$16/2,($U$15*2-B27),S28,0)-T28), 0))</f>
        <v>#REF!</v>
      </c>
      <c r="V28" s="131" t="e">
        <f t="shared" si="10"/>
        <v>#REF!</v>
      </c>
      <c r="W28" s="129" t="e">
        <f t="shared" si="11"/>
        <v>#REF!</v>
      </c>
      <c r="X28" s="130" t="e">
        <f t="shared" si="19"/>
        <v>#REF!</v>
      </c>
      <c r="Y28" s="130" t="e">
        <f>IF($Y$17&gt;=B28, 0, IF(W28&gt;1, IF(ASS!#REF!=1,$Y$14/(($Y$15*2)-$Y$17), -PMT($Y$16/2,($Y$15*2-B27),W28,0)-X28), 0))</f>
        <v>#REF!</v>
      </c>
      <c r="Z28" s="131" t="e">
        <f t="shared" si="12"/>
        <v>#REF!</v>
      </c>
      <c r="AA28" s="130" t="e">
        <f>SUM(D27:D28,H27:H28,L27:L28, P27:P28, T27:T28, X27:X28)</f>
        <v>#REF!</v>
      </c>
      <c r="AB28" s="131" t="e">
        <f>SUM(E27:E28, I27:I28, M27:M28, Q27:Q28, U27:U28, Y27:Y28)</f>
        <v>#REF!</v>
      </c>
    </row>
    <row r="29" spans="1:28" x14ac:dyDescent="0.2">
      <c r="A29" s="47">
        <f t="shared" si="21"/>
        <v>2005</v>
      </c>
      <c r="B29" s="48">
        <f t="shared" si="13"/>
        <v>8</v>
      </c>
      <c r="C29" s="126" t="e">
        <f t="shared" si="2"/>
        <v>#REF!</v>
      </c>
      <c r="D29" s="127" t="e">
        <f t="shared" si="15"/>
        <v>#REF!</v>
      </c>
      <c r="E29" s="127" t="e">
        <f>IF($E$17&gt;=B29, 0, IF(C29&gt;1, IF(ASS!#REF!=1,$E$14/(($E$15*2)-$E$17), -PMT($E$16/2,($E$15*2-B28),C29,0)-D29), 0))</f>
        <v>#REF!</v>
      </c>
      <c r="F29" s="128" t="e">
        <f t="shared" si="14"/>
        <v>#REF!</v>
      </c>
      <c r="G29" s="126" t="e">
        <f t="shared" si="3"/>
        <v>#REF!</v>
      </c>
      <c r="H29" s="127" t="e">
        <f t="shared" si="16"/>
        <v>#REF!</v>
      </c>
      <c r="I29" s="127" t="e">
        <f>IF($I$17&gt;=B29, 0, IF(G29&gt;1, IF(ASS!#REF!=1,$I$14/(($I$15*2)-$I$17), -PMT($I$16/2,($I$15*2-B28),G29,0)-H29), 0))</f>
        <v>#REF!</v>
      </c>
      <c r="J29" s="128" t="e">
        <f t="shared" si="4"/>
        <v>#REF!</v>
      </c>
      <c r="K29" s="126" t="e">
        <f t="shared" si="5"/>
        <v>#REF!</v>
      </c>
      <c r="L29" s="127" t="e">
        <f t="shared" si="20"/>
        <v>#REF!</v>
      </c>
      <c r="M29" s="127" t="e">
        <f>IF($M$17&gt;=B29, 0, IF(K29&gt;1, IF(ASS!#REF!=1,$M$14/(($M$15*2)-$M$17), -PMT($M$16/2,($M$15*2-B28),K29,0)-L29), 0))</f>
        <v>#REF!</v>
      </c>
      <c r="N29" s="128" t="e">
        <f t="shared" si="6"/>
        <v>#REF!</v>
      </c>
      <c r="O29" s="126" t="e">
        <f t="shared" si="7"/>
        <v>#REF!</v>
      </c>
      <c r="P29" s="127" t="e">
        <f t="shared" si="17"/>
        <v>#REF!</v>
      </c>
      <c r="Q29" s="127" t="e">
        <f>IF($Q$17&gt;=B29, 0, IF(O29&gt;1, IF(ASS!#REF!=1,$Q$14/(($Q$15*2)-$Q$17), -PMT($Q$16/2,($Q$15*2-B28),O29,0)-P29), 0))</f>
        <v>#REF!</v>
      </c>
      <c r="R29" s="128" t="e">
        <f t="shared" si="8"/>
        <v>#REF!</v>
      </c>
      <c r="S29" s="126" t="e">
        <f t="shared" si="9"/>
        <v>#REF!</v>
      </c>
      <c r="T29" s="127" t="e">
        <f t="shared" si="18"/>
        <v>#REF!</v>
      </c>
      <c r="U29" s="127" t="e">
        <f>IF($U$17&gt;=B29, 0, IF(S29&gt;1, IF(ASS!#REF!=1,$U$14/(($U$15*2)-$U$17), -PMT($U$16/2,($U$15*2-B28),S29,0)-T29), 0))</f>
        <v>#REF!</v>
      </c>
      <c r="V29" s="128" t="e">
        <f t="shared" si="10"/>
        <v>#REF!</v>
      </c>
      <c r="W29" s="126" t="e">
        <f t="shared" si="11"/>
        <v>#REF!</v>
      </c>
      <c r="X29" s="127" t="e">
        <f t="shared" si="19"/>
        <v>#REF!</v>
      </c>
      <c r="Y29" s="127" t="e">
        <f>IF($Y$17&gt;=B29, 0, IF(W29&gt;1, IF(ASS!#REF!=1,$Y$14/(($Y$15*2)-$Y$17), -PMT($Y$16/2,($Y$15*2-B28),W29,0)-X29), 0))</f>
        <v>#REF!</v>
      </c>
      <c r="Z29" s="128" t="e">
        <f t="shared" si="12"/>
        <v>#REF!</v>
      </c>
      <c r="AA29" s="127"/>
      <c r="AB29" s="128"/>
    </row>
    <row r="30" spans="1:28" x14ac:dyDescent="0.2">
      <c r="A30" s="58">
        <f>A29</f>
        <v>2005</v>
      </c>
      <c r="B30" s="59">
        <f t="shared" si="13"/>
        <v>9</v>
      </c>
      <c r="C30" s="129" t="e">
        <f t="shared" si="2"/>
        <v>#REF!</v>
      </c>
      <c r="D30" s="130" t="e">
        <f t="shared" si="15"/>
        <v>#REF!</v>
      </c>
      <c r="E30" s="130" t="e">
        <f>IF($E$17&gt;=B30, 0, IF(C30&gt;1, IF(ASS!#REF!=1,$E$14/(($E$15*2)-$E$17), -PMT($E$16/2,($E$15*2-B29),C30,0)-D30), 0))</f>
        <v>#REF!</v>
      </c>
      <c r="F30" s="131" t="e">
        <f t="shared" si="14"/>
        <v>#REF!</v>
      </c>
      <c r="G30" s="129" t="e">
        <f t="shared" si="3"/>
        <v>#REF!</v>
      </c>
      <c r="H30" s="130" t="e">
        <f t="shared" si="16"/>
        <v>#REF!</v>
      </c>
      <c r="I30" s="130" t="e">
        <f>IF($I$17&gt;=B30, 0, IF(G30&gt;1, IF(ASS!#REF!=1,$I$14/(($I$15*2)-$I$17), -PMT($I$16/2,($I$15*2-B29),G30,0)-H30), 0))</f>
        <v>#REF!</v>
      </c>
      <c r="J30" s="131" t="e">
        <f t="shared" si="4"/>
        <v>#REF!</v>
      </c>
      <c r="K30" s="129" t="e">
        <f t="shared" si="5"/>
        <v>#REF!</v>
      </c>
      <c r="L30" s="130" t="e">
        <f t="shared" si="20"/>
        <v>#REF!</v>
      </c>
      <c r="M30" s="130" t="e">
        <f>IF($M$17&gt;=B30, 0, IF(K30&gt;1, IF(ASS!#REF!=1,$M$14/(($M$15*2)-$M$17), -PMT($M$16/2,($M$15*2-B29),K30,0)-L30), 0))</f>
        <v>#REF!</v>
      </c>
      <c r="N30" s="131" t="e">
        <f t="shared" si="6"/>
        <v>#REF!</v>
      </c>
      <c r="O30" s="129" t="e">
        <f t="shared" si="7"/>
        <v>#REF!</v>
      </c>
      <c r="P30" s="130" t="e">
        <f t="shared" si="17"/>
        <v>#REF!</v>
      </c>
      <c r="Q30" s="130" t="e">
        <f>IF($Q$17&gt;=B30, 0, IF(O30&gt;1, IF(ASS!#REF!=1,$Q$14/(($Q$15*2)-$Q$17), -PMT($Q$16/2,($Q$15*2-B29),O30,0)-P30), 0))</f>
        <v>#REF!</v>
      </c>
      <c r="R30" s="131" t="e">
        <f t="shared" si="8"/>
        <v>#REF!</v>
      </c>
      <c r="S30" s="129" t="e">
        <f t="shared" si="9"/>
        <v>#REF!</v>
      </c>
      <c r="T30" s="130" t="e">
        <f t="shared" si="18"/>
        <v>#REF!</v>
      </c>
      <c r="U30" s="130" t="e">
        <f>IF($U$17&gt;=B30, 0, IF(S30&gt;1, IF(ASS!#REF!=1,$U$14/(($U$15*2)-$U$17), -PMT($U$16/2,($U$15*2-B29),S30,0)-T30), 0))</f>
        <v>#REF!</v>
      </c>
      <c r="V30" s="131" t="e">
        <f t="shared" si="10"/>
        <v>#REF!</v>
      </c>
      <c r="W30" s="129" t="e">
        <f t="shared" si="11"/>
        <v>#REF!</v>
      </c>
      <c r="X30" s="130" t="e">
        <f t="shared" si="19"/>
        <v>#REF!</v>
      </c>
      <c r="Y30" s="130" t="e">
        <f>IF($Y$17&gt;=B30, 0, IF(W30&gt;1, IF(ASS!#REF!=1,$Y$14/(($Y$15*2)-$Y$17), -PMT($Y$16/2,($Y$15*2-B29),W30,0)-X30), 0))</f>
        <v>#REF!</v>
      </c>
      <c r="Z30" s="131" t="e">
        <f t="shared" si="12"/>
        <v>#REF!</v>
      </c>
      <c r="AA30" s="130" t="e">
        <f>SUM(D29:D30,H29:H30,L29:L30, P29:P30, T29:T30, X29:X30)</f>
        <v>#REF!</v>
      </c>
      <c r="AB30" s="131" t="e">
        <f>SUM(E29:E30, I29:I30, M29:M30, Q29:Q30, U29:U30, Y29:Y30)</f>
        <v>#REF!</v>
      </c>
    </row>
    <row r="31" spans="1:28" x14ac:dyDescent="0.2">
      <c r="A31" s="47">
        <f t="shared" si="21"/>
        <v>2006</v>
      </c>
      <c r="B31" s="48">
        <f t="shared" si="13"/>
        <v>10</v>
      </c>
      <c r="C31" s="126" t="e">
        <f t="shared" si="2"/>
        <v>#REF!</v>
      </c>
      <c r="D31" s="127" t="e">
        <f t="shared" si="15"/>
        <v>#REF!</v>
      </c>
      <c r="E31" s="127" t="e">
        <f>IF($E$17&gt;=B31, 0, IF(C31&gt;1, IF(ASS!#REF!=1,$E$14/(($E$15*2)-$E$17), -PMT($E$16/2,($E$15*2-B30),C31,0)-D31), 0))</f>
        <v>#REF!</v>
      </c>
      <c r="F31" s="128" t="e">
        <f t="shared" si="14"/>
        <v>#REF!</v>
      </c>
      <c r="G31" s="126" t="e">
        <f t="shared" si="3"/>
        <v>#REF!</v>
      </c>
      <c r="H31" s="127" t="e">
        <f t="shared" si="16"/>
        <v>#REF!</v>
      </c>
      <c r="I31" s="127" t="e">
        <f>IF($I$17&gt;=B31, 0, IF(G31&gt;1, IF(ASS!#REF!=1,$I$14/(($I$15*2)-$I$17), -PMT($I$16/2,($I$15*2-B30),G31,0)-H31), 0))</f>
        <v>#REF!</v>
      </c>
      <c r="J31" s="128" t="e">
        <f t="shared" si="4"/>
        <v>#REF!</v>
      </c>
      <c r="K31" s="126" t="e">
        <f t="shared" si="5"/>
        <v>#REF!</v>
      </c>
      <c r="L31" s="127" t="e">
        <f t="shared" si="20"/>
        <v>#REF!</v>
      </c>
      <c r="M31" s="127" t="e">
        <f>IF($M$17&gt;=B31, 0, IF(K31&gt;1, IF(ASS!#REF!=1,$M$14/(($M$15*2)-$M$17), -PMT($M$16/2,($M$15*2-B30),K31,0)-L31), 0))</f>
        <v>#REF!</v>
      </c>
      <c r="N31" s="128" t="e">
        <f t="shared" si="6"/>
        <v>#REF!</v>
      </c>
      <c r="O31" s="126" t="e">
        <f t="shared" si="7"/>
        <v>#REF!</v>
      </c>
      <c r="P31" s="127" t="e">
        <f t="shared" si="17"/>
        <v>#REF!</v>
      </c>
      <c r="Q31" s="127" t="e">
        <f>IF($Q$17&gt;=B31, 0, IF(O31&gt;1, IF(ASS!#REF!=1,$Q$14/(($Q$15*2)-$Q$17), -PMT($Q$16/2,($Q$15*2-B30),O31,0)-P31), 0))</f>
        <v>#REF!</v>
      </c>
      <c r="R31" s="128" t="e">
        <f t="shared" si="8"/>
        <v>#REF!</v>
      </c>
      <c r="S31" s="126" t="e">
        <f t="shared" si="9"/>
        <v>#REF!</v>
      </c>
      <c r="T31" s="127" t="e">
        <f t="shared" si="18"/>
        <v>#REF!</v>
      </c>
      <c r="U31" s="127" t="e">
        <f>IF($U$17&gt;=B31, 0, IF(S31&gt;1, IF(ASS!#REF!=1,$U$14/(($U$15*2)-$U$17), -PMT($U$16/2,($U$15*2-B30),S31,0)-T31), 0))</f>
        <v>#REF!</v>
      </c>
      <c r="V31" s="128" t="e">
        <f t="shared" si="10"/>
        <v>#REF!</v>
      </c>
      <c r="W31" s="126" t="e">
        <f t="shared" si="11"/>
        <v>#REF!</v>
      </c>
      <c r="X31" s="127" t="e">
        <f t="shared" si="19"/>
        <v>#REF!</v>
      </c>
      <c r="Y31" s="127" t="e">
        <f>IF($Y$17&gt;=B31, 0, IF(W31&gt;1, IF(ASS!#REF!=1,$Y$14/(($Y$15*2)-$Y$17), -PMT($Y$16/2,($Y$15*2-B30),W31,0)-X31), 0))</f>
        <v>#REF!</v>
      </c>
      <c r="Z31" s="128" t="e">
        <f t="shared" si="12"/>
        <v>#REF!</v>
      </c>
      <c r="AA31" s="127"/>
      <c r="AB31" s="128"/>
    </row>
    <row r="32" spans="1:28" x14ac:dyDescent="0.2">
      <c r="A32" s="58">
        <f>A31</f>
        <v>2006</v>
      </c>
      <c r="B32" s="59">
        <f t="shared" si="13"/>
        <v>11</v>
      </c>
      <c r="C32" s="129" t="e">
        <f t="shared" si="2"/>
        <v>#REF!</v>
      </c>
      <c r="D32" s="130" t="e">
        <f t="shared" si="15"/>
        <v>#REF!</v>
      </c>
      <c r="E32" s="130" t="e">
        <f>IF($E$17&gt;=B32, 0, IF(C32&gt;1, IF(ASS!#REF!=1,$E$14/(($E$15*2)-$E$17), -PMT($E$16/2,($E$15*2-B31),C32,0)-D32), 0))</f>
        <v>#REF!</v>
      </c>
      <c r="F32" s="131" t="e">
        <f t="shared" si="14"/>
        <v>#REF!</v>
      </c>
      <c r="G32" s="129" t="e">
        <f t="shared" si="3"/>
        <v>#REF!</v>
      </c>
      <c r="H32" s="130" t="e">
        <f t="shared" si="16"/>
        <v>#REF!</v>
      </c>
      <c r="I32" s="130" t="e">
        <f>IF($I$17&gt;=B32, 0, IF(G32&gt;1, IF(ASS!#REF!=1,$I$14/(($I$15*2)-$I$17), -PMT($I$16/2,($I$15*2-B31),G32,0)-H32), 0))</f>
        <v>#REF!</v>
      </c>
      <c r="J32" s="131" t="e">
        <f t="shared" si="4"/>
        <v>#REF!</v>
      </c>
      <c r="K32" s="129" t="e">
        <f t="shared" si="5"/>
        <v>#REF!</v>
      </c>
      <c r="L32" s="130" t="e">
        <f t="shared" si="20"/>
        <v>#REF!</v>
      </c>
      <c r="M32" s="130" t="e">
        <f>IF($M$17&gt;=B32, 0, IF(K32&gt;1, IF(ASS!#REF!=1,$M$14/(($M$15*2)-$M$17), -PMT($M$16/2,($M$15*2-B31),K32,0)-L32), 0))</f>
        <v>#REF!</v>
      </c>
      <c r="N32" s="131" t="e">
        <f t="shared" si="6"/>
        <v>#REF!</v>
      </c>
      <c r="O32" s="129" t="e">
        <f t="shared" si="7"/>
        <v>#REF!</v>
      </c>
      <c r="P32" s="130" t="e">
        <f t="shared" si="17"/>
        <v>#REF!</v>
      </c>
      <c r="Q32" s="130" t="e">
        <f>IF($Q$17&gt;=B32, 0, IF(O32&gt;1, IF(ASS!#REF!=1,$Q$14/(($Q$15*2)-$Q$17), -PMT($Q$16/2,($Q$15*2-B31),O32,0)-P32), 0))</f>
        <v>#REF!</v>
      </c>
      <c r="R32" s="131" t="e">
        <f t="shared" si="8"/>
        <v>#REF!</v>
      </c>
      <c r="S32" s="129" t="e">
        <f t="shared" si="9"/>
        <v>#REF!</v>
      </c>
      <c r="T32" s="130" t="e">
        <f t="shared" si="18"/>
        <v>#REF!</v>
      </c>
      <c r="U32" s="130" t="e">
        <f>IF($U$17&gt;=B32, 0, IF(S32&gt;1, IF(ASS!#REF!=1,$U$14/(($U$15*2)-$U$17), -PMT($U$16/2,($U$15*2-B31),S32,0)-T32), 0))</f>
        <v>#REF!</v>
      </c>
      <c r="V32" s="131" t="e">
        <f t="shared" si="10"/>
        <v>#REF!</v>
      </c>
      <c r="W32" s="129" t="e">
        <f t="shared" si="11"/>
        <v>#REF!</v>
      </c>
      <c r="X32" s="130" t="e">
        <f t="shared" si="19"/>
        <v>#REF!</v>
      </c>
      <c r="Y32" s="130" t="e">
        <f>IF($Y$17&gt;=B32, 0, IF(W32&gt;1, IF(ASS!#REF!=1,$Y$14/(($Y$15*2)-$Y$17), -PMT($Y$16/2,($Y$15*2-B31),W32,0)-X32), 0))</f>
        <v>#REF!</v>
      </c>
      <c r="Z32" s="131" t="e">
        <f t="shared" si="12"/>
        <v>#REF!</v>
      </c>
      <c r="AA32" s="130" t="e">
        <f>SUM(D31:D32,H31:H32,L31:L32, P31:P32, T31:T32, X31:X32)</f>
        <v>#REF!</v>
      </c>
      <c r="AB32" s="131" t="e">
        <f>SUM(E31:E32, I31:I32, M31:M32, Q31:Q32, U31:U32, Y31:Y32)</f>
        <v>#REF!</v>
      </c>
    </row>
    <row r="33" spans="1:28" x14ac:dyDescent="0.2">
      <c r="A33" s="47">
        <f t="shared" si="21"/>
        <v>2007</v>
      </c>
      <c r="B33" s="48">
        <f t="shared" si="13"/>
        <v>12</v>
      </c>
      <c r="C33" s="126" t="e">
        <f t="shared" si="2"/>
        <v>#REF!</v>
      </c>
      <c r="D33" s="127" t="e">
        <f t="shared" si="15"/>
        <v>#REF!</v>
      </c>
      <c r="E33" s="127" t="e">
        <f>IF($E$17&gt;=B33, 0, IF(C33&gt;1, IF(ASS!#REF!=1,$E$14/(($E$15*2)-$E$17), -PMT($E$16/2,($E$15*2-B32),C33,0)-D33), 0))</f>
        <v>#REF!</v>
      </c>
      <c r="F33" s="128" t="e">
        <f t="shared" si="14"/>
        <v>#REF!</v>
      </c>
      <c r="G33" s="126" t="e">
        <f t="shared" si="3"/>
        <v>#REF!</v>
      </c>
      <c r="H33" s="127" t="e">
        <f t="shared" si="16"/>
        <v>#REF!</v>
      </c>
      <c r="I33" s="127" t="e">
        <f>IF($I$17&gt;=B33, 0, IF(G33&gt;1, IF(ASS!#REF!=1,$I$14/(($I$15*2)-$I$17), -PMT($I$16/2,($I$15*2-B32),G33,0)-H33), 0))</f>
        <v>#REF!</v>
      </c>
      <c r="J33" s="128" t="e">
        <f t="shared" si="4"/>
        <v>#REF!</v>
      </c>
      <c r="K33" s="126" t="e">
        <f t="shared" si="5"/>
        <v>#REF!</v>
      </c>
      <c r="L33" s="127" t="e">
        <f t="shared" si="20"/>
        <v>#REF!</v>
      </c>
      <c r="M33" s="127" t="e">
        <f>IF($M$17&gt;=B33, 0, IF(K33&gt;1, IF(ASS!#REF!=1,$M$14/(($M$15*2)-$M$17), -PMT($M$16/2,($M$15*2-B32),K33,0)-L33), 0))</f>
        <v>#REF!</v>
      </c>
      <c r="N33" s="128" t="e">
        <f t="shared" si="6"/>
        <v>#REF!</v>
      </c>
      <c r="O33" s="126" t="e">
        <f t="shared" si="7"/>
        <v>#REF!</v>
      </c>
      <c r="P33" s="127" t="e">
        <f t="shared" si="17"/>
        <v>#REF!</v>
      </c>
      <c r="Q33" s="127" t="e">
        <f>IF($Q$17&gt;=B33, 0, IF(O33&gt;1, IF(ASS!#REF!=1,$Q$14/(($Q$15*2)-$Q$17), -PMT($Q$16/2,($Q$15*2-B32),O33,0)-P33), 0))</f>
        <v>#REF!</v>
      </c>
      <c r="R33" s="128" t="e">
        <f t="shared" si="8"/>
        <v>#REF!</v>
      </c>
      <c r="S33" s="126" t="e">
        <f t="shared" si="9"/>
        <v>#REF!</v>
      </c>
      <c r="T33" s="127" t="e">
        <f t="shared" si="18"/>
        <v>#REF!</v>
      </c>
      <c r="U33" s="127" t="e">
        <f>IF($U$17&gt;=B33, 0, IF(S33&gt;1, IF(ASS!#REF!=1,$U$14/(($U$15*2)-$U$17), -PMT($U$16/2,($U$15*2-B32),S33,0)-T33), 0))</f>
        <v>#REF!</v>
      </c>
      <c r="V33" s="128" t="e">
        <f t="shared" si="10"/>
        <v>#REF!</v>
      </c>
      <c r="W33" s="126" t="e">
        <f t="shared" si="11"/>
        <v>#REF!</v>
      </c>
      <c r="X33" s="127" t="e">
        <f t="shared" si="19"/>
        <v>#REF!</v>
      </c>
      <c r="Y33" s="127" t="e">
        <f>IF($Y$17&gt;=B33, 0, IF(W33&gt;1, IF(ASS!#REF!=1,$Y$14/(($Y$15*2)-$Y$17), -PMT($Y$16/2,($Y$15*2-B32),W33,0)-X33), 0))</f>
        <v>#REF!</v>
      </c>
      <c r="Z33" s="128" t="e">
        <f t="shared" si="12"/>
        <v>#REF!</v>
      </c>
      <c r="AA33" s="127"/>
      <c r="AB33" s="128"/>
    </row>
    <row r="34" spans="1:28" x14ac:dyDescent="0.2">
      <c r="A34" s="58">
        <f>A33</f>
        <v>2007</v>
      </c>
      <c r="B34" s="59">
        <f t="shared" si="13"/>
        <v>13</v>
      </c>
      <c r="C34" s="129" t="e">
        <f t="shared" si="2"/>
        <v>#REF!</v>
      </c>
      <c r="D34" s="130" t="e">
        <f t="shared" si="15"/>
        <v>#REF!</v>
      </c>
      <c r="E34" s="130" t="e">
        <f>IF($E$17&gt;=B34, 0, IF(C34&gt;1, IF(ASS!#REF!=1,$E$14/(($E$15*2)-$E$17), -PMT($E$16/2,($E$15*2-B33),C34,0)-D34), 0))</f>
        <v>#REF!</v>
      </c>
      <c r="F34" s="131" t="e">
        <f t="shared" si="14"/>
        <v>#REF!</v>
      </c>
      <c r="G34" s="129" t="e">
        <f t="shared" si="3"/>
        <v>#REF!</v>
      </c>
      <c r="H34" s="130" t="e">
        <f t="shared" si="16"/>
        <v>#REF!</v>
      </c>
      <c r="I34" s="130" t="e">
        <f>IF($I$17&gt;=B34, 0, IF(G34&gt;1, IF(ASS!#REF!=1,$I$14/(($I$15*2)-$I$17), -PMT($I$16/2,($I$15*2-B33),G34,0)-H34), 0))</f>
        <v>#REF!</v>
      </c>
      <c r="J34" s="131" t="e">
        <f t="shared" si="4"/>
        <v>#REF!</v>
      </c>
      <c r="K34" s="129" t="e">
        <f t="shared" si="5"/>
        <v>#REF!</v>
      </c>
      <c r="L34" s="130" t="e">
        <f t="shared" si="20"/>
        <v>#REF!</v>
      </c>
      <c r="M34" s="130" t="e">
        <f>IF($M$17&gt;=B34, 0, IF(K34&gt;1, IF(ASS!#REF!=1,$M$14/(($M$15*2)-$M$17), -PMT($M$16/2,($M$15*2-B33),K34,0)-L34), 0))</f>
        <v>#REF!</v>
      </c>
      <c r="N34" s="131" t="e">
        <f t="shared" si="6"/>
        <v>#REF!</v>
      </c>
      <c r="O34" s="129" t="e">
        <f t="shared" si="7"/>
        <v>#REF!</v>
      </c>
      <c r="P34" s="130" t="e">
        <f t="shared" si="17"/>
        <v>#REF!</v>
      </c>
      <c r="Q34" s="130" t="e">
        <f>IF($Q$17&gt;=B34, 0, IF(O34&gt;1, IF(ASS!#REF!=1,$Q$14/(($Q$15*2)-$Q$17), -PMT($Q$16/2,($Q$15*2-B33),O34,0)-P34), 0))</f>
        <v>#REF!</v>
      </c>
      <c r="R34" s="131" t="e">
        <f t="shared" si="8"/>
        <v>#REF!</v>
      </c>
      <c r="S34" s="129" t="e">
        <f t="shared" si="9"/>
        <v>#REF!</v>
      </c>
      <c r="T34" s="130" t="e">
        <f t="shared" si="18"/>
        <v>#REF!</v>
      </c>
      <c r="U34" s="130" t="e">
        <f>IF($U$17&gt;=B34, 0, IF(S34&gt;1, IF(ASS!#REF!=1,$U$14/(($U$15*2)-$U$17), -PMT($U$16/2,($U$15*2-B33),S34,0)-T34), 0))</f>
        <v>#REF!</v>
      </c>
      <c r="V34" s="131" t="e">
        <f t="shared" si="10"/>
        <v>#REF!</v>
      </c>
      <c r="W34" s="129" t="e">
        <f t="shared" si="11"/>
        <v>#REF!</v>
      </c>
      <c r="X34" s="130" t="e">
        <f t="shared" si="19"/>
        <v>#REF!</v>
      </c>
      <c r="Y34" s="130" t="e">
        <f>IF($Y$17&gt;=B34, 0, IF(W34&gt;1, IF(ASS!#REF!=1,$Y$14/(($Y$15*2)-$Y$17), -PMT($Y$16/2,($Y$15*2-B33),W34,0)-X34), 0))</f>
        <v>#REF!</v>
      </c>
      <c r="Z34" s="131" t="e">
        <f t="shared" si="12"/>
        <v>#REF!</v>
      </c>
      <c r="AA34" s="130" t="e">
        <f>SUM(D33:D34,H33:H34,L33:L34, P33:P34, T33:T34, X33:X34)</f>
        <v>#REF!</v>
      </c>
      <c r="AB34" s="131" t="e">
        <f>SUM(E33:E34, I33:I34, M33:M34, Q33:Q34, U33:U34, Y33:Y34)</f>
        <v>#REF!</v>
      </c>
    </row>
    <row r="35" spans="1:28" x14ac:dyDescent="0.2">
      <c r="A35" s="47">
        <f t="shared" si="21"/>
        <v>2008</v>
      </c>
      <c r="B35" s="48">
        <f t="shared" si="13"/>
        <v>14</v>
      </c>
      <c r="C35" s="126" t="e">
        <f t="shared" si="2"/>
        <v>#REF!</v>
      </c>
      <c r="D35" s="127" t="e">
        <f t="shared" si="15"/>
        <v>#REF!</v>
      </c>
      <c r="E35" s="127" t="e">
        <f>IF($E$17&gt;=B35, 0, IF(C35&gt;1, IF(ASS!#REF!=1,$E$14/(($E$15*2)-$E$17), -PMT($E$16/2,($E$15*2-B34),C35,0)-D35), 0))</f>
        <v>#REF!</v>
      </c>
      <c r="F35" s="128" t="e">
        <f t="shared" si="14"/>
        <v>#REF!</v>
      </c>
      <c r="G35" s="126" t="e">
        <f t="shared" si="3"/>
        <v>#REF!</v>
      </c>
      <c r="H35" s="127" t="e">
        <f t="shared" si="16"/>
        <v>#REF!</v>
      </c>
      <c r="I35" s="127" t="e">
        <f>IF($I$17&gt;=B35, 0, IF(G35&gt;1, IF(ASS!#REF!=1,$I$14/(($I$15*2)-$I$17), -PMT($I$16/2,($I$15*2-B34),G35,0)-H35), 0))</f>
        <v>#REF!</v>
      </c>
      <c r="J35" s="128" t="e">
        <f t="shared" si="4"/>
        <v>#REF!</v>
      </c>
      <c r="K35" s="126" t="e">
        <f t="shared" si="5"/>
        <v>#REF!</v>
      </c>
      <c r="L35" s="127" t="e">
        <f t="shared" si="20"/>
        <v>#REF!</v>
      </c>
      <c r="M35" s="127" t="e">
        <f>IF($M$17&gt;=B35, 0, IF(K35&gt;1, IF(ASS!#REF!=1,$M$14/(($M$15*2)-$M$17), -PMT($M$16/2,($M$15*2-B34),K35,0)-L35), 0))</f>
        <v>#REF!</v>
      </c>
      <c r="N35" s="128" t="e">
        <f t="shared" si="6"/>
        <v>#REF!</v>
      </c>
      <c r="O35" s="126" t="e">
        <f t="shared" si="7"/>
        <v>#REF!</v>
      </c>
      <c r="P35" s="127" t="e">
        <f t="shared" si="17"/>
        <v>#REF!</v>
      </c>
      <c r="Q35" s="127" t="e">
        <f>IF($Q$17&gt;=B35, 0, IF(O35&gt;1, IF(ASS!#REF!=1,$Q$14/(($Q$15*2)-$Q$17), -PMT($Q$16/2,($Q$15*2-B34),O35,0)-P35), 0))</f>
        <v>#REF!</v>
      </c>
      <c r="R35" s="128" t="e">
        <f t="shared" si="8"/>
        <v>#REF!</v>
      </c>
      <c r="S35" s="126" t="e">
        <f t="shared" si="9"/>
        <v>#REF!</v>
      </c>
      <c r="T35" s="127" t="e">
        <f t="shared" si="18"/>
        <v>#REF!</v>
      </c>
      <c r="U35" s="127" t="e">
        <f>IF($U$17&gt;=B35, 0, IF(S35&gt;1, IF(ASS!#REF!=1,$U$14/(($U$15*2)-$U$17), -PMT($U$16/2,($U$15*2-B34),S35,0)-T35), 0))</f>
        <v>#REF!</v>
      </c>
      <c r="V35" s="128" t="e">
        <f t="shared" si="10"/>
        <v>#REF!</v>
      </c>
      <c r="W35" s="126" t="e">
        <f t="shared" si="11"/>
        <v>#REF!</v>
      </c>
      <c r="X35" s="127" t="e">
        <f t="shared" si="19"/>
        <v>#REF!</v>
      </c>
      <c r="Y35" s="127" t="e">
        <f>IF($Y$17&gt;=B35, 0, IF(W35&gt;1, IF(ASS!#REF!=1,$Y$14/(($Y$15*2)-$Y$17), -PMT($Y$16/2,($Y$15*2-B34),W35,0)-X35), 0))</f>
        <v>#REF!</v>
      </c>
      <c r="Z35" s="128" t="e">
        <f t="shared" si="12"/>
        <v>#REF!</v>
      </c>
      <c r="AA35" s="127"/>
      <c r="AB35" s="128"/>
    </row>
    <row r="36" spans="1:28" x14ac:dyDescent="0.2">
      <c r="A36" s="58">
        <f>A35</f>
        <v>2008</v>
      </c>
      <c r="B36" s="59">
        <f t="shared" si="13"/>
        <v>15</v>
      </c>
      <c r="C36" s="129" t="e">
        <f t="shared" si="2"/>
        <v>#REF!</v>
      </c>
      <c r="D36" s="130" t="e">
        <f t="shared" si="15"/>
        <v>#REF!</v>
      </c>
      <c r="E36" s="130" t="e">
        <f>IF($E$17&gt;=B36, 0, IF(C36&gt;1, IF(ASS!#REF!=1,$E$14/(($E$15*2)-$E$17), -PMT($E$16/2,($E$15*2-B35),C36,0)-D36), 0))</f>
        <v>#REF!</v>
      </c>
      <c r="F36" s="131" t="e">
        <f t="shared" si="14"/>
        <v>#REF!</v>
      </c>
      <c r="G36" s="129" t="e">
        <f t="shared" si="3"/>
        <v>#REF!</v>
      </c>
      <c r="H36" s="130" t="e">
        <f t="shared" si="16"/>
        <v>#REF!</v>
      </c>
      <c r="I36" s="130" t="e">
        <f>IF($I$17&gt;=B36, 0, IF(G36&gt;1, IF(ASS!#REF!=1,$I$14/(($I$15*2)-$I$17), -PMT($I$16/2,($I$15*2-B35),G36,0)-H36), 0))</f>
        <v>#REF!</v>
      </c>
      <c r="J36" s="131" t="e">
        <f t="shared" si="4"/>
        <v>#REF!</v>
      </c>
      <c r="K36" s="129" t="e">
        <f t="shared" si="5"/>
        <v>#REF!</v>
      </c>
      <c r="L36" s="130" t="e">
        <f t="shared" si="20"/>
        <v>#REF!</v>
      </c>
      <c r="M36" s="130" t="e">
        <f>IF($M$17&gt;=B36, 0, IF(K36&gt;1, IF(ASS!#REF!=1,$M$14/(($M$15*2)-$M$17), -PMT($M$16/2,($M$15*2-B35),K36,0)-L36), 0))</f>
        <v>#REF!</v>
      </c>
      <c r="N36" s="131" t="e">
        <f t="shared" si="6"/>
        <v>#REF!</v>
      </c>
      <c r="O36" s="129" t="e">
        <f t="shared" si="7"/>
        <v>#REF!</v>
      </c>
      <c r="P36" s="130" t="e">
        <f t="shared" si="17"/>
        <v>#REF!</v>
      </c>
      <c r="Q36" s="130" t="e">
        <f>IF($Q$17&gt;=B36, 0, IF(O36&gt;1, IF(ASS!#REF!=1,$Q$14/(($Q$15*2)-$Q$17), -PMT($Q$16/2,($Q$15*2-B35),O36,0)-P36), 0))</f>
        <v>#REF!</v>
      </c>
      <c r="R36" s="131" t="e">
        <f t="shared" si="8"/>
        <v>#REF!</v>
      </c>
      <c r="S36" s="129" t="e">
        <f t="shared" si="9"/>
        <v>#REF!</v>
      </c>
      <c r="T36" s="130" t="e">
        <f t="shared" si="18"/>
        <v>#REF!</v>
      </c>
      <c r="U36" s="130" t="e">
        <f>IF($U$17&gt;=B36, 0, IF(S36&gt;1, IF(ASS!#REF!=1,$U$14/(($U$15*2)-$U$17), -PMT($U$16/2,($U$15*2-B35),S36,0)-T36), 0))</f>
        <v>#REF!</v>
      </c>
      <c r="V36" s="131" t="e">
        <f t="shared" si="10"/>
        <v>#REF!</v>
      </c>
      <c r="W36" s="129" t="e">
        <f t="shared" si="11"/>
        <v>#REF!</v>
      </c>
      <c r="X36" s="130" t="e">
        <f t="shared" si="19"/>
        <v>#REF!</v>
      </c>
      <c r="Y36" s="130" t="e">
        <f>IF($Y$17&gt;=B36, 0, IF(W36&gt;1, IF(ASS!#REF!=1,$Y$14/(($Y$15*2)-$Y$17), -PMT($Y$16/2,($Y$15*2-B35),W36,0)-X36), 0))</f>
        <v>#REF!</v>
      </c>
      <c r="Z36" s="131" t="e">
        <f t="shared" si="12"/>
        <v>#REF!</v>
      </c>
      <c r="AA36" s="130" t="e">
        <f>SUM(D35:D36,H35:H36,L35:L36, P35:P36, T35:T36, X35:X36)</f>
        <v>#REF!</v>
      </c>
      <c r="AB36" s="131" t="e">
        <f>SUM(E35:E36, I35:I36, M35:M36, Q35:Q36, U35:U36, Y35:Y36)</f>
        <v>#REF!</v>
      </c>
    </row>
    <row r="37" spans="1:28" x14ac:dyDescent="0.2">
      <c r="A37" s="47">
        <f t="shared" si="21"/>
        <v>2009</v>
      </c>
      <c r="B37" s="48">
        <f t="shared" si="13"/>
        <v>16</v>
      </c>
      <c r="C37" s="126" t="e">
        <f t="shared" si="2"/>
        <v>#REF!</v>
      </c>
      <c r="D37" s="127" t="e">
        <f t="shared" si="15"/>
        <v>#REF!</v>
      </c>
      <c r="E37" s="127" t="e">
        <f>IF($E$17&gt;=B37, 0, IF(C37&gt;1, IF(ASS!#REF!=1,$E$14/(($E$15*2)-$E$17), -PMT($E$16/2,($E$15*2-B36),C37,0)-D37), 0))</f>
        <v>#REF!</v>
      </c>
      <c r="F37" s="128" t="e">
        <f t="shared" si="14"/>
        <v>#REF!</v>
      </c>
      <c r="G37" s="126" t="e">
        <f t="shared" si="3"/>
        <v>#REF!</v>
      </c>
      <c r="H37" s="127" t="e">
        <f t="shared" si="16"/>
        <v>#REF!</v>
      </c>
      <c r="I37" s="127" t="e">
        <f>IF($I$17&gt;=B37, 0, IF(G37&gt;1, IF(ASS!#REF!=1,$I$14/(($I$15*2)-$I$17), -PMT($I$16/2,($I$15*2-B36),G37,0)-H37), 0))</f>
        <v>#REF!</v>
      </c>
      <c r="J37" s="128" t="e">
        <f t="shared" si="4"/>
        <v>#REF!</v>
      </c>
      <c r="K37" s="126" t="e">
        <f t="shared" si="5"/>
        <v>#REF!</v>
      </c>
      <c r="L37" s="127" t="e">
        <f t="shared" si="20"/>
        <v>#REF!</v>
      </c>
      <c r="M37" s="127" t="e">
        <f>IF($M$17&gt;=B37, 0, IF(K37&gt;1, IF(ASS!#REF!=1,$M$14/(($M$15*2)-$M$17), -PMT($M$16/2,($M$15*2-B36),K37,0)-L37), 0))</f>
        <v>#REF!</v>
      </c>
      <c r="N37" s="128" t="e">
        <f t="shared" si="6"/>
        <v>#REF!</v>
      </c>
      <c r="O37" s="126" t="e">
        <f t="shared" si="7"/>
        <v>#REF!</v>
      </c>
      <c r="P37" s="127" t="e">
        <f t="shared" si="17"/>
        <v>#REF!</v>
      </c>
      <c r="Q37" s="127" t="e">
        <f>IF($Q$17&gt;=B37, 0, IF(O37&gt;1, IF(ASS!#REF!=1,$Q$14/(($Q$15*2)-$Q$17), -PMT($Q$16/2,($Q$15*2-B36),O37,0)-P37), 0))</f>
        <v>#REF!</v>
      </c>
      <c r="R37" s="128" t="e">
        <f t="shared" si="8"/>
        <v>#REF!</v>
      </c>
      <c r="S37" s="126" t="e">
        <f t="shared" si="9"/>
        <v>#REF!</v>
      </c>
      <c r="T37" s="127" t="e">
        <f t="shared" si="18"/>
        <v>#REF!</v>
      </c>
      <c r="U37" s="127" t="e">
        <f>IF($U$17&gt;=B37, 0, IF(S37&gt;1, IF(ASS!#REF!=1,$U$14/(($U$15*2)-$U$17), -PMT($U$16/2,($U$15*2-B36),S37,0)-T37), 0))</f>
        <v>#REF!</v>
      </c>
      <c r="V37" s="128" t="e">
        <f t="shared" si="10"/>
        <v>#REF!</v>
      </c>
      <c r="W37" s="126" t="e">
        <f t="shared" si="11"/>
        <v>#REF!</v>
      </c>
      <c r="X37" s="127" t="e">
        <f t="shared" si="19"/>
        <v>#REF!</v>
      </c>
      <c r="Y37" s="127" t="e">
        <f>IF($Y$17&gt;=B37, 0, IF(W37&gt;1, IF(ASS!#REF!=1,$Y$14/(($Y$15*2)-$Y$17), -PMT($Y$16/2,($Y$15*2-B36),W37,0)-X37), 0))</f>
        <v>#REF!</v>
      </c>
      <c r="Z37" s="128" t="e">
        <f t="shared" si="12"/>
        <v>#REF!</v>
      </c>
      <c r="AA37" s="127"/>
      <c r="AB37" s="128"/>
    </row>
    <row r="38" spans="1:28" x14ac:dyDescent="0.2">
      <c r="A38" s="58">
        <f>A37</f>
        <v>2009</v>
      </c>
      <c r="B38" s="59">
        <f t="shared" si="13"/>
        <v>17</v>
      </c>
      <c r="C38" s="129" t="e">
        <f t="shared" si="2"/>
        <v>#REF!</v>
      </c>
      <c r="D38" s="130" t="e">
        <f t="shared" si="15"/>
        <v>#REF!</v>
      </c>
      <c r="E38" s="130" t="e">
        <f>IF($E$17&gt;=B38, 0, IF(C38&gt;1, IF(ASS!#REF!=1,$E$14/(($E$15*2)-$E$17), -PMT($E$16/2,($E$15*2-B37),C38,0)-D38), 0))</f>
        <v>#REF!</v>
      </c>
      <c r="F38" s="131" t="e">
        <f t="shared" si="14"/>
        <v>#REF!</v>
      </c>
      <c r="G38" s="129" t="e">
        <f t="shared" si="3"/>
        <v>#REF!</v>
      </c>
      <c r="H38" s="130" t="e">
        <f t="shared" si="16"/>
        <v>#REF!</v>
      </c>
      <c r="I38" s="130" t="e">
        <f>IF($I$17&gt;=B38, 0, IF(G38&gt;1, IF(ASS!#REF!=1,$I$14/(($I$15*2)-$I$17), -PMT($I$16/2,($I$15*2-B37),G38,0)-H38), 0))</f>
        <v>#REF!</v>
      </c>
      <c r="J38" s="131" t="e">
        <f t="shared" ref="J38:J53" si="22">G38-I38</f>
        <v>#REF!</v>
      </c>
      <c r="K38" s="129" t="e">
        <f t="shared" si="5"/>
        <v>#REF!</v>
      </c>
      <c r="L38" s="130" t="e">
        <f t="shared" si="20"/>
        <v>#REF!</v>
      </c>
      <c r="M38" s="130" t="e">
        <f>IF($M$17&gt;=B38, 0, IF(K38&gt;1, IF(ASS!#REF!=1,$M$14/(($M$15*2)-$M$17), -PMT($M$16/2,($M$15*2-B37),K38,0)-L38), 0))</f>
        <v>#REF!</v>
      </c>
      <c r="N38" s="131" t="e">
        <f t="shared" ref="N38:N53" si="23">K38-M38</f>
        <v>#REF!</v>
      </c>
      <c r="O38" s="129" t="e">
        <f t="shared" si="7"/>
        <v>#REF!</v>
      </c>
      <c r="P38" s="130" t="e">
        <f t="shared" si="17"/>
        <v>#REF!</v>
      </c>
      <c r="Q38" s="130" t="e">
        <f>IF($Q$17&gt;=B38, 0, IF(O38&gt;1, IF(ASS!#REF!=1,$Q$14/(($Q$15*2)-$Q$17), -PMT($Q$16/2,($Q$15*2-B37),O38,0)-P38), 0))</f>
        <v>#REF!</v>
      </c>
      <c r="R38" s="131" t="e">
        <f t="shared" ref="R38:R53" si="24">O38-Q38</f>
        <v>#REF!</v>
      </c>
      <c r="S38" s="129" t="e">
        <f t="shared" si="9"/>
        <v>#REF!</v>
      </c>
      <c r="T38" s="130" t="e">
        <f t="shared" si="18"/>
        <v>#REF!</v>
      </c>
      <c r="U38" s="130" t="e">
        <f>IF($U$17&gt;=B38, 0, IF(S38&gt;1, IF(ASS!#REF!=1,$U$14/(($U$15*2)-$U$17), -PMT($U$16/2,($U$15*2-B37),S38,0)-T38), 0))</f>
        <v>#REF!</v>
      </c>
      <c r="V38" s="131" t="e">
        <f t="shared" ref="V38:V53" si="25">S38-U38</f>
        <v>#REF!</v>
      </c>
      <c r="W38" s="129" t="e">
        <f t="shared" si="11"/>
        <v>#REF!</v>
      </c>
      <c r="X38" s="130" t="e">
        <f t="shared" si="19"/>
        <v>#REF!</v>
      </c>
      <c r="Y38" s="130" t="e">
        <f>IF($Y$17&gt;=B38, 0, IF(W38&gt;1, IF(ASS!#REF!=1,$Y$14/(($Y$15*2)-$Y$17), -PMT($Y$16/2,($Y$15*2-B37),W38,0)-X38), 0))</f>
        <v>#REF!</v>
      </c>
      <c r="Z38" s="131" t="e">
        <f t="shared" ref="Z38:Z53" si="26">W38-Y38</f>
        <v>#REF!</v>
      </c>
      <c r="AA38" s="130" t="e">
        <f>SUM(D37:D38,H37:H38,L37:L38, P37:P38, T37:T38, X37:X38)</f>
        <v>#REF!</v>
      </c>
      <c r="AB38" s="131" t="e">
        <f>SUM(E37:E38, I37:I38, M37:M38, Q37:Q38, U37:U38, Y37:Y38)</f>
        <v>#REF!</v>
      </c>
    </row>
    <row r="39" spans="1:28" x14ac:dyDescent="0.2">
      <c r="A39" s="47">
        <f t="shared" si="21"/>
        <v>2010</v>
      </c>
      <c r="B39" s="48">
        <f t="shared" ref="B39:B54" si="27">B38+1</f>
        <v>18</v>
      </c>
      <c r="C39" s="126" t="e">
        <f t="shared" si="2"/>
        <v>#REF!</v>
      </c>
      <c r="D39" s="127" t="e">
        <f t="shared" si="15"/>
        <v>#REF!</v>
      </c>
      <c r="E39" s="127" t="e">
        <f>IF($E$17&gt;=B39, 0, IF(C39&gt;1, IF(ASS!#REF!=1,$E$14/(($E$15*2)-$E$17), -PMT($E$16/2,($E$15*2-B38),C39,0)-D39), 0))</f>
        <v>#REF!</v>
      </c>
      <c r="F39" s="128" t="e">
        <f t="shared" ref="F39:F54" si="28">C39-E39</f>
        <v>#REF!</v>
      </c>
      <c r="G39" s="126" t="e">
        <f t="shared" si="3"/>
        <v>#REF!</v>
      </c>
      <c r="H39" s="127" t="e">
        <f t="shared" si="16"/>
        <v>#REF!</v>
      </c>
      <c r="I39" s="127" t="e">
        <f>IF($I$17&gt;=B39, 0, IF(G39&gt;1, IF(ASS!#REF!=1,$I$14/(($I$15*2)-$I$17), -PMT($I$16/2,($I$15*2-B38),G39,0)-H39), 0))</f>
        <v>#REF!</v>
      </c>
      <c r="J39" s="128" t="e">
        <f t="shared" si="22"/>
        <v>#REF!</v>
      </c>
      <c r="K39" s="126" t="e">
        <f t="shared" si="5"/>
        <v>#REF!</v>
      </c>
      <c r="L39" s="127" t="e">
        <f t="shared" si="20"/>
        <v>#REF!</v>
      </c>
      <c r="M39" s="127" t="e">
        <f>IF($M$17&gt;=B39, 0, IF(K39&gt;1, IF(ASS!#REF!=1,$M$14/(($M$15*2)-$M$17), -PMT($M$16/2,($M$15*2-B38),K39,0)-L39), 0))</f>
        <v>#REF!</v>
      </c>
      <c r="N39" s="128" t="e">
        <f t="shared" si="23"/>
        <v>#REF!</v>
      </c>
      <c r="O39" s="126" t="e">
        <f t="shared" si="7"/>
        <v>#REF!</v>
      </c>
      <c r="P39" s="127" t="e">
        <f t="shared" si="17"/>
        <v>#REF!</v>
      </c>
      <c r="Q39" s="127" t="e">
        <f>IF($Q$17&gt;=B39, 0, IF(O39&gt;1, IF(ASS!#REF!=1,$Q$14/(($Q$15*2)-$Q$17), -PMT($Q$16/2,($Q$15*2-B38),O39,0)-P39), 0))</f>
        <v>#REF!</v>
      </c>
      <c r="R39" s="128" t="e">
        <f t="shared" si="24"/>
        <v>#REF!</v>
      </c>
      <c r="S39" s="126" t="e">
        <f t="shared" si="9"/>
        <v>#REF!</v>
      </c>
      <c r="T39" s="127" t="e">
        <f t="shared" si="18"/>
        <v>#REF!</v>
      </c>
      <c r="U39" s="127" t="e">
        <f>IF($U$17&gt;=B39, 0, IF(S39&gt;1, IF(ASS!#REF!=1,$U$14/(($U$15*2)-$U$17), -PMT($U$16/2,($U$15*2-B38),S39,0)-T39), 0))</f>
        <v>#REF!</v>
      </c>
      <c r="V39" s="128" t="e">
        <f t="shared" si="25"/>
        <v>#REF!</v>
      </c>
      <c r="W39" s="126" t="e">
        <f t="shared" si="11"/>
        <v>#REF!</v>
      </c>
      <c r="X39" s="127" t="e">
        <f t="shared" si="19"/>
        <v>#REF!</v>
      </c>
      <c r="Y39" s="127" t="e">
        <f>IF($Y$17&gt;=B39, 0, IF(W39&gt;1, IF(ASS!#REF!=1,$Y$14/(($Y$15*2)-$Y$17), -PMT($Y$16/2,($Y$15*2-B38),W39,0)-X39), 0))</f>
        <v>#REF!</v>
      </c>
      <c r="Z39" s="128" t="e">
        <f t="shared" si="26"/>
        <v>#REF!</v>
      </c>
      <c r="AA39" s="127"/>
      <c r="AB39" s="128"/>
    </row>
    <row r="40" spans="1:28" x14ac:dyDescent="0.2">
      <c r="A40" s="58">
        <f>A39</f>
        <v>2010</v>
      </c>
      <c r="B40" s="59">
        <f t="shared" si="27"/>
        <v>19</v>
      </c>
      <c r="C40" s="129" t="e">
        <f t="shared" si="2"/>
        <v>#REF!</v>
      </c>
      <c r="D40" s="130" t="e">
        <f t="shared" ref="D40:D55" si="29">C40*$E$16*0.5</f>
        <v>#REF!</v>
      </c>
      <c r="E40" s="130" t="e">
        <f>IF($E$17&gt;=B40, 0, IF(C40&gt;1, IF(ASS!#REF!=1,$E$14/(($E$15*2)-$E$17), -PMT($E$16/2,($E$15*2-B39),C40,0)-D40), 0))</f>
        <v>#REF!</v>
      </c>
      <c r="F40" s="131" t="e">
        <f t="shared" si="28"/>
        <v>#REF!</v>
      </c>
      <c r="G40" s="129" t="e">
        <f t="shared" si="3"/>
        <v>#REF!</v>
      </c>
      <c r="H40" s="130" t="e">
        <f t="shared" ref="H40:H55" si="30">G40*$I$16*0.5</f>
        <v>#REF!</v>
      </c>
      <c r="I40" s="130" t="e">
        <f>IF($I$17&gt;=B40, 0, IF(G40&gt;1, IF(ASS!#REF!=1,$I$14/(($I$15*2)-$I$17), -PMT($I$16/2,($I$15*2-B39),G40,0)-H40), 0))</f>
        <v>#REF!</v>
      </c>
      <c r="J40" s="131" t="e">
        <f t="shared" si="22"/>
        <v>#REF!</v>
      </c>
      <c r="K40" s="129" t="e">
        <f t="shared" si="5"/>
        <v>#REF!</v>
      </c>
      <c r="L40" s="130" t="e">
        <f t="shared" si="20"/>
        <v>#REF!</v>
      </c>
      <c r="M40" s="130" t="e">
        <f>IF($M$17&gt;=B40, 0, IF(K40&gt;1, IF(ASS!#REF!=1,$M$14/(($M$15*2)-$M$17), -PMT($M$16/2,($M$15*2-B39),K40,0)-L40), 0))</f>
        <v>#REF!</v>
      </c>
      <c r="N40" s="131" t="e">
        <f t="shared" si="23"/>
        <v>#REF!</v>
      </c>
      <c r="O40" s="129" t="e">
        <f t="shared" si="7"/>
        <v>#REF!</v>
      </c>
      <c r="P40" s="130" t="e">
        <f t="shared" ref="P40:P55" si="31">O40*$Q$16*0.5</f>
        <v>#REF!</v>
      </c>
      <c r="Q40" s="130" t="e">
        <f>IF($Q$17&gt;=B40, 0, IF(O40&gt;1, IF(ASS!#REF!=1,$Q$14/(($Q$15*2)-$Q$17), -PMT($Q$16/2,($Q$15*2-B39),O40,0)-P40), 0))</f>
        <v>#REF!</v>
      </c>
      <c r="R40" s="131" t="e">
        <f t="shared" si="24"/>
        <v>#REF!</v>
      </c>
      <c r="S40" s="129" t="e">
        <f t="shared" si="9"/>
        <v>#REF!</v>
      </c>
      <c r="T40" s="130" t="e">
        <f t="shared" ref="T40:T55" si="32">S40*$U$16*0.5</f>
        <v>#REF!</v>
      </c>
      <c r="U40" s="130" t="e">
        <f>IF($U$17&gt;=B40, 0, IF(S40&gt;1, IF(ASS!#REF!=1,$U$14/(($U$15*2)-$U$17), -PMT($U$16/2,($U$15*2-B39),S40,0)-T40), 0))</f>
        <v>#REF!</v>
      </c>
      <c r="V40" s="131" t="e">
        <f t="shared" si="25"/>
        <v>#REF!</v>
      </c>
      <c r="W40" s="129" t="e">
        <f t="shared" si="11"/>
        <v>#REF!</v>
      </c>
      <c r="X40" s="130" t="e">
        <f t="shared" ref="X40:X55" si="33">W40*$Y$16*0.5</f>
        <v>#REF!</v>
      </c>
      <c r="Y40" s="130" t="e">
        <f>IF($Y$17&gt;=B40, 0, IF(W40&gt;1, IF(ASS!#REF!=1,$Y$14/(($Y$15*2)-$Y$17), -PMT($Y$16/2,($Y$15*2-B39),W40,0)-X40), 0))</f>
        <v>#REF!</v>
      </c>
      <c r="Z40" s="131" t="e">
        <f t="shared" si="26"/>
        <v>#REF!</v>
      </c>
      <c r="AA40" s="130" t="e">
        <f>SUM(D39:D40,H39:H40,L39:L40, P39:P40, T39:T40, X39:X40)</f>
        <v>#REF!</v>
      </c>
      <c r="AB40" s="131" t="e">
        <f>SUM(E39:E40, I39:I40, M39:M40, Q39:Q40, U39:U40, Y39:Y40)</f>
        <v>#REF!</v>
      </c>
    </row>
    <row r="41" spans="1:28" x14ac:dyDescent="0.2">
      <c r="A41" s="47">
        <f t="shared" si="21"/>
        <v>2011</v>
      </c>
      <c r="B41" s="48">
        <f t="shared" si="27"/>
        <v>20</v>
      </c>
      <c r="C41" s="126" t="e">
        <f t="shared" si="2"/>
        <v>#REF!</v>
      </c>
      <c r="D41" s="127" t="e">
        <f t="shared" si="29"/>
        <v>#REF!</v>
      </c>
      <c r="E41" s="127" t="e">
        <f>IF($E$17&gt;=B41, 0, IF(C41&gt;1, IF(ASS!#REF!=1,$E$14/(($E$15*2)-$E$17), -PMT($E$16/2,($E$15*2-B40),C41,0)-D41), 0))</f>
        <v>#REF!</v>
      </c>
      <c r="F41" s="128" t="e">
        <f t="shared" si="28"/>
        <v>#REF!</v>
      </c>
      <c r="G41" s="126" t="e">
        <f t="shared" si="3"/>
        <v>#REF!</v>
      </c>
      <c r="H41" s="127" t="e">
        <f t="shared" si="30"/>
        <v>#REF!</v>
      </c>
      <c r="I41" s="127" t="e">
        <f>IF($I$17&gt;=B41, 0, IF(G41&gt;1, IF(ASS!#REF!=1,$I$14/(($I$15*2)-$I$17), -PMT($I$16/2,($I$15*2-B40),G41,0)-H41), 0))</f>
        <v>#REF!</v>
      </c>
      <c r="J41" s="128" t="e">
        <f t="shared" si="22"/>
        <v>#REF!</v>
      </c>
      <c r="K41" s="126" t="e">
        <f t="shared" si="5"/>
        <v>#REF!</v>
      </c>
      <c r="L41" s="127" t="e">
        <f t="shared" ref="L41:L56" si="34">K41*$M$16*0.5</f>
        <v>#REF!</v>
      </c>
      <c r="M41" s="127" t="e">
        <f>IF($M$17&gt;=B41, 0, IF(K41&gt;1, IF(ASS!#REF!=1,$M$14/(($M$15*2)-$M$17), -PMT($M$16/2,($M$15*2-B40),K41,0)-L41), 0))</f>
        <v>#REF!</v>
      </c>
      <c r="N41" s="128" t="e">
        <f t="shared" si="23"/>
        <v>#REF!</v>
      </c>
      <c r="O41" s="126" t="e">
        <f t="shared" si="7"/>
        <v>#REF!</v>
      </c>
      <c r="P41" s="127" t="e">
        <f t="shared" si="31"/>
        <v>#REF!</v>
      </c>
      <c r="Q41" s="127" t="e">
        <f>IF($Q$17&gt;=B41, 0, IF(O41&gt;1, IF(ASS!#REF!=1,$Q$14/(($Q$15*2)-$Q$17), -PMT($Q$16/2,($Q$15*2-B40),O41,0)-P41), 0))</f>
        <v>#REF!</v>
      </c>
      <c r="R41" s="128" t="e">
        <f t="shared" si="24"/>
        <v>#REF!</v>
      </c>
      <c r="S41" s="126" t="e">
        <f t="shared" si="9"/>
        <v>#REF!</v>
      </c>
      <c r="T41" s="127" t="e">
        <f t="shared" si="32"/>
        <v>#REF!</v>
      </c>
      <c r="U41" s="127" t="e">
        <f>IF($U$17&gt;=B41, 0, IF(S41&gt;1, IF(ASS!#REF!=1,$U$14/(($U$15*2)-$U$17), -PMT($U$16/2,($U$15*2-B40),S41,0)-T41), 0))</f>
        <v>#REF!</v>
      </c>
      <c r="V41" s="128" t="e">
        <f t="shared" si="25"/>
        <v>#REF!</v>
      </c>
      <c r="W41" s="126" t="e">
        <f t="shared" si="11"/>
        <v>#REF!</v>
      </c>
      <c r="X41" s="127" t="e">
        <f t="shared" si="33"/>
        <v>#REF!</v>
      </c>
      <c r="Y41" s="127" t="e">
        <f>IF($Y$17&gt;=B41, 0, IF(W41&gt;1, IF(ASS!#REF!=1,$Y$14/(($Y$15*2)-$Y$17), -PMT($Y$16/2,($Y$15*2-B40),W41,0)-X41), 0))</f>
        <v>#REF!</v>
      </c>
      <c r="Z41" s="128" t="e">
        <f t="shared" si="26"/>
        <v>#REF!</v>
      </c>
      <c r="AA41" s="127"/>
      <c r="AB41" s="128"/>
    </row>
    <row r="42" spans="1:28" x14ac:dyDescent="0.2">
      <c r="A42" s="58">
        <f>A41</f>
        <v>2011</v>
      </c>
      <c r="B42" s="59">
        <f t="shared" si="27"/>
        <v>21</v>
      </c>
      <c r="C42" s="129" t="e">
        <f t="shared" si="2"/>
        <v>#REF!</v>
      </c>
      <c r="D42" s="130" t="e">
        <f t="shared" si="29"/>
        <v>#REF!</v>
      </c>
      <c r="E42" s="130" t="e">
        <f>IF($E$17&gt;=B42, 0, IF(C42&gt;1, IF(ASS!#REF!=1,$E$14/(($E$15*2)-$E$17), -PMT($E$16/2,($E$15*2-B41),C42,0)-D42), 0))</f>
        <v>#REF!</v>
      </c>
      <c r="F42" s="131" t="e">
        <f t="shared" si="28"/>
        <v>#REF!</v>
      </c>
      <c r="G42" s="129" t="e">
        <f t="shared" si="3"/>
        <v>#REF!</v>
      </c>
      <c r="H42" s="130" t="e">
        <f t="shared" si="30"/>
        <v>#REF!</v>
      </c>
      <c r="I42" s="130" t="e">
        <f>IF($I$17&gt;=B42, 0, IF(G42&gt;1, IF(ASS!#REF!=1,$I$14/(($I$15*2)-$I$17), -PMT($I$16/2,($I$15*2-B41),G42,0)-H42), 0))</f>
        <v>#REF!</v>
      </c>
      <c r="J42" s="131" t="e">
        <f t="shared" si="22"/>
        <v>#REF!</v>
      </c>
      <c r="K42" s="129" t="e">
        <f t="shared" si="5"/>
        <v>#REF!</v>
      </c>
      <c r="L42" s="130" t="e">
        <f t="shared" si="34"/>
        <v>#REF!</v>
      </c>
      <c r="M42" s="130" t="e">
        <f>IF($M$17&gt;=B42, 0, IF(K42&gt;1, IF(ASS!#REF!=1,$M$14/(($M$15*2)-$M$17), -PMT($M$16/2,($M$15*2-B41),K42,0)-L42), 0))</f>
        <v>#REF!</v>
      </c>
      <c r="N42" s="131" t="e">
        <f t="shared" si="23"/>
        <v>#REF!</v>
      </c>
      <c r="O42" s="129" t="e">
        <f t="shared" si="7"/>
        <v>#REF!</v>
      </c>
      <c r="P42" s="130" t="e">
        <f t="shared" si="31"/>
        <v>#REF!</v>
      </c>
      <c r="Q42" s="130" t="e">
        <f>IF($Q$17&gt;=B42, 0, IF(O42&gt;1, IF(ASS!#REF!=1,$Q$14/(($Q$15*2)-$Q$17), -PMT($Q$16/2,($Q$15*2-B41),O42,0)-P42), 0))</f>
        <v>#REF!</v>
      </c>
      <c r="R42" s="131" t="e">
        <f t="shared" si="24"/>
        <v>#REF!</v>
      </c>
      <c r="S42" s="129" t="e">
        <f t="shared" si="9"/>
        <v>#REF!</v>
      </c>
      <c r="T42" s="130" t="e">
        <f t="shared" si="32"/>
        <v>#REF!</v>
      </c>
      <c r="U42" s="130" t="e">
        <f>IF($U$17&gt;=B42, 0, IF(S42&gt;1, IF(ASS!#REF!=1,$U$14/(($U$15*2)-$U$17), -PMT($U$16/2,($U$15*2-B41),S42,0)-T42), 0))</f>
        <v>#REF!</v>
      </c>
      <c r="V42" s="131" t="e">
        <f t="shared" si="25"/>
        <v>#REF!</v>
      </c>
      <c r="W42" s="129" t="e">
        <f t="shared" si="11"/>
        <v>#REF!</v>
      </c>
      <c r="X42" s="130" t="e">
        <f t="shared" si="33"/>
        <v>#REF!</v>
      </c>
      <c r="Y42" s="130" t="e">
        <f>IF($Y$17&gt;=B42, 0, IF(W42&gt;1, IF(ASS!#REF!=1,$Y$14/(($Y$15*2)-$Y$17), -PMT($Y$16/2,($Y$15*2-B41),W42,0)-X42), 0))</f>
        <v>#REF!</v>
      </c>
      <c r="Z42" s="131" t="e">
        <f t="shared" si="26"/>
        <v>#REF!</v>
      </c>
      <c r="AA42" s="130" t="e">
        <f>SUM(D41:D42,H41:H42,L41:L42, P41:P42, T41:T42, X41:X42)</f>
        <v>#REF!</v>
      </c>
      <c r="AB42" s="131" t="e">
        <f>SUM(E41:E42, I41:I42, M41:M42, Q41:Q42, U41:U42, Y41:Y42)</f>
        <v>#REF!</v>
      </c>
    </row>
    <row r="43" spans="1:28" x14ac:dyDescent="0.2">
      <c r="A43" s="47">
        <f t="shared" ref="A43:A57" si="35">A41+1</f>
        <v>2012</v>
      </c>
      <c r="B43" s="48">
        <f t="shared" si="27"/>
        <v>22</v>
      </c>
      <c r="C43" s="126" t="e">
        <f t="shared" si="2"/>
        <v>#REF!</v>
      </c>
      <c r="D43" s="127" t="e">
        <f t="shared" si="29"/>
        <v>#REF!</v>
      </c>
      <c r="E43" s="127" t="e">
        <f>IF($E$17&gt;=B43, 0, IF(C43&gt;1, IF(ASS!#REF!=1,$E$14/(($E$15*2)-$E$17), -PMT($E$16/2,($E$15*2-B42),C43,0)-D43), 0))</f>
        <v>#REF!</v>
      </c>
      <c r="F43" s="128" t="e">
        <f t="shared" si="28"/>
        <v>#REF!</v>
      </c>
      <c r="G43" s="126" t="e">
        <f t="shared" si="3"/>
        <v>#REF!</v>
      </c>
      <c r="H43" s="127" t="e">
        <f t="shared" si="30"/>
        <v>#REF!</v>
      </c>
      <c r="I43" s="127" t="e">
        <f>IF($I$17&gt;=B43, 0, IF(G43&gt;1, IF(ASS!#REF!=1,$I$14/(($I$15*2)-$I$17), -PMT($I$16/2,($I$15*2-B42),G43,0)-H43), 0))</f>
        <v>#REF!</v>
      </c>
      <c r="J43" s="128" t="e">
        <f t="shared" si="22"/>
        <v>#REF!</v>
      </c>
      <c r="K43" s="126" t="e">
        <f t="shared" si="5"/>
        <v>#REF!</v>
      </c>
      <c r="L43" s="127" t="e">
        <f t="shared" si="34"/>
        <v>#REF!</v>
      </c>
      <c r="M43" s="127" t="e">
        <f>IF($M$17&gt;=B43, 0, IF(K43&gt;1, IF(ASS!#REF!=1,$M$14/(($M$15*2)-$M$17), -PMT($M$16/2,($M$15*2-B42),K43,0)-L43), 0))</f>
        <v>#REF!</v>
      </c>
      <c r="N43" s="128" t="e">
        <f t="shared" si="23"/>
        <v>#REF!</v>
      </c>
      <c r="O43" s="126" t="e">
        <f t="shared" si="7"/>
        <v>#REF!</v>
      </c>
      <c r="P43" s="127" t="e">
        <f t="shared" si="31"/>
        <v>#REF!</v>
      </c>
      <c r="Q43" s="127" t="e">
        <f>IF($Q$17&gt;=B43, 0, IF(O43&gt;1, IF(ASS!#REF!=1,$Q$14/(($Q$15*2)-$Q$17), -PMT($Q$16/2,($Q$15*2-B42),O43,0)-P43), 0))</f>
        <v>#REF!</v>
      </c>
      <c r="R43" s="128" t="e">
        <f t="shared" si="24"/>
        <v>#REF!</v>
      </c>
      <c r="S43" s="126" t="e">
        <f t="shared" si="9"/>
        <v>#REF!</v>
      </c>
      <c r="T43" s="127" t="e">
        <f t="shared" si="32"/>
        <v>#REF!</v>
      </c>
      <c r="U43" s="127" t="e">
        <f>IF($U$17&gt;=B43, 0, IF(S43&gt;1, IF(ASS!#REF!=1,$U$14/(($U$15*2)-$U$17), -PMT($U$16/2,($U$15*2-B42),S43,0)-T43), 0))</f>
        <v>#REF!</v>
      </c>
      <c r="V43" s="128" t="e">
        <f t="shared" si="25"/>
        <v>#REF!</v>
      </c>
      <c r="W43" s="126" t="e">
        <f t="shared" si="11"/>
        <v>#REF!</v>
      </c>
      <c r="X43" s="127" t="e">
        <f t="shared" si="33"/>
        <v>#REF!</v>
      </c>
      <c r="Y43" s="127" t="e">
        <f>IF($Y$17&gt;=B43, 0, IF(W43&gt;1, IF(ASS!#REF!=1,$Y$14/(($Y$15*2)-$Y$17), -PMT($Y$16/2,($Y$15*2-B42),W43,0)-X43), 0))</f>
        <v>#REF!</v>
      </c>
      <c r="Z43" s="128" t="e">
        <f t="shared" si="26"/>
        <v>#REF!</v>
      </c>
      <c r="AA43" s="127"/>
      <c r="AB43" s="128"/>
    </row>
    <row r="44" spans="1:28" x14ac:dyDescent="0.2">
      <c r="A44" s="58">
        <f>A43</f>
        <v>2012</v>
      </c>
      <c r="B44" s="59">
        <f t="shared" si="27"/>
        <v>23</v>
      </c>
      <c r="C44" s="129" t="e">
        <f t="shared" si="2"/>
        <v>#REF!</v>
      </c>
      <c r="D44" s="130" t="e">
        <f t="shared" si="29"/>
        <v>#REF!</v>
      </c>
      <c r="E44" s="130" t="e">
        <f>IF($E$17&gt;=B44, 0, IF(C44&gt;1, IF(ASS!#REF!=1,$E$14/(($E$15*2)-$E$17), -PMT($E$16/2,($E$15*2-B43),C44,0)-D44), 0))</f>
        <v>#REF!</v>
      </c>
      <c r="F44" s="131" t="e">
        <f t="shared" si="28"/>
        <v>#REF!</v>
      </c>
      <c r="G44" s="129" t="e">
        <f t="shared" si="3"/>
        <v>#REF!</v>
      </c>
      <c r="H44" s="130" t="e">
        <f t="shared" si="30"/>
        <v>#REF!</v>
      </c>
      <c r="I44" s="130" t="e">
        <f>IF($I$17&gt;=B44, 0, IF(G44&gt;1, IF(ASS!#REF!=1,$I$14/(($I$15*2)-$I$17), -PMT($I$16/2,($I$15*2-B43),G44,0)-H44), 0))</f>
        <v>#REF!</v>
      </c>
      <c r="J44" s="131" t="e">
        <f t="shared" si="22"/>
        <v>#REF!</v>
      </c>
      <c r="K44" s="129" t="e">
        <f t="shared" si="5"/>
        <v>#REF!</v>
      </c>
      <c r="L44" s="130" t="e">
        <f t="shared" si="34"/>
        <v>#REF!</v>
      </c>
      <c r="M44" s="130" t="e">
        <f>IF($M$17&gt;=B44, 0, IF(K44&gt;1, IF(ASS!#REF!=1,$M$14/(($M$15*2)-$M$17), -PMT($M$16/2,($M$15*2-B43),K44,0)-L44), 0))</f>
        <v>#REF!</v>
      </c>
      <c r="N44" s="131" t="e">
        <f t="shared" si="23"/>
        <v>#REF!</v>
      </c>
      <c r="O44" s="129" t="e">
        <f t="shared" si="7"/>
        <v>#REF!</v>
      </c>
      <c r="P44" s="130" t="e">
        <f t="shared" si="31"/>
        <v>#REF!</v>
      </c>
      <c r="Q44" s="130" t="e">
        <f>IF($Q$17&gt;=B44, 0, IF(O44&gt;1, IF(ASS!#REF!=1,$Q$14/(($Q$15*2)-$Q$17), -PMT($Q$16/2,($Q$15*2-B43),O44,0)-P44), 0))</f>
        <v>#REF!</v>
      </c>
      <c r="R44" s="131" t="e">
        <f t="shared" si="24"/>
        <v>#REF!</v>
      </c>
      <c r="S44" s="129" t="e">
        <f t="shared" si="9"/>
        <v>#REF!</v>
      </c>
      <c r="T44" s="130" t="e">
        <f t="shared" si="32"/>
        <v>#REF!</v>
      </c>
      <c r="U44" s="130" t="e">
        <f>IF($U$17&gt;=B44, 0, IF(S44&gt;1, IF(ASS!#REF!=1,$U$14/(($U$15*2)-$U$17), -PMT($U$16/2,($U$15*2-B43),S44,0)-T44), 0))</f>
        <v>#REF!</v>
      </c>
      <c r="V44" s="131" t="e">
        <f t="shared" si="25"/>
        <v>#REF!</v>
      </c>
      <c r="W44" s="129" t="e">
        <f t="shared" si="11"/>
        <v>#REF!</v>
      </c>
      <c r="X44" s="130" t="e">
        <f t="shared" si="33"/>
        <v>#REF!</v>
      </c>
      <c r="Y44" s="130" t="e">
        <f>IF($Y$17&gt;=B44, 0, IF(W44&gt;1, IF(ASS!#REF!=1,$Y$14/(($Y$15*2)-$Y$17), -PMT($Y$16/2,($Y$15*2-B43),W44,0)-X44), 0))</f>
        <v>#REF!</v>
      </c>
      <c r="Z44" s="131" t="e">
        <f t="shared" si="26"/>
        <v>#REF!</v>
      </c>
      <c r="AA44" s="130" t="e">
        <f>SUM(D43:D44,H43:H44,L43:L44, P43:P44, T43:T44, X43:X44)</f>
        <v>#REF!</v>
      </c>
      <c r="AB44" s="131" t="e">
        <f>SUM(E43:E44, I43:I44, M43:M44, Q43:Q44, U43:U44, Y43:Y44)</f>
        <v>#REF!</v>
      </c>
    </row>
    <row r="45" spans="1:28" x14ac:dyDescent="0.2">
      <c r="A45" s="47">
        <f t="shared" si="35"/>
        <v>2013</v>
      </c>
      <c r="B45" s="48">
        <f t="shared" si="27"/>
        <v>24</v>
      </c>
      <c r="C45" s="126" t="e">
        <f t="shared" si="2"/>
        <v>#REF!</v>
      </c>
      <c r="D45" s="127" t="e">
        <f t="shared" si="29"/>
        <v>#REF!</v>
      </c>
      <c r="E45" s="127" t="e">
        <f>IF($E$17&gt;=B45, 0, IF(C45&gt;1, IF(ASS!#REF!=1,$E$14/(($E$15*2)-$E$17), -PMT($E$16/2,($E$15*2-B44),C45,0)-D45), 0))</f>
        <v>#REF!</v>
      </c>
      <c r="F45" s="128" t="e">
        <f t="shared" si="28"/>
        <v>#REF!</v>
      </c>
      <c r="G45" s="126" t="e">
        <f t="shared" si="3"/>
        <v>#REF!</v>
      </c>
      <c r="H45" s="127" t="e">
        <f t="shared" si="30"/>
        <v>#REF!</v>
      </c>
      <c r="I45" s="127" t="e">
        <f>IF($I$17&gt;=B45, 0, IF(G45&gt;1, IF(ASS!#REF!=1,$I$14/(($I$15*2)-$I$17), -PMT($I$16/2,($I$15*2-B44),G45,0)-H45), 0))</f>
        <v>#REF!</v>
      </c>
      <c r="J45" s="128" t="e">
        <f t="shared" si="22"/>
        <v>#REF!</v>
      </c>
      <c r="K45" s="126" t="e">
        <f t="shared" si="5"/>
        <v>#REF!</v>
      </c>
      <c r="L45" s="127" t="e">
        <f t="shared" si="34"/>
        <v>#REF!</v>
      </c>
      <c r="M45" s="127" t="e">
        <f>IF($M$17&gt;=B45, 0, IF(K45&gt;1, IF(ASS!#REF!=1,$M$14/(($M$15*2)-$M$17), -PMT($M$16/2,($M$15*2-B44),K45,0)-L45), 0))</f>
        <v>#REF!</v>
      </c>
      <c r="N45" s="128" t="e">
        <f t="shared" si="23"/>
        <v>#REF!</v>
      </c>
      <c r="O45" s="126" t="e">
        <f t="shared" si="7"/>
        <v>#REF!</v>
      </c>
      <c r="P45" s="127" t="e">
        <f t="shared" si="31"/>
        <v>#REF!</v>
      </c>
      <c r="Q45" s="127" t="e">
        <f>IF($Q$17&gt;=B45, 0, IF(O45&gt;1, IF(ASS!#REF!=1,$Q$14/(($Q$15*2)-$Q$17), -PMT($Q$16/2,($Q$15*2-B44),O45,0)-P45), 0))</f>
        <v>#REF!</v>
      </c>
      <c r="R45" s="128" t="e">
        <f t="shared" si="24"/>
        <v>#REF!</v>
      </c>
      <c r="S45" s="126" t="e">
        <f t="shared" si="9"/>
        <v>#REF!</v>
      </c>
      <c r="T45" s="127" t="e">
        <f t="shared" si="32"/>
        <v>#REF!</v>
      </c>
      <c r="U45" s="127" t="e">
        <f>IF($U$17&gt;=B45, 0, IF(S45&gt;1, IF(ASS!#REF!=1,$U$14/(($U$15*2)-$U$17), -PMT($U$16/2,($U$15*2-B44),S45,0)-T45), 0))</f>
        <v>#REF!</v>
      </c>
      <c r="V45" s="128" t="e">
        <f t="shared" si="25"/>
        <v>#REF!</v>
      </c>
      <c r="W45" s="126" t="e">
        <f t="shared" si="11"/>
        <v>#REF!</v>
      </c>
      <c r="X45" s="127" t="e">
        <f t="shared" si="33"/>
        <v>#REF!</v>
      </c>
      <c r="Y45" s="127" t="e">
        <f>IF($Y$17&gt;=B45, 0, IF(W45&gt;1, IF(ASS!#REF!=1,$Y$14/(($Y$15*2)-$Y$17), -PMT($Y$16/2,($Y$15*2-B44),W45,0)-X45), 0))</f>
        <v>#REF!</v>
      </c>
      <c r="Z45" s="128" t="e">
        <f t="shared" si="26"/>
        <v>#REF!</v>
      </c>
      <c r="AA45" s="127"/>
      <c r="AB45" s="128"/>
    </row>
    <row r="46" spans="1:28" x14ac:dyDescent="0.2">
      <c r="A46" s="58">
        <f>A45</f>
        <v>2013</v>
      </c>
      <c r="B46" s="59">
        <f t="shared" si="27"/>
        <v>25</v>
      </c>
      <c r="C46" s="129" t="e">
        <f t="shared" si="2"/>
        <v>#REF!</v>
      </c>
      <c r="D46" s="130" t="e">
        <f t="shared" si="29"/>
        <v>#REF!</v>
      </c>
      <c r="E46" s="130" t="e">
        <f>IF($E$17&gt;=B46, 0, IF(C46&gt;1, IF(ASS!#REF!=1,$E$14/(($E$15*2)-$E$17), -PMT($E$16/2,($E$15*2-B45),C46,0)-D46), 0))</f>
        <v>#REF!</v>
      </c>
      <c r="F46" s="131" t="e">
        <f t="shared" si="28"/>
        <v>#REF!</v>
      </c>
      <c r="G46" s="129" t="e">
        <f t="shared" si="3"/>
        <v>#REF!</v>
      </c>
      <c r="H46" s="130" t="e">
        <f t="shared" si="30"/>
        <v>#REF!</v>
      </c>
      <c r="I46" s="130" t="e">
        <f>IF($I$17&gt;=B46, 0, IF(G46&gt;1, IF(ASS!#REF!=1,$I$14/(($I$15*2)-$I$17), -PMT($I$16/2,($I$15*2-B45),G46,0)-H46), 0))</f>
        <v>#REF!</v>
      </c>
      <c r="J46" s="131" t="e">
        <f t="shared" si="22"/>
        <v>#REF!</v>
      </c>
      <c r="K46" s="129" t="e">
        <f t="shared" si="5"/>
        <v>#REF!</v>
      </c>
      <c r="L46" s="130" t="e">
        <f t="shared" si="34"/>
        <v>#REF!</v>
      </c>
      <c r="M46" s="130" t="e">
        <f>IF($M$17&gt;=B46, 0, IF(K46&gt;1, IF(ASS!#REF!=1,$M$14/(($M$15*2)-$M$17), -PMT($M$16/2,($M$15*2-B45),K46,0)-L46), 0))</f>
        <v>#REF!</v>
      </c>
      <c r="N46" s="131" t="e">
        <f t="shared" si="23"/>
        <v>#REF!</v>
      </c>
      <c r="O46" s="129" t="e">
        <f t="shared" si="7"/>
        <v>#REF!</v>
      </c>
      <c r="P46" s="130" t="e">
        <f t="shared" si="31"/>
        <v>#REF!</v>
      </c>
      <c r="Q46" s="130" t="e">
        <f>IF($Q$17&gt;=B46, 0, IF(O46&gt;1, IF(ASS!#REF!=1,$Q$14/(($Q$15*2)-$Q$17), -PMT($Q$16/2,($Q$15*2-B45),O46,0)-P46), 0))</f>
        <v>#REF!</v>
      </c>
      <c r="R46" s="131" t="e">
        <f t="shared" si="24"/>
        <v>#REF!</v>
      </c>
      <c r="S46" s="129" t="e">
        <f t="shared" si="9"/>
        <v>#REF!</v>
      </c>
      <c r="T46" s="130" t="e">
        <f t="shared" si="32"/>
        <v>#REF!</v>
      </c>
      <c r="U46" s="130" t="e">
        <f>IF($U$17&gt;=B46, 0, IF(S46&gt;1, IF(ASS!#REF!=1,$U$14/(($U$15*2)-$U$17), -PMT($U$16/2,($U$15*2-B45),S46,0)-T46), 0))</f>
        <v>#REF!</v>
      </c>
      <c r="V46" s="131" t="e">
        <f t="shared" si="25"/>
        <v>#REF!</v>
      </c>
      <c r="W46" s="129" t="e">
        <f t="shared" si="11"/>
        <v>#REF!</v>
      </c>
      <c r="X46" s="130" t="e">
        <f t="shared" si="33"/>
        <v>#REF!</v>
      </c>
      <c r="Y46" s="130" t="e">
        <f>IF($Y$17&gt;=B46, 0, IF(W46&gt;1, IF(ASS!#REF!=1,$Y$14/(($Y$15*2)-$Y$17), -PMT($Y$16/2,($Y$15*2-B45),W46,0)-X46), 0))</f>
        <v>#REF!</v>
      </c>
      <c r="Z46" s="131" t="e">
        <f t="shared" si="26"/>
        <v>#REF!</v>
      </c>
      <c r="AA46" s="130" t="e">
        <f>SUM(D45:D46,H45:H46,L45:L46, P45:P46, T45:T46, X45:X46)</f>
        <v>#REF!</v>
      </c>
      <c r="AB46" s="131" t="e">
        <f>SUM(E45:E46, I45:I46, M45:M46, Q45:Q46, U45:U46, Y45:Y46)</f>
        <v>#REF!</v>
      </c>
    </row>
    <row r="47" spans="1:28" x14ac:dyDescent="0.2">
      <c r="A47" s="47">
        <f t="shared" si="35"/>
        <v>2014</v>
      </c>
      <c r="B47" s="48">
        <f t="shared" si="27"/>
        <v>26</v>
      </c>
      <c r="C47" s="126" t="e">
        <f t="shared" si="2"/>
        <v>#REF!</v>
      </c>
      <c r="D47" s="127" t="e">
        <f t="shared" si="29"/>
        <v>#REF!</v>
      </c>
      <c r="E47" s="127" t="e">
        <f>IF($E$17&gt;=B47, 0, IF(C47&gt;1, IF(ASS!#REF!=1,$E$14/(($E$15*2)-$E$17), -PMT($E$16/2,($E$15*2-B46),C47,0)-D47), 0))</f>
        <v>#REF!</v>
      </c>
      <c r="F47" s="128" t="e">
        <f t="shared" si="28"/>
        <v>#REF!</v>
      </c>
      <c r="G47" s="126" t="e">
        <f t="shared" si="3"/>
        <v>#REF!</v>
      </c>
      <c r="H47" s="127" t="e">
        <f t="shared" si="30"/>
        <v>#REF!</v>
      </c>
      <c r="I47" s="127" t="e">
        <f>IF($I$17&gt;=B47, 0, IF(G47&gt;1, IF(ASS!#REF!=1,$I$14/(($I$15*2)-$I$17), -PMT($I$16/2,($I$15*2-B46),G47,0)-H47), 0))</f>
        <v>#REF!</v>
      </c>
      <c r="J47" s="128" t="e">
        <f t="shared" si="22"/>
        <v>#REF!</v>
      </c>
      <c r="K47" s="126" t="e">
        <f t="shared" si="5"/>
        <v>#REF!</v>
      </c>
      <c r="L47" s="127" t="e">
        <f t="shared" si="34"/>
        <v>#REF!</v>
      </c>
      <c r="M47" s="127" t="e">
        <f>IF($M$17&gt;=B47, 0, IF(K47&gt;1, IF(ASS!#REF!=1,$M$14/(($M$15*2)-$M$17), -PMT($M$16/2,($M$15*2-B46),K47,0)-L47), 0))</f>
        <v>#REF!</v>
      </c>
      <c r="N47" s="128" t="e">
        <f t="shared" si="23"/>
        <v>#REF!</v>
      </c>
      <c r="O47" s="126" t="e">
        <f t="shared" si="7"/>
        <v>#REF!</v>
      </c>
      <c r="P47" s="127" t="e">
        <f t="shared" si="31"/>
        <v>#REF!</v>
      </c>
      <c r="Q47" s="127" t="e">
        <f>IF($Q$17&gt;=B47, 0, IF(O47&gt;1, IF(ASS!#REF!=1,$Q$14/(($Q$15*2)-$Q$17), -PMT($Q$16/2,($Q$15*2-B46),O47,0)-P47), 0))</f>
        <v>#REF!</v>
      </c>
      <c r="R47" s="128" t="e">
        <f t="shared" si="24"/>
        <v>#REF!</v>
      </c>
      <c r="S47" s="126" t="e">
        <f t="shared" si="9"/>
        <v>#REF!</v>
      </c>
      <c r="T47" s="127" t="e">
        <f t="shared" si="32"/>
        <v>#REF!</v>
      </c>
      <c r="U47" s="127" t="e">
        <f>IF($U$17&gt;=B47, 0, IF(S47&gt;1, IF(ASS!#REF!=1,$U$14/(($U$15*2)-$U$17), -PMT($U$16/2,($U$15*2-B46),S47,0)-T47), 0))</f>
        <v>#REF!</v>
      </c>
      <c r="V47" s="128" t="e">
        <f t="shared" si="25"/>
        <v>#REF!</v>
      </c>
      <c r="W47" s="126" t="e">
        <f t="shared" si="11"/>
        <v>#REF!</v>
      </c>
      <c r="X47" s="127" t="e">
        <f t="shared" si="33"/>
        <v>#REF!</v>
      </c>
      <c r="Y47" s="127" t="e">
        <f>IF($Y$17&gt;=B47, 0, IF(W47&gt;1, IF(ASS!#REF!=1,$Y$14/(($Y$15*2)-$Y$17), -PMT($Y$16/2,($Y$15*2-B46),W47,0)-X47), 0))</f>
        <v>#REF!</v>
      </c>
      <c r="Z47" s="128" t="e">
        <f t="shared" si="26"/>
        <v>#REF!</v>
      </c>
      <c r="AA47" s="127"/>
      <c r="AB47" s="128"/>
    </row>
    <row r="48" spans="1:28" x14ac:dyDescent="0.2">
      <c r="A48" s="58">
        <f>A47</f>
        <v>2014</v>
      </c>
      <c r="B48" s="59">
        <f t="shared" si="27"/>
        <v>27</v>
      </c>
      <c r="C48" s="129" t="e">
        <f t="shared" si="2"/>
        <v>#REF!</v>
      </c>
      <c r="D48" s="130" t="e">
        <f t="shared" si="29"/>
        <v>#REF!</v>
      </c>
      <c r="E48" s="130" t="e">
        <f>IF($E$17&gt;=B48, 0, IF(C48&gt;1, IF(ASS!#REF!=1,$E$14/(($E$15*2)-$E$17), -PMT($E$16/2,($E$15*2-B47),C48,0)-D48), 0))</f>
        <v>#REF!</v>
      </c>
      <c r="F48" s="131" t="e">
        <f t="shared" si="28"/>
        <v>#REF!</v>
      </c>
      <c r="G48" s="129" t="e">
        <f t="shared" si="3"/>
        <v>#REF!</v>
      </c>
      <c r="H48" s="130" t="e">
        <f t="shared" si="30"/>
        <v>#REF!</v>
      </c>
      <c r="I48" s="130" t="e">
        <f>IF($I$17&gt;=B48, 0, IF(G48&gt;1, IF(ASS!#REF!=1,$I$14/(($I$15*2)-$I$17), -PMT($I$16/2,($I$15*2-B47),G48,0)-H48), 0))</f>
        <v>#REF!</v>
      </c>
      <c r="J48" s="131" t="e">
        <f t="shared" si="22"/>
        <v>#REF!</v>
      </c>
      <c r="K48" s="129" t="e">
        <f t="shared" si="5"/>
        <v>#REF!</v>
      </c>
      <c r="L48" s="130" t="e">
        <f t="shared" si="34"/>
        <v>#REF!</v>
      </c>
      <c r="M48" s="130" t="e">
        <f>IF($M$17&gt;=B48, 0, IF(K48&gt;1, IF(ASS!#REF!=1,$M$14/(($M$15*2)-$M$17), -PMT($M$16/2,($M$15*2-B47),K48,0)-L48), 0))</f>
        <v>#REF!</v>
      </c>
      <c r="N48" s="131" t="e">
        <f t="shared" si="23"/>
        <v>#REF!</v>
      </c>
      <c r="O48" s="129" t="e">
        <f t="shared" si="7"/>
        <v>#REF!</v>
      </c>
      <c r="P48" s="130" t="e">
        <f t="shared" si="31"/>
        <v>#REF!</v>
      </c>
      <c r="Q48" s="130" t="e">
        <f>IF($Q$17&gt;=B48, 0, IF(O48&gt;1, IF(ASS!#REF!=1,$Q$14/(($Q$15*2)-$Q$17), -PMT($Q$16/2,($Q$15*2-B47),O48,0)-P48), 0))</f>
        <v>#REF!</v>
      </c>
      <c r="R48" s="131" t="e">
        <f t="shared" si="24"/>
        <v>#REF!</v>
      </c>
      <c r="S48" s="129" t="e">
        <f t="shared" si="9"/>
        <v>#REF!</v>
      </c>
      <c r="T48" s="130" t="e">
        <f t="shared" si="32"/>
        <v>#REF!</v>
      </c>
      <c r="U48" s="130" t="e">
        <f>IF($U$17&gt;=B48, 0, IF(S48&gt;1, IF(ASS!#REF!=1,$U$14/(($U$15*2)-$U$17), -PMT($U$16/2,($U$15*2-B47),S48,0)-T48), 0))</f>
        <v>#REF!</v>
      </c>
      <c r="V48" s="131" t="e">
        <f t="shared" si="25"/>
        <v>#REF!</v>
      </c>
      <c r="W48" s="129" t="e">
        <f t="shared" si="11"/>
        <v>#REF!</v>
      </c>
      <c r="X48" s="130" t="e">
        <f t="shared" si="33"/>
        <v>#REF!</v>
      </c>
      <c r="Y48" s="130" t="e">
        <f>IF($Y$17&gt;=B48, 0, IF(W48&gt;1, IF(ASS!#REF!=1,$Y$14/(($Y$15*2)-$Y$17), -PMT($Y$16/2,($Y$15*2-B47),W48,0)-X48), 0))</f>
        <v>#REF!</v>
      </c>
      <c r="Z48" s="131" t="e">
        <f t="shared" si="26"/>
        <v>#REF!</v>
      </c>
      <c r="AA48" s="130" t="e">
        <f>SUM(D47:D48,H47:H48,L47:L48, P47:P48, T47:T48, X47:X48)</f>
        <v>#REF!</v>
      </c>
      <c r="AB48" s="131" t="e">
        <f>SUM(E47:E48, I47:I48, M47:M48, Q47:Q48, U47:U48, Y47:Y48)</f>
        <v>#REF!</v>
      </c>
    </row>
    <row r="49" spans="1:28" x14ac:dyDescent="0.2">
      <c r="A49" s="47">
        <f t="shared" si="35"/>
        <v>2015</v>
      </c>
      <c r="B49" s="48">
        <f t="shared" si="27"/>
        <v>28</v>
      </c>
      <c r="C49" s="126" t="e">
        <f t="shared" si="2"/>
        <v>#REF!</v>
      </c>
      <c r="D49" s="127" t="e">
        <f t="shared" si="29"/>
        <v>#REF!</v>
      </c>
      <c r="E49" s="127" t="e">
        <f>IF($E$17&gt;=B49, 0, IF(C49&gt;1, IF(ASS!#REF!=1,$E$14/(($E$15*2)-$E$17), -PMT($E$16/2,($E$15*2-B48),C49,0)-D49), 0))</f>
        <v>#REF!</v>
      </c>
      <c r="F49" s="128" t="e">
        <f t="shared" si="28"/>
        <v>#REF!</v>
      </c>
      <c r="G49" s="126" t="e">
        <f t="shared" si="3"/>
        <v>#REF!</v>
      </c>
      <c r="H49" s="127" t="e">
        <f t="shared" si="30"/>
        <v>#REF!</v>
      </c>
      <c r="I49" s="127" t="e">
        <f>IF($I$17&gt;=B49, 0, IF(G49&gt;1, IF(ASS!#REF!=1,$I$14/(($I$15*2)-$I$17), -PMT($I$16/2,($I$15*2-B48),G49,0)-H49), 0))</f>
        <v>#REF!</v>
      </c>
      <c r="J49" s="128" t="e">
        <f t="shared" si="22"/>
        <v>#REF!</v>
      </c>
      <c r="K49" s="126" t="e">
        <f t="shared" si="5"/>
        <v>#REF!</v>
      </c>
      <c r="L49" s="127" t="e">
        <f t="shared" si="34"/>
        <v>#REF!</v>
      </c>
      <c r="M49" s="127" t="e">
        <f>IF($M$17&gt;=B49, 0, IF(K49&gt;1, IF(ASS!#REF!=1,$M$14/(($M$15*2)-$M$17), -PMT($M$16/2,($M$15*2-B48),K49,0)-L49), 0))</f>
        <v>#REF!</v>
      </c>
      <c r="N49" s="128" t="e">
        <f t="shared" si="23"/>
        <v>#REF!</v>
      </c>
      <c r="O49" s="126" t="e">
        <f t="shared" si="7"/>
        <v>#REF!</v>
      </c>
      <c r="P49" s="127" t="e">
        <f t="shared" si="31"/>
        <v>#REF!</v>
      </c>
      <c r="Q49" s="127" t="e">
        <f>IF($Q$17&gt;=B49, 0, IF(O49&gt;1, IF(ASS!#REF!=1,$Q$14/(($Q$15*2)-$Q$17), -PMT($Q$16/2,($Q$15*2-B48),O49,0)-P49), 0))</f>
        <v>#REF!</v>
      </c>
      <c r="R49" s="128" t="e">
        <f t="shared" si="24"/>
        <v>#REF!</v>
      </c>
      <c r="S49" s="126" t="e">
        <f t="shared" si="9"/>
        <v>#REF!</v>
      </c>
      <c r="T49" s="127" t="e">
        <f t="shared" si="32"/>
        <v>#REF!</v>
      </c>
      <c r="U49" s="127" t="e">
        <f>IF($U$17&gt;=B49, 0, IF(S49&gt;1, IF(ASS!#REF!=1,$U$14/(($U$15*2)-$U$17), -PMT($U$16/2,($U$15*2-B48),S49,0)-T49), 0))</f>
        <v>#REF!</v>
      </c>
      <c r="V49" s="128" t="e">
        <f t="shared" si="25"/>
        <v>#REF!</v>
      </c>
      <c r="W49" s="126" t="e">
        <f t="shared" si="11"/>
        <v>#REF!</v>
      </c>
      <c r="X49" s="127" t="e">
        <f t="shared" si="33"/>
        <v>#REF!</v>
      </c>
      <c r="Y49" s="127" t="e">
        <f>IF($Y$17&gt;=B49, 0, IF(W49&gt;1, IF(ASS!#REF!=1,$Y$14/(($Y$15*2)-$Y$17), -PMT($Y$16/2,($Y$15*2-B48),W49,0)-X49), 0))</f>
        <v>#REF!</v>
      </c>
      <c r="Z49" s="128" t="e">
        <f t="shared" si="26"/>
        <v>#REF!</v>
      </c>
      <c r="AA49" s="127"/>
      <c r="AB49" s="128"/>
    </row>
    <row r="50" spans="1:28" x14ac:dyDescent="0.2">
      <c r="A50" s="58">
        <f>A49</f>
        <v>2015</v>
      </c>
      <c r="B50" s="59">
        <f t="shared" si="27"/>
        <v>29</v>
      </c>
      <c r="C50" s="129" t="e">
        <f t="shared" si="2"/>
        <v>#REF!</v>
      </c>
      <c r="D50" s="130" t="e">
        <f t="shared" si="29"/>
        <v>#REF!</v>
      </c>
      <c r="E50" s="130" t="e">
        <f>IF($E$17&gt;=B50, 0, IF(C50&gt;1, IF(ASS!#REF!=1,$E$14/(($E$15*2)-$E$17), -PMT($E$16/2,($E$15*2-B49),C50,0)-D50), 0))</f>
        <v>#REF!</v>
      </c>
      <c r="F50" s="131" t="e">
        <f t="shared" si="28"/>
        <v>#REF!</v>
      </c>
      <c r="G50" s="129" t="e">
        <f t="shared" si="3"/>
        <v>#REF!</v>
      </c>
      <c r="H50" s="130" t="e">
        <f t="shared" si="30"/>
        <v>#REF!</v>
      </c>
      <c r="I50" s="130" t="e">
        <f>IF($I$17&gt;=B50, 0, IF(G50&gt;1, IF(ASS!#REF!=1,$I$14/(($I$15*2)-$I$17), -PMT($I$16/2,($I$15*2-B49),G50,0)-H50), 0))</f>
        <v>#REF!</v>
      </c>
      <c r="J50" s="131" t="e">
        <f t="shared" si="22"/>
        <v>#REF!</v>
      </c>
      <c r="K50" s="129" t="e">
        <f t="shared" si="5"/>
        <v>#REF!</v>
      </c>
      <c r="L50" s="130" t="e">
        <f t="shared" si="34"/>
        <v>#REF!</v>
      </c>
      <c r="M50" s="130" t="e">
        <f>IF($M$17&gt;=B50, 0, IF(K50&gt;1, IF(ASS!#REF!=1,$M$14/(($M$15*2)-$M$17), -PMT($M$16/2,($M$15*2-B49),K50,0)-L50), 0))</f>
        <v>#REF!</v>
      </c>
      <c r="N50" s="131" t="e">
        <f t="shared" si="23"/>
        <v>#REF!</v>
      </c>
      <c r="O50" s="129" t="e">
        <f t="shared" si="7"/>
        <v>#REF!</v>
      </c>
      <c r="P50" s="130" t="e">
        <f t="shared" si="31"/>
        <v>#REF!</v>
      </c>
      <c r="Q50" s="130" t="e">
        <f>IF($Q$17&gt;=B50, 0, IF(O50&gt;1, IF(ASS!#REF!=1,$Q$14/(($Q$15*2)-$Q$17), -PMT($Q$16/2,($Q$15*2-B49),O50,0)-P50), 0))</f>
        <v>#REF!</v>
      </c>
      <c r="R50" s="131" t="e">
        <f t="shared" si="24"/>
        <v>#REF!</v>
      </c>
      <c r="S50" s="129" t="e">
        <f t="shared" si="9"/>
        <v>#REF!</v>
      </c>
      <c r="T50" s="130" t="e">
        <f t="shared" si="32"/>
        <v>#REF!</v>
      </c>
      <c r="U50" s="130" t="e">
        <f>IF($U$17&gt;=B50, 0, IF(S50&gt;1, IF(ASS!#REF!=1,$U$14/(($U$15*2)-$U$17), -PMT($U$16/2,($U$15*2-B49),S50,0)-T50), 0))</f>
        <v>#REF!</v>
      </c>
      <c r="V50" s="131" t="e">
        <f t="shared" si="25"/>
        <v>#REF!</v>
      </c>
      <c r="W50" s="129" t="e">
        <f t="shared" si="11"/>
        <v>#REF!</v>
      </c>
      <c r="X50" s="130" t="e">
        <f t="shared" si="33"/>
        <v>#REF!</v>
      </c>
      <c r="Y50" s="130" t="e">
        <f>IF($Y$17&gt;=B50, 0, IF(W50&gt;1, IF(ASS!#REF!=1,$Y$14/(($Y$15*2)-$Y$17), -PMT($Y$16/2,($Y$15*2-B49),W50,0)-X50), 0))</f>
        <v>#REF!</v>
      </c>
      <c r="Z50" s="131" t="e">
        <f t="shared" si="26"/>
        <v>#REF!</v>
      </c>
      <c r="AA50" s="130" t="e">
        <f>SUM(D49:D50,H49:H50,L49:L50, P49:P50, T49:T50, X49:X50)</f>
        <v>#REF!</v>
      </c>
      <c r="AB50" s="131" t="e">
        <f>SUM(E49:E50, I49:I50, M49:M50, Q49:Q50, U49:U50, Y49:Y50)</f>
        <v>#REF!</v>
      </c>
    </row>
    <row r="51" spans="1:28" x14ac:dyDescent="0.2">
      <c r="A51" s="47">
        <f t="shared" si="35"/>
        <v>2016</v>
      </c>
      <c r="B51" s="48">
        <f t="shared" si="27"/>
        <v>30</v>
      </c>
      <c r="C51" s="126" t="e">
        <f t="shared" si="2"/>
        <v>#REF!</v>
      </c>
      <c r="D51" s="127" t="e">
        <f t="shared" si="29"/>
        <v>#REF!</v>
      </c>
      <c r="E51" s="127" t="e">
        <f>IF($E$17&gt;=B51, 0, IF(C51&gt;1, IF(ASS!#REF!=1,$E$14/(($E$15*2)-$E$17), -PMT($E$16/2,($E$15*2-B50),C51,0)-D51), 0))</f>
        <v>#REF!</v>
      </c>
      <c r="F51" s="128" t="e">
        <f t="shared" si="28"/>
        <v>#REF!</v>
      </c>
      <c r="G51" s="126" t="e">
        <f t="shared" si="3"/>
        <v>#REF!</v>
      </c>
      <c r="H51" s="127" t="e">
        <f t="shared" si="30"/>
        <v>#REF!</v>
      </c>
      <c r="I51" s="127" t="e">
        <f>IF($I$17&gt;=B51, 0, IF(G51&gt;1, IF(ASS!#REF!=1,$I$14/(($I$15*2)-$I$17), -PMT($I$16/2,($I$15*2-B50),G51,0)-H51), 0))</f>
        <v>#REF!</v>
      </c>
      <c r="J51" s="128" t="e">
        <f t="shared" si="22"/>
        <v>#REF!</v>
      </c>
      <c r="K51" s="126" t="e">
        <f t="shared" si="5"/>
        <v>#REF!</v>
      </c>
      <c r="L51" s="127" t="e">
        <f t="shared" si="34"/>
        <v>#REF!</v>
      </c>
      <c r="M51" s="127" t="e">
        <f>IF($M$17&gt;=B51, 0, IF(K51&gt;1, IF(ASS!#REF!=1,$M$14/(($M$15*2)-$M$17), -PMT($M$16/2,($M$15*2-B50),K51,0)-L51), 0))</f>
        <v>#REF!</v>
      </c>
      <c r="N51" s="128" t="e">
        <f t="shared" si="23"/>
        <v>#REF!</v>
      </c>
      <c r="O51" s="126" t="e">
        <f t="shared" si="7"/>
        <v>#REF!</v>
      </c>
      <c r="P51" s="127" t="e">
        <f t="shared" si="31"/>
        <v>#REF!</v>
      </c>
      <c r="Q51" s="127" t="e">
        <f>IF($Q$17&gt;=B51, 0, IF(O51&gt;1, IF(ASS!#REF!=1,$Q$14/(($Q$15*2)-$Q$17), -PMT($Q$16/2,($Q$15*2-B50),O51,0)-P51), 0))</f>
        <v>#REF!</v>
      </c>
      <c r="R51" s="128" t="e">
        <f t="shared" si="24"/>
        <v>#REF!</v>
      </c>
      <c r="S51" s="126" t="e">
        <f t="shared" si="9"/>
        <v>#REF!</v>
      </c>
      <c r="T51" s="127" t="e">
        <f t="shared" si="32"/>
        <v>#REF!</v>
      </c>
      <c r="U51" s="127" t="e">
        <f>IF($U$17&gt;=B51, 0, IF(S51&gt;1, IF(ASS!#REF!=1,$U$14/(($U$15*2)-$U$17), -PMT($U$16/2,($U$15*2-B50),S51,0)-T51), 0))</f>
        <v>#REF!</v>
      </c>
      <c r="V51" s="128" t="e">
        <f t="shared" si="25"/>
        <v>#REF!</v>
      </c>
      <c r="W51" s="126" t="e">
        <f t="shared" si="11"/>
        <v>#REF!</v>
      </c>
      <c r="X51" s="127" t="e">
        <f t="shared" si="33"/>
        <v>#REF!</v>
      </c>
      <c r="Y51" s="127" t="e">
        <f>IF($Y$17&gt;=B51, 0, IF(W51&gt;1, IF(ASS!#REF!=1,$Y$14/(($Y$15*2)-$Y$17), -PMT($Y$16/2,($Y$15*2-B50),W51,0)-X51), 0))</f>
        <v>#REF!</v>
      </c>
      <c r="Z51" s="128" t="e">
        <f t="shared" si="26"/>
        <v>#REF!</v>
      </c>
      <c r="AA51" s="127"/>
      <c r="AB51" s="128"/>
    </row>
    <row r="52" spans="1:28" x14ac:dyDescent="0.2">
      <c r="A52" s="58">
        <f>A51</f>
        <v>2016</v>
      </c>
      <c r="B52" s="59">
        <f t="shared" si="27"/>
        <v>31</v>
      </c>
      <c r="C52" s="129" t="e">
        <f t="shared" si="2"/>
        <v>#REF!</v>
      </c>
      <c r="D52" s="130" t="e">
        <f t="shared" si="29"/>
        <v>#REF!</v>
      </c>
      <c r="E52" s="130" t="e">
        <f>IF($E$17&gt;=B52, 0, IF(C52&gt;1, IF(ASS!#REF!=1,$E$14/(($E$15*2)-$E$17), -PMT($E$16/2,($E$15*2-B51),C52,0)-D52), 0))</f>
        <v>#REF!</v>
      </c>
      <c r="F52" s="131" t="e">
        <f t="shared" si="28"/>
        <v>#REF!</v>
      </c>
      <c r="G52" s="129" t="e">
        <f t="shared" si="3"/>
        <v>#REF!</v>
      </c>
      <c r="H52" s="130" t="e">
        <f t="shared" si="30"/>
        <v>#REF!</v>
      </c>
      <c r="I52" s="130" t="e">
        <f>IF($I$17&gt;=B52, 0, IF(G52&gt;1, IF(ASS!#REF!=1,$I$14/(($I$15*2)-$I$17), -PMT($I$16/2,($I$15*2-B51),G52,0)-H52), 0))</f>
        <v>#REF!</v>
      </c>
      <c r="J52" s="131" t="e">
        <f t="shared" si="22"/>
        <v>#REF!</v>
      </c>
      <c r="K52" s="129" t="e">
        <f t="shared" si="5"/>
        <v>#REF!</v>
      </c>
      <c r="L52" s="130" t="e">
        <f t="shared" si="34"/>
        <v>#REF!</v>
      </c>
      <c r="M52" s="130" t="e">
        <f>IF($M$17&gt;=B52, 0, IF(K52&gt;1, IF(ASS!#REF!=1,$M$14/(($M$15*2)-$M$17), -PMT($M$16/2,($M$15*2-B51),K52,0)-L52), 0))</f>
        <v>#REF!</v>
      </c>
      <c r="N52" s="131" t="e">
        <f t="shared" si="23"/>
        <v>#REF!</v>
      </c>
      <c r="O52" s="129" t="e">
        <f t="shared" si="7"/>
        <v>#REF!</v>
      </c>
      <c r="P52" s="130" t="e">
        <f t="shared" si="31"/>
        <v>#REF!</v>
      </c>
      <c r="Q52" s="130" t="e">
        <f>IF($Q$17&gt;=B52, 0, IF(O52&gt;1, IF(ASS!#REF!=1,$Q$14/(($Q$15*2)-$Q$17), -PMT($Q$16/2,($Q$15*2-B51),O52,0)-P52), 0))</f>
        <v>#REF!</v>
      </c>
      <c r="R52" s="131" t="e">
        <f t="shared" si="24"/>
        <v>#REF!</v>
      </c>
      <c r="S52" s="129" t="e">
        <f t="shared" si="9"/>
        <v>#REF!</v>
      </c>
      <c r="T52" s="130" t="e">
        <f t="shared" si="32"/>
        <v>#REF!</v>
      </c>
      <c r="U52" s="130" t="e">
        <f>IF($U$17&gt;=B52, 0, IF(S52&gt;1, IF(ASS!#REF!=1,$U$14/(($U$15*2)-$U$17), -PMT($U$16/2,($U$15*2-B51),S52,0)-T52), 0))</f>
        <v>#REF!</v>
      </c>
      <c r="V52" s="131" t="e">
        <f t="shared" si="25"/>
        <v>#REF!</v>
      </c>
      <c r="W52" s="129" t="e">
        <f t="shared" si="11"/>
        <v>#REF!</v>
      </c>
      <c r="X52" s="130" t="e">
        <f t="shared" si="33"/>
        <v>#REF!</v>
      </c>
      <c r="Y52" s="130" t="e">
        <f>IF($Y$17&gt;=B52, 0, IF(W52&gt;1, IF(ASS!#REF!=1,$Y$14/(($Y$15*2)-$Y$17), -PMT($Y$16/2,($Y$15*2-B51),W52,0)-X52), 0))</f>
        <v>#REF!</v>
      </c>
      <c r="Z52" s="131" t="e">
        <f t="shared" si="26"/>
        <v>#REF!</v>
      </c>
      <c r="AA52" s="130" t="e">
        <f>SUM(D51:D52,H51:H52,L51:L52, P51:P52, T51:T52, X51:X52)</f>
        <v>#REF!</v>
      </c>
      <c r="AB52" s="131" t="e">
        <f>SUM(E51:E52, I51:I52, M51:M52, Q51:Q52, U51:U52, Y51:Y52)</f>
        <v>#REF!</v>
      </c>
    </row>
    <row r="53" spans="1:28" x14ac:dyDescent="0.2">
      <c r="A53" s="47">
        <f t="shared" si="35"/>
        <v>2017</v>
      </c>
      <c r="B53" s="48">
        <f t="shared" si="27"/>
        <v>32</v>
      </c>
      <c r="C53" s="126" t="e">
        <f t="shared" si="2"/>
        <v>#REF!</v>
      </c>
      <c r="D53" s="127" t="e">
        <f t="shared" si="29"/>
        <v>#REF!</v>
      </c>
      <c r="E53" s="127" t="e">
        <f>IF($E$17&gt;=B53, 0, IF(C53&gt;1, IF(ASS!#REF!=1,$E$14/(($E$15*2)-$E$17), -PMT($E$16/2,($E$15*2-B52),C53,0)-D53), 0))</f>
        <v>#REF!</v>
      </c>
      <c r="F53" s="128" t="e">
        <f t="shared" si="28"/>
        <v>#REF!</v>
      </c>
      <c r="G53" s="126" t="e">
        <f t="shared" si="3"/>
        <v>#REF!</v>
      </c>
      <c r="H53" s="127" t="e">
        <f t="shared" si="30"/>
        <v>#REF!</v>
      </c>
      <c r="I53" s="127" t="e">
        <f>IF($I$17&gt;=B53, 0, IF(G53&gt;1, IF(ASS!#REF!=1,$I$14/(($I$15*2)-$I$17), -PMT($I$16/2,($I$15*2-B52),G53,0)-H53), 0))</f>
        <v>#REF!</v>
      </c>
      <c r="J53" s="128" t="e">
        <f t="shared" si="22"/>
        <v>#REF!</v>
      </c>
      <c r="K53" s="126" t="e">
        <f t="shared" si="5"/>
        <v>#REF!</v>
      </c>
      <c r="L53" s="127" t="e">
        <f t="shared" si="34"/>
        <v>#REF!</v>
      </c>
      <c r="M53" s="127" t="e">
        <f>IF($M$17&gt;=B53, 0, IF(K53&gt;1, IF(ASS!#REF!=1,$M$14/(($M$15*2)-$M$17), -PMT($M$16/2,($M$15*2-B52),K53,0)-L53), 0))</f>
        <v>#REF!</v>
      </c>
      <c r="N53" s="128" t="e">
        <f t="shared" si="23"/>
        <v>#REF!</v>
      </c>
      <c r="O53" s="126" t="e">
        <f t="shared" si="7"/>
        <v>#REF!</v>
      </c>
      <c r="P53" s="127" t="e">
        <f t="shared" si="31"/>
        <v>#REF!</v>
      </c>
      <c r="Q53" s="127" t="e">
        <f>IF($Q$17&gt;=B53, 0, IF(O53&gt;1, IF(ASS!#REF!=1,$Q$14/(($Q$15*2)-$Q$17), -PMT($Q$16/2,($Q$15*2-B52),O53,0)-P53), 0))</f>
        <v>#REF!</v>
      </c>
      <c r="R53" s="128" t="e">
        <f t="shared" si="24"/>
        <v>#REF!</v>
      </c>
      <c r="S53" s="126" t="e">
        <f t="shared" si="9"/>
        <v>#REF!</v>
      </c>
      <c r="T53" s="127" t="e">
        <f t="shared" si="32"/>
        <v>#REF!</v>
      </c>
      <c r="U53" s="127" t="e">
        <f>IF($U$17&gt;=B53, 0, IF(S53&gt;1, IF(ASS!#REF!=1,$U$14/(($U$15*2)-$U$17), -PMT($U$16/2,($U$15*2-B52),S53,0)-T53), 0))</f>
        <v>#REF!</v>
      </c>
      <c r="V53" s="128" t="e">
        <f t="shared" si="25"/>
        <v>#REF!</v>
      </c>
      <c r="W53" s="126" t="e">
        <f t="shared" si="11"/>
        <v>#REF!</v>
      </c>
      <c r="X53" s="127" t="e">
        <f t="shared" si="33"/>
        <v>#REF!</v>
      </c>
      <c r="Y53" s="127" t="e">
        <f>IF($Y$17&gt;=B53, 0, IF(W53&gt;1, IF(ASS!#REF!=1,$Y$14/(($Y$15*2)-$Y$17), -PMT($Y$16/2,($Y$15*2-B52),W53,0)-X53), 0))</f>
        <v>#REF!</v>
      </c>
      <c r="Z53" s="128" t="e">
        <f t="shared" si="26"/>
        <v>#REF!</v>
      </c>
      <c r="AA53" s="127"/>
      <c r="AB53" s="128"/>
    </row>
    <row r="54" spans="1:28" x14ac:dyDescent="0.2">
      <c r="A54" s="58">
        <f>A53</f>
        <v>2017</v>
      </c>
      <c r="B54" s="59">
        <f t="shared" si="27"/>
        <v>33</v>
      </c>
      <c r="C54" s="129" t="e">
        <f t="shared" si="2"/>
        <v>#REF!</v>
      </c>
      <c r="D54" s="130" t="e">
        <f t="shared" si="29"/>
        <v>#REF!</v>
      </c>
      <c r="E54" s="130" t="e">
        <f>IF($E$17&gt;=B54, 0, IF(C54&gt;1, IF(ASS!#REF!=1,$E$14/(($E$15*2)-$E$17), -PMT($E$16/2,($E$15*2-B53),C54,0)-D54), 0))</f>
        <v>#REF!</v>
      </c>
      <c r="F54" s="131" t="e">
        <f t="shared" si="28"/>
        <v>#REF!</v>
      </c>
      <c r="G54" s="129" t="e">
        <f t="shared" si="3"/>
        <v>#REF!</v>
      </c>
      <c r="H54" s="130" t="e">
        <f t="shared" si="30"/>
        <v>#REF!</v>
      </c>
      <c r="I54" s="130" t="e">
        <f>IF($I$17&gt;=B54, 0, IF(G54&gt;1, IF(ASS!#REF!=1,$I$14/(($I$15*2)-$I$17), -PMT($I$16/2,($I$15*2-B53),G54,0)-H54), 0))</f>
        <v>#REF!</v>
      </c>
      <c r="J54" s="131" t="e">
        <f t="shared" ref="J54:J60" si="36">G54-I54</f>
        <v>#REF!</v>
      </c>
      <c r="K54" s="129" t="e">
        <f t="shared" si="5"/>
        <v>#REF!</v>
      </c>
      <c r="L54" s="130" t="e">
        <f t="shared" si="34"/>
        <v>#REF!</v>
      </c>
      <c r="M54" s="130" t="e">
        <f>IF($M$17&gt;=B54, 0, IF(K54&gt;1, IF(ASS!#REF!=1,$M$14/(($M$15*2)-$M$17), -PMT($M$16/2,($M$15*2-B53),K54,0)-L54), 0))</f>
        <v>#REF!</v>
      </c>
      <c r="N54" s="131" t="e">
        <f t="shared" ref="N54:N60" si="37">K54-M54</f>
        <v>#REF!</v>
      </c>
      <c r="O54" s="129" t="e">
        <f t="shared" si="7"/>
        <v>#REF!</v>
      </c>
      <c r="P54" s="130" t="e">
        <f t="shared" si="31"/>
        <v>#REF!</v>
      </c>
      <c r="Q54" s="130" t="e">
        <f>IF($Q$17&gt;=B54, 0, IF(O54&gt;1, IF(ASS!#REF!=1,$Q$14/(($Q$15*2)-$Q$17), -PMT($Q$16/2,($Q$15*2-B53),O54,0)-P54), 0))</f>
        <v>#REF!</v>
      </c>
      <c r="R54" s="131" t="e">
        <f t="shared" ref="R54:R60" si="38">O54-Q54</f>
        <v>#REF!</v>
      </c>
      <c r="S54" s="129" t="e">
        <f t="shared" si="9"/>
        <v>#REF!</v>
      </c>
      <c r="T54" s="130" t="e">
        <f t="shared" si="32"/>
        <v>#REF!</v>
      </c>
      <c r="U54" s="130" t="e">
        <f>IF($U$17&gt;=B54, 0, IF(S54&gt;1, IF(ASS!#REF!=1,$U$14/(($U$15*2)-$U$17), -PMT($U$16/2,($U$15*2-B53),S54,0)-T54), 0))</f>
        <v>#REF!</v>
      </c>
      <c r="V54" s="131" t="e">
        <f t="shared" ref="V54:V60" si="39">S54-U54</f>
        <v>#REF!</v>
      </c>
      <c r="W54" s="129" t="e">
        <f t="shared" si="11"/>
        <v>#REF!</v>
      </c>
      <c r="X54" s="130" t="e">
        <f t="shared" si="33"/>
        <v>#REF!</v>
      </c>
      <c r="Y54" s="130" t="e">
        <f>IF($Y$17&gt;=B54, 0, IF(W54&gt;1, IF(ASS!#REF!=1,$Y$14/(($Y$15*2)-$Y$17), -PMT($Y$16/2,($Y$15*2-B53),W54,0)-X54), 0))</f>
        <v>#REF!</v>
      </c>
      <c r="Z54" s="131" t="e">
        <f t="shared" ref="Z54:Z60" si="40">W54-Y54</f>
        <v>#REF!</v>
      </c>
      <c r="AA54" s="130" t="e">
        <f>SUM(D53:D54,H53:H54,L53:L54, P53:P54, T53:T54, X53:X54)</f>
        <v>#REF!</v>
      </c>
      <c r="AB54" s="131" t="e">
        <f>SUM(E53:E54, I53:I54, M53:M54, Q53:Q54, U53:U54, Y53:Y54)</f>
        <v>#REF!</v>
      </c>
    </row>
    <row r="55" spans="1:28" x14ac:dyDescent="0.2">
      <c r="A55" s="47">
        <f t="shared" si="35"/>
        <v>2018</v>
      </c>
      <c r="B55" s="48">
        <f t="shared" ref="B55:B60" si="41">B54+1</f>
        <v>34</v>
      </c>
      <c r="C55" s="126" t="e">
        <f t="shared" si="2"/>
        <v>#REF!</v>
      </c>
      <c r="D55" s="127" t="e">
        <f t="shared" si="29"/>
        <v>#REF!</v>
      </c>
      <c r="E55" s="127" t="e">
        <f>IF($E$17&gt;=B55, 0, IF(C55&gt;1, IF(ASS!#REF!=1,$E$14/(($E$15*2)-$E$17), -PMT($E$16/2,($E$15*2-B54),C55,0)-D55), 0))</f>
        <v>#REF!</v>
      </c>
      <c r="F55" s="128" t="e">
        <f t="shared" ref="F55:F60" si="42">C55-E55</f>
        <v>#REF!</v>
      </c>
      <c r="G55" s="126" t="e">
        <f t="shared" si="3"/>
        <v>#REF!</v>
      </c>
      <c r="H55" s="127" t="e">
        <f t="shared" si="30"/>
        <v>#REF!</v>
      </c>
      <c r="I55" s="127" t="e">
        <f>IF($I$17&gt;=B55, 0, IF(G55&gt;1, IF(ASS!#REF!=1,$I$14/(($I$15*2)-$I$17), -PMT($I$16/2,($I$15*2-B54),G55,0)-H55), 0))</f>
        <v>#REF!</v>
      </c>
      <c r="J55" s="128" t="e">
        <f t="shared" si="36"/>
        <v>#REF!</v>
      </c>
      <c r="K55" s="126" t="e">
        <f t="shared" si="5"/>
        <v>#REF!</v>
      </c>
      <c r="L55" s="127" t="e">
        <f t="shared" si="34"/>
        <v>#REF!</v>
      </c>
      <c r="M55" s="127" t="e">
        <f>IF($M$17&gt;=B55, 0, IF(K55&gt;1, IF(ASS!#REF!=1,$M$14/(($M$15*2)-$M$17), -PMT($M$16/2,($M$15*2-B54),K55,0)-L55), 0))</f>
        <v>#REF!</v>
      </c>
      <c r="N55" s="128" t="e">
        <f t="shared" si="37"/>
        <v>#REF!</v>
      </c>
      <c r="O55" s="126" t="e">
        <f t="shared" si="7"/>
        <v>#REF!</v>
      </c>
      <c r="P55" s="127" t="e">
        <f t="shared" si="31"/>
        <v>#REF!</v>
      </c>
      <c r="Q55" s="127" t="e">
        <f>IF($Q$17&gt;=B55, 0, IF(O55&gt;1, IF(ASS!#REF!=1,$Q$14/(($Q$15*2)-$Q$17), -PMT($Q$16/2,($Q$15*2-B54),O55,0)-P55), 0))</f>
        <v>#REF!</v>
      </c>
      <c r="R55" s="128" t="e">
        <f t="shared" si="38"/>
        <v>#REF!</v>
      </c>
      <c r="S55" s="126" t="e">
        <f t="shared" si="9"/>
        <v>#REF!</v>
      </c>
      <c r="T55" s="127" t="e">
        <f t="shared" si="32"/>
        <v>#REF!</v>
      </c>
      <c r="U55" s="127" t="e">
        <f>IF($U$17&gt;=B55, 0, IF(S55&gt;1, IF(ASS!#REF!=1,$U$14/(($U$15*2)-$U$17), -PMT($U$16/2,($U$15*2-B54),S55,0)-T55), 0))</f>
        <v>#REF!</v>
      </c>
      <c r="V55" s="128" t="e">
        <f t="shared" si="39"/>
        <v>#REF!</v>
      </c>
      <c r="W55" s="126" t="e">
        <f t="shared" si="11"/>
        <v>#REF!</v>
      </c>
      <c r="X55" s="127" t="e">
        <f t="shared" si="33"/>
        <v>#REF!</v>
      </c>
      <c r="Y55" s="127" t="e">
        <f>IF($Y$17&gt;=B55, 0, IF(W55&gt;1, IF(ASS!#REF!=1,$Y$14/(($Y$15*2)-$Y$17), -PMT($Y$16/2,($Y$15*2-B54),W55,0)-X55), 0))</f>
        <v>#REF!</v>
      </c>
      <c r="Z55" s="128" t="e">
        <f t="shared" si="40"/>
        <v>#REF!</v>
      </c>
      <c r="AA55" s="127"/>
      <c r="AB55" s="128"/>
    </row>
    <row r="56" spans="1:28" x14ac:dyDescent="0.2">
      <c r="A56" s="58">
        <f>A55</f>
        <v>2018</v>
      </c>
      <c r="B56" s="59">
        <f t="shared" si="41"/>
        <v>35</v>
      </c>
      <c r="C56" s="129" t="e">
        <f t="shared" si="2"/>
        <v>#REF!</v>
      </c>
      <c r="D56" s="130" t="e">
        <f>C56*$E$16*0.5</f>
        <v>#REF!</v>
      </c>
      <c r="E56" s="130" t="e">
        <f>IF($E$17&gt;=B56, 0, IF(C56&gt;1, IF(ASS!#REF!=1,$E$14/(($E$15*2)-$E$17), -PMT($E$16/2,($E$15*2-B55),C56,0)-D56), 0))</f>
        <v>#REF!</v>
      </c>
      <c r="F56" s="131" t="e">
        <f t="shared" si="42"/>
        <v>#REF!</v>
      </c>
      <c r="G56" s="129" t="e">
        <f t="shared" si="3"/>
        <v>#REF!</v>
      </c>
      <c r="H56" s="130" t="e">
        <f>G56*$I$16*0.5</f>
        <v>#REF!</v>
      </c>
      <c r="I56" s="130" t="e">
        <f>IF($I$17&gt;=B56, 0, IF(G56&gt;1, IF(ASS!#REF!=1,$I$14/(($I$15*2)-$I$17), -PMT($I$16/2,($I$15*2-B55),G56,0)-H56), 0))</f>
        <v>#REF!</v>
      </c>
      <c r="J56" s="131" t="e">
        <f t="shared" si="36"/>
        <v>#REF!</v>
      </c>
      <c r="K56" s="129" t="e">
        <f t="shared" si="5"/>
        <v>#REF!</v>
      </c>
      <c r="L56" s="130" t="e">
        <f t="shared" si="34"/>
        <v>#REF!</v>
      </c>
      <c r="M56" s="130" t="e">
        <f>IF($M$17&gt;=B56, 0, IF(K56&gt;1, IF(ASS!#REF!=1,$M$14/(($M$15*2)-$M$17), -PMT($M$16/2,($M$15*2-B55),K56,0)-L56), 0))</f>
        <v>#REF!</v>
      </c>
      <c r="N56" s="131" t="e">
        <f t="shared" si="37"/>
        <v>#REF!</v>
      </c>
      <c r="O56" s="129" t="e">
        <f t="shared" si="7"/>
        <v>#REF!</v>
      </c>
      <c r="P56" s="130" t="e">
        <f>O56*$Q$16*0.5</f>
        <v>#REF!</v>
      </c>
      <c r="Q56" s="130" t="e">
        <f>IF($Q$17&gt;=B56, 0, IF(O56&gt;1, IF(ASS!#REF!=1,$Q$14/(($Q$15*2)-$Q$17), -PMT($Q$16/2,($Q$15*2-B55),O56,0)-P56), 0))</f>
        <v>#REF!</v>
      </c>
      <c r="R56" s="131" t="e">
        <f t="shared" si="38"/>
        <v>#REF!</v>
      </c>
      <c r="S56" s="129" t="e">
        <f t="shared" si="9"/>
        <v>#REF!</v>
      </c>
      <c r="T56" s="130" t="e">
        <f>S56*$U$16*0.5</f>
        <v>#REF!</v>
      </c>
      <c r="U56" s="130" t="e">
        <f>IF($U$17&gt;=B56, 0, IF(S56&gt;1, IF(ASS!#REF!=1,$U$14/(($U$15*2)-$U$17), -PMT($U$16/2,($U$15*2-B55),S56,0)-T56), 0))</f>
        <v>#REF!</v>
      </c>
      <c r="V56" s="131" t="e">
        <f t="shared" si="39"/>
        <v>#REF!</v>
      </c>
      <c r="W56" s="129" t="e">
        <f t="shared" si="11"/>
        <v>#REF!</v>
      </c>
      <c r="X56" s="130" t="e">
        <f>W56*$Y$16*0.5</f>
        <v>#REF!</v>
      </c>
      <c r="Y56" s="130" t="e">
        <f>IF($Y$17&gt;=B56, 0, IF(W56&gt;1, IF(ASS!#REF!=1,$Y$14/(($Y$15*2)-$Y$17), -PMT($Y$16/2,($Y$15*2-B55),W56,0)-X56), 0))</f>
        <v>#REF!</v>
      </c>
      <c r="Z56" s="131" t="e">
        <f t="shared" si="40"/>
        <v>#REF!</v>
      </c>
      <c r="AA56" s="130" t="e">
        <f>SUM(D55:D56,H55:H56,L55:L56, P55:P56, T55:T56, X55:X56)</f>
        <v>#REF!</v>
      </c>
      <c r="AB56" s="131" t="e">
        <f>SUM(E55:E56, I55:I56, M55:M56, Q55:Q56, U55:U56, Y55:Y56)</f>
        <v>#REF!</v>
      </c>
    </row>
    <row r="57" spans="1:28" x14ac:dyDescent="0.2">
      <c r="A57" s="47">
        <f t="shared" si="35"/>
        <v>2019</v>
      </c>
      <c r="B57" s="48">
        <f t="shared" si="41"/>
        <v>36</v>
      </c>
      <c r="C57" s="126" t="e">
        <f t="shared" si="2"/>
        <v>#REF!</v>
      </c>
      <c r="D57" s="127" t="e">
        <f>C57*$E$16*0.5</f>
        <v>#REF!</v>
      </c>
      <c r="E57" s="127" t="e">
        <f>IF($E$17&gt;=B57, 0, IF(C57&gt;1, IF(ASS!#REF!=1,$E$14/(($E$15*2)-$E$17), -PMT($E$16/2,($E$15*2-B56),C57,0)-D57), 0))</f>
        <v>#REF!</v>
      </c>
      <c r="F57" s="128" t="e">
        <f t="shared" si="42"/>
        <v>#REF!</v>
      </c>
      <c r="G57" s="126" t="e">
        <f t="shared" si="3"/>
        <v>#REF!</v>
      </c>
      <c r="H57" s="127" t="e">
        <f>G57*$I$16*0.5</f>
        <v>#REF!</v>
      </c>
      <c r="I57" s="127" t="e">
        <f>IF($I$17&gt;=B57, 0, IF(G57&gt;1, IF(ASS!#REF!=1,$I$14/(($I$15*2)-$I$17), -PMT($I$16/2,($I$15*2-B56),G57,0)-H57), 0))</f>
        <v>#REF!</v>
      </c>
      <c r="J57" s="128" t="e">
        <f t="shared" si="36"/>
        <v>#REF!</v>
      </c>
      <c r="K57" s="126" t="e">
        <f t="shared" si="5"/>
        <v>#REF!</v>
      </c>
      <c r="L57" s="127" t="e">
        <f>K57*$M$16*0.5</f>
        <v>#REF!</v>
      </c>
      <c r="M57" s="127" t="e">
        <f>IF($M$17&gt;=B57, 0, IF(K57&gt;1, IF(ASS!#REF!=1,$M$14/(($M$15*2)-$M$17), -PMT($M$16/2,($M$15*2-B56),K57,0)-L57), 0))</f>
        <v>#REF!</v>
      </c>
      <c r="N57" s="128" t="e">
        <f t="shared" si="37"/>
        <v>#REF!</v>
      </c>
      <c r="O57" s="126" t="e">
        <f t="shared" si="7"/>
        <v>#REF!</v>
      </c>
      <c r="P57" s="127" t="e">
        <f>O57*$Q$16*0.5</f>
        <v>#REF!</v>
      </c>
      <c r="Q57" s="127" t="e">
        <f>IF($Q$17&gt;=B57, 0, IF(O57&gt;1, IF(ASS!#REF!=1,$Q$14/(($Q$15*2)-$Q$17), -PMT($Q$16/2,($Q$15*2-B56),O57,0)-P57), 0))</f>
        <v>#REF!</v>
      </c>
      <c r="R57" s="128" t="e">
        <f t="shared" si="38"/>
        <v>#REF!</v>
      </c>
      <c r="S57" s="126" t="e">
        <f t="shared" si="9"/>
        <v>#REF!</v>
      </c>
      <c r="T57" s="127" t="e">
        <f>S57*$U$16*0.5</f>
        <v>#REF!</v>
      </c>
      <c r="U57" s="127" t="e">
        <f>IF($U$17&gt;=B57, 0, IF(S57&gt;1, IF(ASS!#REF!=1,$U$14/(($U$15*2)-$U$17), -PMT($U$16/2,($U$15*2-B56),S57,0)-T57), 0))</f>
        <v>#REF!</v>
      </c>
      <c r="V57" s="128" t="e">
        <f t="shared" si="39"/>
        <v>#REF!</v>
      </c>
      <c r="W57" s="126" t="e">
        <f t="shared" si="11"/>
        <v>#REF!</v>
      </c>
      <c r="X57" s="127" t="e">
        <f>W57*$Y$16*0.5</f>
        <v>#REF!</v>
      </c>
      <c r="Y57" s="127" t="e">
        <f>IF($Y$17&gt;=B57, 0, IF(W57&gt;1, IF(ASS!#REF!=1,$Y$14/(($Y$15*2)-$Y$17), -PMT($Y$16/2,($Y$15*2-B56),W57,0)-X57), 0))</f>
        <v>#REF!</v>
      </c>
      <c r="Z57" s="128" t="e">
        <f t="shared" si="40"/>
        <v>#REF!</v>
      </c>
      <c r="AA57" s="127"/>
      <c r="AB57" s="128"/>
    </row>
    <row r="58" spans="1:28" x14ac:dyDescent="0.2">
      <c r="A58" s="58">
        <f>A57</f>
        <v>2019</v>
      </c>
      <c r="B58" s="59">
        <f t="shared" si="41"/>
        <v>37</v>
      </c>
      <c r="C58" s="129" t="e">
        <f t="shared" si="2"/>
        <v>#REF!</v>
      </c>
      <c r="D58" s="130" t="e">
        <f>C58*$E$16*0.5</f>
        <v>#REF!</v>
      </c>
      <c r="E58" s="130" t="e">
        <f>IF($E$17&gt;=B58, 0, IF(C58&gt;1, IF(ASS!#REF!=1,$E$14/(($E$15*2)-$E$17), -PMT($E$16/2,($E$15*2-B57),C58,0)-D58), 0))</f>
        <v>#REF!</v>
      </c>
      <c r="F58" s="131" t="e">
        <f t="shared" si="42"/>
        <v>#REF!</v>
      </c>
      <c r="G58" s="129" t="e">
        <f t="shared" si="3"/>
        <v>#REF!</v>
      </c>
      <c r="H58" s="130" t="e">
        <f>G58*$I$16*0.5</f>
        <v>#REF!</v>
      </c>
      <c r="I58" s="130" t="e">
        <f>IF($I$17&gt;=B58, 0, IF(G58&gt;1, IF(ASS!#REF!=1,$I$14/(($I$15*2)-$I$17), -PMT($I$16/2,($I$15*2-B57),G58,0)-H58), 0))</f>
        <v>#REF!</v>
      </c>
      <c r="J58" s="131" t="e">
        <f t="shared" si="36"/>
        <v>#REF!</v>
      </c>
      <c r="K58" s="129" t="e">
        <f t="shared" si="5"/>
        <v>#REF!</v>
      </c>
      <c r="L58" s="130" t="e">
        <f>K58*$M$16*0.5</f>
        <v>#REF!</v>
      </c>
      <c r="M58" s="130" t="e">
        <f>IF($M$17&gt;=B58, 0, IF(K58&gt;1, IF(ASS!#REF!=1,$M$14/(($M$15*2)-$M$17), -PMT($M$16/2,($M$15*2-B57),K58,0)-L58), 0))</f>
        <v>#REF!</v>
      </c>
      <c r="N58" s="131" t="e">
        <f t="shared" si="37"/>
        <v>#REF!</v>
      </c>
      <c r="O58" s="129" t="e">
        <f t="shared" si="7"/>
        <v>#REF!</v>
      </c>
      <c r="P58" s="130" t="e">
        <f>O58*$Q$16*0.5</f>
        <v>#REF!</v>
      </c>
      <c r="Q58" s="130" t="e">
        <f>IF($Q$17&gt;=B58, 0, IF(O58&gt;1, IF(ASS!#REF!=1,$Q$14/(($Q$15*2)-$Q$17), -PMT($Q$16/2,($Q$15*2-B57),O58,0)-P58), 0))</f>
        <v>#REF!</v>
      </c>
      <c r="R58" s="131" t="e">
        <f t="shared" si="38"/>
        <v>#REF!</v>
      </c>
      <c r="S58" s="129" t="e">
        <f t="shared" si="9"/>
        <v>#REF!</v>
      </c>
      <c r="T58" s="130" t="e">
        <f>S58*$U$16*0.5</f>
        <v>#REF!</v>
      </c>
      <c r="U58" s="130" t="e">
        <f>IF($U$17&gt;=B58, 0, IF(S58&gt;1, IF(ASS!#REF!=1,$U$14/(($U$15*2)-$U$17), -PMT($U$16/2,($U$15*2-B57),S58,0)-T58), 0))</f>
        <v>#REF!</v>
      </c>
      <c r="V58" s="131" t="e">
        <f t="shared" si="39"/>
        <v>#REF!</v>
      </c>
      <c r="W58" s="129" t="e">
        <f t="shared" si="11"/>
        <v>#REF!</v>
      </c>
      <c r="X58" s="130" t="e">
        <f>W58*$Y$16*0.5</f>
        <v>#REF!</v>
      </c>
      <c r="Y58" s="130" t="e">
        <f>IF($Y$17&gt;=B58, 0, IF(W58&gt;1, IF(ASS!#REF!=1,$Y$14/(($Y$15*2)-$Y$17), -PMT($Y$16/2,($Y$15*2-B57),W58,0)-X58), 0))</f>
        <v>#REF!</v>
      </c>
      <c r="Z58" s="131" t="e">
        <f t="shared" si="40"/>
        <v>#REF!</v>
      </c>
      <c r="AA58" s="130" t="e">
        <f>SUM(D57:D58,H57:H58,L57:L58, P57:P58, T57:T58, X57:X58)</f>
        <v>#REF!</v>
      </c>
      <c r="AB58" s="131" t="e">
        <f>SUM(E57:E58, I57:I58, M57:M58, Q57:Q58, U57:U58, Y57:Y58)</f>
        <v>#REF!</v>
      </c>
    </row>
    <row r="59" spans="1:28" x14ac:dyDescent="0.2">
      <c r="A59" s="47">
        <f>A57+1</f>
        <v>2020</v>
      </c>
      <c r="B59" s="48">
        <f t="shared" si="41"/>
        <v>38</v>
      </c>
      <c r="C59" s="126" t="e">
        <f t="shared" si="2"/>
        <v>#REF!</v>
      </c>
      <c r="D59" s="127" t="e">
        <f>C59*$E$16*0.5</f>
        <v>#REF!</v>
      </c>
      <c r="E59" s="127" t="e">
        <f>IF($E$17&gt;=B59, 0, IF(C59&gt;1, IF(ASS!#REF!=1,$E$14/(($E$15*2)-$E$17), -PMT($E$16/2,($E$15*2-B58),C59,0)-D59), 0))</f>
        <v>#REF!</v>
      </c>
      <c r="F59" s="128" t="e">
        <f t="shared" si="42"/>
        <v>#REF!</v>
      </c>
      <c r="G59" s="126" t="e">
        <f t="shared" si="3"/>
        <v>#REF!</v>
      </c>
      <c r="H59" s="127" t="e">
        <f>G59*$I$16*0.5</f>
        <v>#REF!</v>
      </c>
      <c r="I59" s="127" t="e">
        <f>IF($I$17&gt;=B59, 0, IF(G59&gt;1, IF(ASS!#REF!=1,$I$14/(($I$15*2)-$I$17), -PMT($I$16/2,($I$15*2-B58),G59,0)-H59), 0))</f>
        <v>#REF!</v>
      </c>
      <c r="J59" s="128" t="e">
        <f t="shared" si="36"/>
        <v>#REF!</v>
      </c>
      <c r="K59" s="126" t="e">
        <f t="shared" si="5"/>
        <v>#REF!</v>
      </c>
      <c r="L59" s="127" t="e">
        <f>K59*$M$16*0.5</f>
        <v>#REF!</v>
      </c>
      <c r="M59" s="127" t="e">
        <f>IF($M$17&gt;=B59, 0, IF(K59&gt;1, IF(ASS!#REF!=1,$M$14/(($M$15*2)-$M$17), -PMT($M$16/2,($M$15*2-B58),K59,0)-L59), 0))</f>
        <v>#REF!</v>
      </c>
      <c r="N59" s="128" t="e">
        <f t="shared" si="37"/>
        <v>#REF!</v>
      </c>
      <c r="O59" s="126" t="e">
        <f t="shared" si="7"/>
        <v>#REF!</v>
      </c>
      <c r="P59" s="127" t="e">
        <f>O59*$Q$16*0.5</f>
        <v>#REF!</v>
      </c>
      <c r="Q59" s="127" t="e">
        <f>IF($Q$17&gt;=B59, 0, IF(O59&gt;1, IF(ASS!#REF!=1,$Q$14/(($Q$15*2)-$Q$17), -PMT($Q$16/2,($Q$15*2-B58),O59,0)-P59), 0))</f>
        <v>#REF!</v>
      </c>
      <c r="R59" s="128" t="e">
        <f t="shared" si="38"/>
        <v>#REF!</v>
      </c>
      <c r="S59" s="126" t="e">
        <f t="shared" si="9"/>
        <v>#REF!</v>
      </c>
      <c r="T59" s="127" t="e">
        <f>S59*$U$16*0.5</f>
        <v>#REF!</v>
      </c>
      <c r="U59" s="127" t="e">
        <f>IF($U$17&gt;=B59, 0, IF(S59&gt;1, IF(ASS!#REF!=1,$U$14/(($U$15*2)-$U$17), -PMT($U$16/2,($U$15*2-B58),S59,0)-T59), 0))</f>
        <v>#REF!</v>
      </c>
      <c r="V59" s="128" t="e">
        <f t="shared" si="39"/>
        <v>#REF!</v>
      </c>
      <c r="W59" s="126" t="e">
        <f t="shared" si="11"/>
        <v>#REF!</v>
      </c>
      <c r="X59" s="127" t="e">
        <f>W59*$Y$16*0.5</f>
        <v>#REF!</v>
      </c>
      <c r="Y59" s="127" t="e">
        <f>IF($Y$17&gt;=B59, 0, IF(W59&gt;1, IF(ASS!#REF!=1,$Y$14/(($Y$15*2)-$Y$17), -PMT($Y$16/2,($Y$15*2-B58),W59,0)-X59), 0))</f>
        <v>#REF!</v>
      </c>
      <c r="Z59" s="128" t="e">
        <f t="shared" si="40"/>
        <v>#REF!</v>
      </c>
      <c r="AA59" s="127"/>
      <c r="AB59" s="128"/>
    </row>
    <row r="60" spans="1:28" ht="13.5" thickBot="1" x14ac:dyDescent="0.25">
      <c r="A60" s="58">
        <f>A59</f>
        <v>2020</v>
      </c>
      <c r="B60" s="59">
        <f t="shared" si="41"/>
        <v>39</v>
      </c>
      <c r="C60" s="129" t="e">
        <f t="shared" si="2"/>
        <v>#REF!</v>
      </c>
      <c r="D60" s="130" t="e">
        <f>C60*$E$16*0.5</f>
        <v>#REF!</v>
      </c>
      <c r="E60" s="130" t="e">
        <f>IF($E$17&gt;=B60, 0, IF(C60&gt;1, IF(ASS!#REF!=1,$E$14/(($E$15*2)-$E$17), -PMT($E$16/2,($E$15*2-B59),C60,0)-D60), 0))</f>
        <v>#REF!</v>
      </c>
      <c r="F60" s="131" t="e">
        <f t="shared" si="42"/>
        <v>#REF!</v>
      </c>
      <c r="G60" s="129" t="e">
        <f t="shared" si="3"/>
        <v>#REF!</v>
      </c>
      <c r="H60" s="130" t="e">
        <f>G60*$I$16*0.5</f>
        <v>#REF!</v>
      </c>
      <c r="I60" s="130" t="e">
        <f>IF($I$17&gt;=B60, 0, IF(G60&gt;1, IF(ASS!#REF!=1,$I$14/(($I$15*2)-$I$17), -PMT($I$16/2,($I$15*2-B59),G60,0)-H60), 0))</f>
        <v>#REF!</v>
      </c>
      <c r="J60" s="131" t="e">
        <f t="shared" si="36"/>
        <v>#REF!</v>
      </c>
      <c r="K60" s="129" t="e">
        <f t="shared" si="5"/>
        <v>#REF!</v>
      </c>
      <c r="L60" s="130" t="e">
        <f>K60*$M$16*0.5</f>
        <v>#REF!</v>
      </c>
      <c r="M60" s="130" t="e">
        <f>IF($M$17&gt;=B60, 0, IF(K60&gt;1, IF(ASS!#REF!=1,$M$14/(($M$15*2)-$M$17), -PMT($M$16/2,($M$15*2-B59),K60,0)-L60), 0))</f>
        <v>#REF!</v>
      </c>
      <c r="N60" s="131" t="e">
        <f t="shared" si="37"/>
        <v>#REF!</v>
      </c>
      <c r="O60" s="129" t="e">
        <f t="shared" si="7"/>
        <v>#REF!</v>
      </c>
      <c r="P60" s="130" t="e">
        <f>O60*$Q$16*0.5</f>
        <v>#REF!</v>
      </c>
      <c r="Q60" s="130" t="e">
        <f>IF($Q$17&gt;=B60, 0, IF(O60&gt;1, IF(ASS!#REF!=1,$Q$14/(($Q$15*2)-$Q$17), -PMT($Q$16/2,($Q$15*2-B59),O60,0)-P60), 0))</f>
        <v>#REF!</v>
      </c>
      <c r="R60" s="131" t="e">
        <f t="shared" si="38"/>
        <v>#REF!</v>
      </c>
      <c r="S60" s="129" t="e">
        <f t="shared" si="9"/>
        <v>#REF!</v>
      </c>
      <c r="T60" s="130" t="e">
        <f>S60*$U$16*0.5</f>
        <v>#REF!</v>
      </c>
      <c r="U60" s="130" t="e">
        <f>IF($U$17&gt;=B60, 0, IF(S60&gt;1, IF(ASS!#REF!=1,$U$14/(($U$15*2)-$U$17), -PMT($U$16/2,($U$15*2-B59),S60,0)-T60), 0))</f>
        <v>#REF!</v>
      </c>
      <c r="V60" s="131" t="e">
        <f t="shared" si="39"/>
        <v>#REF!</v>
      </c>
      <c r="W60" s="129" t="e">
        <f t="shared" si="11"/>
        <v>#REF!</v>
      </c>
      <c r="X60" s="130" t="e">
        <f>W60*$Y$16*0.5</f>
        <v>#REF!</v>
      </c>
      <c r="Y60" s="130" t="e">
        <f>IF($Y$17&gt;=B60, 0, IF(W60&gt;1, IF(ASS!#REF!=1,$Y$14/(($Y$15*2)-$Y$17), -PMT($Y$16/2,($Y$15*2-B59),W60,0)-X60), 0))</f>
        <v>#REF!</v>
      </c>
      <c r="Z60" s="131" t="e">
        <f t="shared" si="40"/>
        <v>#REF!</v>
      </c>
      <c r="AA60" s="130" t="e">
        <f>SUM(D59:D60,H59:H60,L59:L60, P59:P60, T59:T60, X59:X60)</f>
        <v>#REF!</v>
      </c>
      <c r="AB60" s="131" t="e">
        <f>SUM(E59:E60, I59:I60, M59:M60, Q59:Q60, U59:U60, Y59:Y60)</f>
        <v>#REF!</v>
      </c>
    </row>
    <row r="61" spans="1:28" ht="14.25" thickTop="1" thickBot="1" x14ac:dyDescent="0.25">
      <c r="A61" s="205" t="s">
        <v>210</v>
      </c>
      <c r="B61" s="206"/>
      <c r="C61" s="207"/>
      <c r="D61" s="208" t="e">
        <f>SUM(D21:D60)</f>
        <v>#REF!</v>
      </c>
      <c r="E61" s="208" t="e">
        <f>SUM(E21:E60)</f>
        <v>#REF!</v>
      </c>
      <c r="F61" s="207"/>
      <c r="G61" s="207"/>
      <c r="H61" s="208" t="e">
        <f>SUM(H21:H60)</f>
        <v>#REF!</v>
      </c>
      <c r="I61" s="208" t="e">
        <f>SUM(I21:I60)</f>
        <v>#REF!</v>
      </c>
      <c r="J61" s="207"/>
      <c r="K61" s="207"/>
      <c r="L61" s="208" t="e">
        <f>SUM(L21:L60)</f>
        <v>#REF!</v>
      </c>
      <c r="M61" s="208" t="e">
        <f>SUM(M21:M60)</f>
        <v>#REF!</v>
      </c>
      <c r="N61" s="207"/>
      <c r="O61" s="207"/>
      <c r="P61" s="208" t="e">
        <f>SUM(P21:P60)</f>
        <v>#REF!</v>
      </c>
      <c r="Q61" s="208" t="e">
        <f>SUM(Q21:Q60)</f>
        <v>#REF!</v>
      </c>
      <c r="R61" s="207"/>
      <c r="S61" s="207"/>
      <c r="T61" s="208" t="e">
        <f>SUM(T21:T60)</f>
        <v>#REF!</v>
      </c>
      <c r="U61" s="208" t="e">
        <f>SUM(U21:U60)</f>
        <v>#REF!</v>
      </c>
      <c r="V61" s="207"/>
      <c r="W61" s="207"/>
      <c r="X61" s="208" t="e">
        <f>SUM(X21:X60)</f>
        <v>#REF!</v>
      </c>
      <c r="Y61" s="208" t="e">
        <f>SUM(Y21:Y60)</f>
        <v>#REF!</v>
      </c>
      <c r="Z61" s="207"/>
      <c r="AA61" s="208" t="e">
        <f>SUM(AA21:AA60)</f>
        <v>#REF!</v>
      </c>
      <c r="AB61" s="209" t="e">
        <f>SUM(AB21:AB60)</f>
        <v>#REF!</v>
      </c>
    </row>
    <row r="62" spans="1:28" ht="13.5" thickTop="1" x14ac:dyDescent="0.2"/>
  </sheetData>
  <printOptions horizontalCentered="1"/>
  <pageMargins left="0.5" right="1" top="0.75" bottom="0.75" header="0.5" footer="0.5"/>
  <pageSetup scale="42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N14"/>
  <sheetViews>
    <sheetView tabSelected="1" zoomScale="75" workbookViewId="0">
      <selection activeCell="D14" sqref="D14"/>
    </sheetView>
  </sheetViews>
  <sheetFormatPr defaultRowHeight="12.75" x14ac:dyDescent="0.2"/>
  <cols>
    <col min="1" max="1" width="12.28515625" style="1" customWidth="1"/>
    <col min="2" max="2" width="13" style="1" customWidth="1"/>
    <col min="3" max="3" width="13.7109375" style="1" customWidth="1"/>
    <col min="4" max="31" width="11.7109375" style="1" customWidth="1"/>
    <col min="32" max="16384" width="9.140625" style="1"/>
  </cols>
  <sheetData>
    <row r="1" spans="1:14" ht="15.75" x14ac:dyDescent="0.25">
      <c r="A1" s="179" t="s">
        <v>211</v>
      </c>
      <c r="B1" s="180"/>
      <c r="C1" s="181"/>
      <c r="D1" s="183"/>
    </row>
    <row r="2" spans="1:14" ht="15.75" x14ac:dyDescent="0.25">
      <c r="A2" s="182">
        <f>ASS!A4</f>
        <v>0</v>
      </c>
      <c r="B2" s="183"/>
      <c r="C2" s="184"/>
      <c r="D2" s="183"/>
    </row>
    <row r="3" spans="1:14" x14ac:dyDescent="0.2">
      <c r="A3" s="11" t="s">
        <v>115</v>
      </c>
      <c r="B3" s="2"/>
      <c r="C3" s="2"/>
      <c r="D3" s="2">
        <f>CF!D3</f>
        <v>1</v>
      </c>
      <c r="E3" s="2">
        <f>CF!E3</f>
        <v>2</v>
      </c>
      <c r="F3" s="2">
        <f>CF!F3</f>
        <v>3</v>
      </c>
      <c r="G3" s="2">
        <f>CF!G3</f>
        <v>4</v>
      </c>
      <c r="H3" s="2">
        <f>CF!H3</f>
        <v>5</v>
      </c>
      <c r="I3" s="2">
        <f>CF!I3</f>
        <v>6</v>
      </c>
      <c r="J3" s="2">
        <f>CF!J3</f>
        <v>7</v>
      </c>
      <c r="K3" s="2">
        <f>CF!K3</f>
        <v>8</v>
      </c>
      <c r="L3" s="2">
        <f>CF!L3</f>
        <v>9</v>
      </c>
      <c r="M3" s="2">
        <f>CF!M3</f>
        <v>10</v>
      </c>
      <c r="N3" s="17"/>
    </row>
    <row r="4" spans="1:14" x14ac:dyDescent="0.2">
      <c r="A4" s="12" t="s">
        <v>116</v>
      </c>
      <c r="B4" s="4"/>
      <c r="C4" s="4"/>
      <c r="D4" s="185">
        <f>CF!D4</f>
        <v>2001</v>
      </c>
      <c r="E4" s="185">
        <f>CF!E4</f>
        <v>2002</v>
      </c>
      <c r="F4" s="185">
        <f>CF!F4</f>
        <v>2003</v>
      </c>
      <c r="G4" s="185">
        <f>CF!G4</f>
        <v>2004</v>
      </c>
      <c r="H4" s="185">
        <f>CF!H4</f>
        <v>2005</v>
      </c>
      <c r="I4" s="185">
        <f>CF!I4</f>
        <v>2006</v>
      </c>
      <c r="J4" s="185">
        <f>CF!J4</f>
        <v>2007</v>
      </c>
      <c r="K4" s="185">
        <f>CF!K4</f>
        <v>2008</v>
      </c>
      <c r="L4" s="185">
        <f>CF!L4</f>
        <v>2009</v>
      </c>
      <c r="M4" s="185">
        <f>CF!M4</f>
        <v>2010</v>
      </c>
      <c r="N4" s="18" t="s">
        <v>194</v>
      </c>
    </row>
    <row r="5" spans="1:14" x14ac:dyDescent="0.2">
      <c r="A5" s="5" t="s">
        <v>118</v>
      </c>
      <c r="B5" s="6"/>
      <c r="C5" s="6"/>
      <c r="D5" s="6">
        <f>CF!D5</f>
        <v>12</v>
      </c>
      <c r="E5" s="6">
        <f>CF!E5</f>
        <v>12</v>
      </c>
      <c r="F5" s="6">
        <f>CF!F5</f>
        <v>12</v>
      </c>
      <c r="G5" s="6">
        <f>CF!G5</f>
        <v>12</v>
      </c>
      <c r="H5" s="6">
        <f>CF!H5</f>
        <v>12</v>
      </c>
      <c r="I5" s="6">
        <f>CF!I5</f>
        <v>12</v>
      </c>
      <c r="J5" s="6">
        <f>CF!J5</f>
        <v>12</v>
      </c>
      <c r="K5" s="6">
        <f>CF!K5</f>
        <v>12</v>
      </c>
      <c r="L5" s="6">
        <f>CF!L5</f>
        <v>12</v>
      </c>
      <c r="M5" s="6">
        <f>CF!M5</f>
        <v>12</v>
      </c>
      <c r="N5" s="186"/>
    </row>
    <row r="6" spans="1:14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">
      <c r="A7" s="7" t="s">
        <v>212</v>
      </c>
      <c r="B7" s="10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17"/>
    </row>
    <row r="8" spans="1:14" x14ac:dyDescent="0.2">
      <c r="A8" s="3" t="s">
        <v>213</v>
      </c>
      <c r="B8" s="4"/>
      <c r="C8" s="4"/>
      <c r="D8" s="27">
        <f>CF!D49</f>
        <v>7051.04</v>
      </c>
      <c r="E8" s="27">
        <f>CF!E49</f>
        <v>6150.0608000000002</v>
      </c>
      <c r="F8" s="27">
        <f>CF!F49</f>
        <v>5249.0620159999999</v>
      </c>
      <c r="G8" s="27">
        <f>CF!G49</f>
        <v>5248.0432563200002</v>
      </c>
      <c r="H8" s="27">
        <f>CF!H49</f>
        <v>5247.0041214463999</v>
      </c>
      <c r="I8" s="27">
        <f>CF!I49</f>
        <v>5245.9442038753277</v>
      </c>
      <c r="J8" s="27">
        <f>CF!J49</f>
        <v>5244.8630879528346</v>
      </c>
      <c r="K8" s="27">
        <f>CF!K49</f>
        <v>5243.7603497118916</v>
      </c>
      <c r="L8" s="27">
        <f>CF!L49</f>
        <v>5242.6355567061291</v>
      </c>
      <c r="M8" s="27">
        <f>CF!M49</f>
        <v>5241.4882678402519</v>
      </c>
      <c r="N8" s="28">
        <f>SUM(D8:F8)</f>
        <v>18450.162816</v>
      </c>
    </row>
    <row r="9" spans="1:14" x14ac:dyDescent="0.2">
      <c r="A9" s="3" t="s">
        <v>214</v>
      </c>
      <c r="B9" s="4"/>
      <c r="C9" s="4"/>
      <c r="D9" s="27">
        <f>-DEPR!F16</f>
        <v>-487.5</v>
      </c>
      <c r="E9" s="27">
        <f>-DEPR!G16</f>
        <v>-938.47</v>
      </c>
      <c r="F9" s="27">
        <f>-DEPR!H16</f>
        <v>-866.70999999999992</v>
      </c>
      <c r="G9" s="27">
        <f>-DEPR!I16</f>
        <v>-803.01</v>
      </c>
      <c r="H9" s="27">
        <f>-DEPR!J16</f>
        <v>-742.69</v>
      </c>
      <c r="I9" s="27">
        <f>-DEPR!K16</f>
        <v>-687.05000000000007</v>
      </c>
      <c r="J9" s="27">
        <f>-DEPR!L16</f>
        <v>-635.44000000000005</v>
      </c>
      <c r="K9" s="27">
        <f>-DEPR!M16</f>
        <v>-587.86</v>
      </c>
      <c r="L9" s="27">
        <f>-DEPR!N16</f>
        <v>-580.05999999999995</v>
      </c>
      <c r="M9" s="27">
        <f>-DEPR!O16</f>
        <v>-579.92999999999995</v>
      </c>
      <c r="N9" s="28">
        <f>SUM(D9:F9)</f>
        <v>-2292.6799999999998</v>
      </c>
    </row>
    <row r="10" spans="1:14" x14ac:dyDescent="0.2">
      <c r="A10" s="3" t="s">
        <v>215</v>
      </c>
      <c r="B10" s="4"/>
      <c r="C10" s="4"/>
      <c r="D10" s="383">
        <f>ASS!V24*DEBT</f>
        <v>0</v>
      </c>
      <c r="E10" s="383">
        <f>ASS!W24*DEBT</f>
        <v>0</v>
      </c>
      <c r="F10" s="383">
        <f>ASS!X24*DEBT</f>
        <v>0</v>
      </c>
      <c r="G10" s="383">
        <f>ASS!Y31*DEBT</f>
        <v>0</v>
      </c>
      <c r="H10" s="383">
        <f>ASS!Z31*DEBT</f>
        <v>0</v>
      </c>
      <c r="I10" s="383">
        <f>ASS!AA31*DEBT</f>
        <v>0</v>
      </c>
      <c r="J10" s="383">
        <f>ASS!AB31*DEBT</f>
        <v>0</v>
      </c>
      <c r="K10" s="383">
        <f>ASS!AC31*DEBT</f>
        <v>0</v>
      </c>
      <c r="L10" s="383">
        <f>ASS!AD31*DEBT</f>
        <v>0</v>
      </c>
      <c r="M10" s="383">
        <f>ASS!AE31*DEBT</f>
        <v>0</v>
      </c>
      <c r="N10" s="28">
        <f>SUM(D10:F10)</f>
        <v>0</v>
      </c>
    </row>
    <row r="11" spans="1:14" x14ac:dyDescent="0.2">
      <c r="A11" s="3" t="s">
        <v>216</v>
      </c>
      <c r="B11" s="4"/>
      <c r="C11" s="4"/>
      <c r="D11" s="30">
        <f>SUM(D8:D10)</f>
        <v>6563.54</v>
      </c>
      <c r="E11" s="30">
        <f>SUM(E8:E10)</f>
        <v>5211.5907999999999</v>
      </c>
      <c r="F11" s="30">
        <f>SUM(F8:F10)</f>
        <v>4382.3520159999998</v>
      </c>
      <c r="G11" s="30">
        <f t="shared" ref="G11:M11" si="0">SUM(G8:G10)</f>
        <v>4445.03325632</v>
      </c>
      <c r="H11" s="30">
        <f t="shared" si="0"/>
        <v>4504.3141214463994</v>
      </c>
      <c r="I11" s="30">
        <f t="shared" si="0"/>
        <v>4558.8942038753275</v>
      </c>
      <c r="J11" s="30">
        <f t="shared" si="0"/>
        <v>4609.423087952835</v>
      </c>
      <c r="K11" s="30">
        <f t="shared" si="0"/>
        <v>4655.900349711892</v>
      </c>
      <c r="L11" s="30">
        <f t="shared" si="0"/>
        <v>4662.5755567061296</v>
      </c>
      <c r="M11" s="30">
        <f t="shared" si="0"/>
        <v>4661.5582678402516</v>
      </c>
      <c r="N11" s="60">
        <f>SUM(D11:F11)</f>
        <v>16157.482816</v>
      </c>
    </row>
    <row r="12" spans="1:14" x14ac:dyDescent="0.2">
      <c r="A12" s="3" t="s">
        <v>355</v>
      </c>
      <c r="B12" s="4"/>
      <c r="C12" s="4"/>
      <c r="D12" s="9">
        <f>ASS!$I$14+USTAX</f>
        <v>0.39999999999999997</v>
      </c>
      <c r="E12" s="9">
        <f>ASS!$I$14+USTAX</f>
        <v>0.39999999999999997</v>
      </c>
      <c r="F12" s="9">
        <f>ASS!$I$14+USTAX</f>
        <v>0.39999999999999997</v>
      </c>
      <c r="G12" s="9">
        <f>ASS!$I$14+USTAX</f>
        <v>0.39999999999999997</v>
      </c>
      <c r="H12" s="9">
        <f>ASS!$I$14+USTAX</f>
        <v>0.39999999999999997</v>
      </c>
      <c r="I12" s="9">
        <f>ASS!$I$14+USTAX</f>
        <v>0.39999999999999997</v>
      </c>
      <c r="J12" s="9">
        <f>ASS!$I$14+USTAX</f>
        <v>0.39999999999999997</v>
      </c>
      <c r="K12" s="9">
        <f>ASS!$I$14+USTAX</f>
        <v>0.39999999999999997</v>
      </c>
      <c r="L12" s="9">
        <f>ASS!$I$14+USTAX</f>
        <v>0.39999999999999997</v>
      </c>
      <c r="M12" s="9">
        <f>ASS!$I$14+USTAX</f>
        <v>0.39999999999999997</v>
      </c>
      <c r="N12" s="16"/>
    </row>
    <row r="13" spans="1:14" x14ac:dyDescent="0.2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16"/>
    </row>
    <row r="14" spans="1:14" x14ac:dyDescent="0.2">
      <c r="A14" s="14" t="s">
        <v>217</v>
      </c>
      <c r="B14" s="15"/>
      <c r="C14" s="6"/>
      <c r="D14" s="187">
        <f>IF(D11&lt;0, 0, D11*D12)</f>
        <v>2625.4159999999997</v>
      </c>
      <c r="E14" s="187">
        <f>IF(E11&lt;0, 0, E11*E12)</f>
        <v>2084.6363199999996</v>
      </c>
      <c r="F14" s="187">
        <f>IF(F11&lt;0, 0, F11*F12)</f>
        <v>1752.9408063999997</v>
      </c>
      <c r="G14" s="187">
        <f t="shared" ref="G14:M14" si="1">IF(G11&lt;0, 0, G11*G12)</f>
        <v>1778.0133025279999</v>
      </c>
      <c r="H14" s="187">
        <f t="shared" si="1"/>
        <v>1801.7256485785597</v>
      </c>
      <c r="I14" s="187">
        <f t="shared" si="1"/>
        <v>1823.5576815501308</v>
      </c>
      <c r="J14" s="187">
        <f t="shared" si="1"/>
        <v>1843.7692351811338</v>
      </c>
      <c r="K14" s="187">
        <f t="shared" si="1"/>
        <v>1862.3601398847566</v>
      </c>
      <c r="L14" s="187">
        <f t="shared" si="1"/>
        <v>1865.0302226824517</v>
      </c>
      <c r="M14" s="187">
        <f t="shared" si="1"/>
        <v>1864.6233071361005</v>
      </c>
      <c r="N14" s="188">
        <f>SUM(D14:F14)</f>
        <v>6462.9931263999988</v>
      </c>
    </row>
  </sheetData>
  <printOptions horizontalCentered="1"/>
  <pageMargins left="0.5" right="1" top="0.75" bottom="0.75" header="0.5" footer="0.5"/>
  <pageSetup scale="50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Q44"/>
  <sheetViews>
    <sheetView topLeftCell="A8" zoomScale="75" workbookViewId="0">
      <selection activeCell="E15" sqref="E15"/>
    </sheetView>
  </sheetViews>
  <sheetFormatPr defaultRowHeight="12.75" x14ac:dyDescent="0.2"/>
  <cols>
    <col min="1" max="1" width="3.7109375" style="1" customWidth="1"/>
    <col min="2" max="2" width="25.140625" style="1" customWidth="1"/>
    <col min="3" max="16384" width="9.140625" style="1"/>
  </cols>
  <sheetData>
    <row r="1" spans="1:17" ht="15.75" x14ac:dyDescent="0.25">
      <c r="A1" s="179" t="s">
        <v>218</v>
      </c>
      <c r="B1" s="189"/>
      <c r="C1" s="190"/>
      <c r="D1"/>
    </row>
    <row r="2" spans="1:17" ht="16.5" thickBot="1" x14ac:dyDescent="0.3">
      <c r="A2" s="182">
        <f>ASS!A4</f>
        <v>0</v>
      </c>
      <c r="B2" s="191"/>
      <c r="C2" s="192"/>
      <c r="D2"/>
    </row>
    <row r="3" spans="1:17" ht="13.5" thickTop="1" x14ac:dyDescent="0.2">
      <c r="A3" s="19"/>
      <c r="B3" s="20"/>
      <c r="C3" s="237" t="s">
        <v>219</v>
      </c>
      <c r="D3" s="237" t="s">
        <v>220</v>
      </c>
      <c r="E3" s="238" t="s">
        <v>221</v>
      </c>
    </row>
    <row r="4" spans="1:17" ht="13.5" thickBot="1" x14ac:dyDescent="0.25">
      <c r="A4" s="21" t="s">
        <v>222</v>
      </c>
      <c r="B4" s="4"/>
      <c r="C4" s="27">
        <f>COST</f>
        <v>13000</v>
      </c>
      <c r="D4" s="27">
        <f t="shared" ref="D4:E6" si="0">C4</f>
        <v>13000</v>
      </c>
      <c r="E4" s="230">
        <f t="shared" si="0"/>
        <v>13000</v>
      </c>
    </row>
    <row r="5" spans="1:17" x14ac:dyDescent="0.2">
      <c r="A5" s="21" t="s">
        <v>372</v>
      </c>
      <c r="B5" s="4"/>
      <c r="C5" s="27">
        <f>-option</f>
        <v>-900</v>
      </c>
      <c r="D5" s="27">
        <f t="shared" si="0"/>
        <v>-900</v>
      </c>
      <c r="E5" s="27">
        <f t="shared" si="0"/>
        <v>-900</v>
      </c>
      <c r="F5" s="277" t="s">
        <v>321</v>
      </c>
      <c r="G5" s="278"/>
      <c r="H5" s="278"/>
      <c r="I5" s="278"/>
      <c r="J5" s="278"/>
      <c r="K5" s="278"/>
      <c r="L5" s="278"/>
      <c r="M5" s="278"/>
      <c r="N5" s="278"/>
      <c r="O5" s="386"/>
    </row>
    <row r="6" spans="1:17" ht="13.5" thickBot="1" x14ac:dyDescent="0.25">
      <c r="A6" s="21" t="s">
        <v>223</v>
      </c>
      <c r="B6" s="4"/>
      <c r="C6" s="29">
        <f>-WCAP</f>
        <v>0</v>
      </c>
      <c r="D6" s="29">
        <f t="shared" si="0"/>
        <v>0</v>
      </c>
      <c r="E6" s="134">
        <f t="shared" si="0"/>
        <v>0</v>
      </c>
      <c r="F6" s="279">
        <v>3.7499999999999999E-2</v>
      </c>
      <c r="G6" s="280">
        <v>7.2190000000000004E-2</v>
      </c>
      <c r="H6" s="280">
        <v>6.6669999999999993E-2</v>
      </c>
      <c r="I6" s="280">
        <v>6.1769999999999999E-2</v>
      </c>
      <c r="J6" s="280">
        <v>5.713E-2</v>
      </c>
      <c r="K6" s="280">
        <v>5.2850000000000001E-2</v>
      </c>
      <c r="L6" s="280">
        <v>4.888E-2</v>
      </c>
      <c r="M6" s="280">
        <v>4.5220000000000003E-2</v>
      </c>
      <c r="N6" s="280">
        <v>4.462E-2</v>
      </c>
      <c r="O6" s="387">
        <v>4.4609999999999997E-2</v>
      </c>
    </row>
    <row r="7" spans="1:17" ht="13.5" thickBot="1" x14ac:dyDescent="0.25">
      <c r="A7" s="22" t="s">
        <v>224</v>
      </c>
      <c r="B7" s="23"/>
      <c r="C7" s="231">
        <f>SUM(C4:C6)</f>
        <v>12100</v>
      </c>
      <c r="D7" s="231">
        <f>SUM(D4:D6)</f>
        <v>12100</v>
      </c>
      <c r="E7" s="231">
        <f>SUM(E4:E6)</f>
        <v>12100</v>
      </c>
      <c r="F7" s="402">
        <f>F11/12*F6</f>
        <v>3.7499999999999999E-2</v>
      </c>
      <c r="G7" s="403">
        <f>IF($F$11=12,G6,(12-$F$11)/12*F6+($F$11)/12*G6)</f>
        <v>7.2190000000000004E-2</v>
      </c>
      <c r="H7" s="403">
        <f>IF($F$11=12,H6,(12-$F$11)/12*G6+($F$11)/12*H6)</f>
        <v>6.6669999999999993E-2</v>
      </c>
      <c r="I7" s="403">
        <f t="shared" ref="I7:O7" si="1">IF($F$11=12,I6,(12-$F$11)/12*H6+($F$11)/12*I6)</f>
        <v>6.1769999999999999E-2</v>
      </c>
      <c r="J7" s="403">
        <f t="shared" si="1"/>
        <v>5.713E-2</v>
      </c>
      <c r="K7" s="403">
        <f t="shared" si="1"/>
        <v>5.2850000000000001E-2</v>
      </c>
      <c r="L7" s="403">
        <f t="shared" si="1"/>
        <v>4.888E-2</v>
      </c>
      <c r="M7" s="403">
        <f t="shared" si="1"/>
        <v>4.5220000000000003E-2</v>
      </c>
      <c r="N7" s="403">
        <f t="shared" si="1"/>
        <v>4.462E-2</v>
      </c>
      <c r="O7" s="404">
        <f t="shared" si="1"/>
        <v>4.4609999999999997E-2</v>
      </c>
    </row>
    <row r="8" spans="1:17" ht="13.5" thickTop="1" x14ac:dyDescent="0.2">
      <c r="F8" s="267"/>
      <c r="G8" s="267"/>
      <c r="H8" s="267"/>
      <c r="I8" s="267"/>
      <c r="J8" s="267"/>
      <c r="K8" s="267"/>
      <c r="L8" s="267"/>
      <c r="M8" s="267"/>
      <c r="N8" s="267"/>
      <c r="O8" s="267"/>
    </row>
    <row r="9" spans="1:17" x14ac:dyDescent="0.2">
      <c r="A9" s="11" t="s">
        <v>115</v>
      </c>
      <c r="B9" s="2"/>
      <c r="C9" s="2"/>
      <c r="D9" s="2"/>
      <c r="E9" s="2"/>
      <c r="F9" s="2">
        <v>1</v>
      </c>
      <c r="G9" s="2">
        <f>F9+1</f>
        <v>2</v>
      </c>
      <c r="H9" s="2">
        <f>G9+1</f>
        <v>3</v>
      </c>
      <c r="I9" s="2">
        <f t="shared" ref="I9:O9" si="2">H9+1</f>
        <v>4</v>
      </c>
      <c r="J9" s="2">
        <f t="shared" si="2"/>
        <v>5</v>
      </c>
      <c r="K9" s="2">
        <f t="shared" si="2"/>
        <v>6</v>
      </c>
      <c r="L9" s="2">
        <f t="shared" si="2"/>
        <v>7</v>
      </c>
      <c r="M9" s="2">
        <f t="shared" si="2"/>
        <v>8</v>
      </c>
      <c r="N9" s="2">
        <f t="shared" si="2"/>
        <v>9</v>
      </c>
      <c r="O9" s="2">
        <f t="shared" si="2"/>
        <v>10</v>
      </c>
      <c r="P9" s="17"/>
    </row>
    <row r="10" spans="1:17" x14ac:dyDescent="0.2">
      <c r="A10" s="193" t="s">
        <v>116</v>
      </c>
      <c r="B10" s="4"/>
      <c r="C10" s="4"/>
      <c r="D10" s="4"/>
      <c r="E10" s="4"/>
      <c r="F10" s="13">
        <f>CF!D4</f>
        <v>2001</v>
      </c>
      <c r="G10" s="13">
        <f>CF!E4</f>
        <v>2002</v>
      </c>
      <c r="H10" s="13">
        <f>CF!F4</f>
        <v>2003</v>
      </c>
      <c r="I10" s="13">
        <f>CF!G4</f>
        <v>2004</v>
      </c>
      <c r="J10" s="13">
        <f>CF!H4</f>
        <v>2005</v>
      </c>
      <c r="K10" s="13">
        <f>CF!I4</f>
        <v>2006</v>
      </c>
      <c r="L10" s="13">
        <f>CF!J4</f>
        <v>2007</v>
      </c>
      <c r="M10" s="13">
        <f>CF!K4</f>
        <v>2008</v>
      </c>
      <c r="N10" s="13">
        <f>CF!L4</f>
        <v>2009</v>
      </c>
      <c r="O10" s="13">
        <f>CF!M4</f>
        <v>2010</v>
      </c>
      <c r="P10" s="18" t="s">
        <v>194</v>
      </c>
    </row>
    <row r="11" spans="1:17" x14ac:dyDescent="0.2">
      <c r="A11" s="5" t="s">
        <v>118</v>
      </c>
      <c r="B11" s="6"/>
      <c r="C11" s="6"/>
      <c r="D11" s="6"/>
      <c r="E11" s="6"/>
      <c r="F11" s="6">
        <f>CF!D5</f>
        <v>12</v>
      </c>
      <c r="G11" s="6">
        <f>CF!E5</f>
        <v>12</v>
      </c>
      <c r="H11" s="6">
        <f>CF!F5</f>
        <v>12</v>
      </c>
      <c r="I11" s="6">
        <f>CF!G5</f>
        <v>12</v>
      </c>
      <c r="J11" s="6">
        <f>CF!H5</f>
        <v>12</v>
      </c>
      <c r="K11" s="6">
        <f>CF!I5</f>
        <v>12</v>
      </c>
      <c r="L11" s="6">
        <f>CF!J5</f>
        <v>12</v>
      </c>
      <c r="M11" s="6">
        <f>CF!K5</f>
        <v>12</v>
      </c>
      <c r="N11" s="6">
        <f>CF!L5</f>
        <v>12</v>
      </c>
      <c r="O11" s="6">
        <f>CF!M5</f>
        <v>12</v>
      </c>
      <c r="P11" s="186"/>
    </row>
    <row r="12" spans="1:17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">
      <c r="A13" s="7" t="s">
        <v>225</v>
      </c>
      <c r="B13" s="10"/>
      <c r="C13" s="10"/>
      <c r="D13" s="10"/>
      <c r="E13" s="24" t="s">
        <v>226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17"/>
      <c r="Q13" s="4"/>
    </row>
    <row r="14" spans="1:17" x14ac:dyDescent="0.2">
      <c r="A14" s="3" t="s">
        <v>227</v>
      </c>
      <c r="B14" s="4"/>
      <c r="C14" s="4"/>
      <c r="D14" s="4"/>
      <c r="E14" s="18" t="s">
        <v>228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16"/>
      <c r="Q14" s="4"/>
    </row>
    <row r="15" spans="1:17" x14ac:dyDescent="0.2">
      <c r="A15" s="3"/>
      <c r="B15" s="4" t="s">
        <v>339</v>
      </c>
      <c r="C15" s="4"/>
      <c r="D15" s="4"/>
      <c r="E15" s="28">
        <f>ASS!I19</f>
        <v>13000</v>
      </c>
      <c r="F15" s="297">
        <f>$E$15*F7</f>
        <v>487.5</v>
      </c>
      <c r="G15" s="382">
        <f>$E$15*G7</f>
        <v>938.47</v>
      </c>
      <c r="H15" s="32">
        <f>$E$15*H7</f>
        <v>866.70999999999992</v>
      </c>
      <c r="I15" s="32">
        <f t="shared" ref="I15:O15" si="3">$E$15*I7</f>
        <v>803.01</v>
      </c>
      <c r="J15" s="32">
        <f t="shared" si="3"/>
        <v>742.69</v>
      </c>
      <c r="K15" s="32">
        <f t="shared" si="3"/>
        <v>687.05000000000007</v>
      </c>
      <c r="L15" s="32">
        <f t="shared" si="3"/>
        <v>635.44000000000005</v>
      </c>
      <c r="M15" s="32">
        <f t="shared" si="3"/>
        <v>587.86</v>
      </c>
      <c r="N15" s="32">
        <f t="shared" si="3"/>
        <v>580.05999999999995</v>
      </c>
      <c r="O15" s="32">
        <f t="shared" si="3"/>
        <v>579.92999999999995</v>
      </c>
      <c r="P15" s="28">
        <f>SUM(F15:H15)</f>
        <v>2292.6799999999998</v>
      </c>
      <c r="Q15" s="4"/>
    </row>
    <row r="16" spans="1:17" x14ac:dyDescent="0.2">
      <c r="A16" s="3"/>
      <c r="B16" s="4" t="s">
        <v>229</v>
      </c>
      <c r="C16" s="4" t="s">
        <v>5</v>
      </c>
      <c r="D16" s="4"/>
      <c r="E16" s="28">
        <f>SUM(E15:E15)</f>
        <v>13000</v>
      </c>
      <c r="F16" s="27">
        <f>SUM(F15:F15)</f>
        <v>487.5</v>
      </c>
      <c r="G16" s="27">
        <f>SUM(G15:G15)</f>
        <v>938.47</v>
      </c>
      <c r="H16" s="27">
        <f>SUM(H15:H15)</f>
        <v>866.70999999999992</v>
      </c>
      <c r="I16" s="27">
        <f t="shared" ref="I16:O16" si="4">SUM(I15:I15)</f>
        <v>803.01</v>
      </c>
      <c r="J16" s="27">
        <f t="shared" si="4"/>
        <v>742.69</v>
      </c>
      <c r="K16" s="27">
        <f t="shared" si="4"/>
        <v>687.05000000000007</v>
      </c>
      <c r="L16" s="27">
        <f t="shared" si="4"/>
        <v>635.44000000000005</v>
      </c>
      <c r="M16" s="27">
        <f t="shared" si="4"/>
        <v>587.86</v>
      </c>
      <c r="N16" s="27">
        <f t="shared" si="4"/>
        <v>580.05999999999995</v>
      </c>
      <c r="O16" s="27">
        <f t="shared" si="4"/>
        <v>579.92999999999995</v>
      </c>
      <c r="P16" s="28">
        <f>SUM(F16:H16)</f>
        <v>2292.6799999999998</v>
      </c>
      <c r="Q16" s="4"/>
    </row>
    <row r="17" spans="1:17" x14ac:dyDescent="0.2">
      <c r="A17" s="3"/>
      <c r="B17" s="240" t="s">
        <v>230</v>
      </c>
      <c r="C17" s="4" t="s">
        <v>5</v>
      </c>
      <c r="D17" s="4"/>
      <c r="E17" s="28"/>
      <c r="F17" s="241">
        <f>F16</f>
        <v>487.5</v>
      </c>
      <c r="G17" s="241">
        <f>F17+G16</f>
        <v>1425.97</v>
      </c>
      <c r="H17" s="241">
        <f>G17+H16</f>
        <v>2292.6799999999998</v>
      </c>
      <c r="I17" s="241">
        <f t="shared" ref="I17:O17" si="5">H17+I16</f>
        <v>3095.6899999999996</v>
      </c>
      <c r="J17" s="241">
        <f t="shared" si="5"/>
        <v>3838.3799999999997</v>
      </c>
      <c r="K17" s="241">
        <f t="shared" si="5"/>
        <v>4525.4299999999994</v>
      </c>
      <c r="L17" s="241">
        <f t="shared" si="5"/>
        <v>5160.869999999999</v>
      </c>
      <c r="M17" s="241">
        <f t="shared" si="5"/>
        <v>5748.7299999999987</v>
      </c>
      <c r="N17" s="241">
        <f t="shared" si="5"/>
        <v>6328.7899999999991</v>
      </c>
      <c r="O17" s="241">
        <f t="shared" si="5"/>
        <v>6908.7199999999993</v>
      </c>
      <c r="P17" s="28">
        <f>SUM(F17:H17)</f>
        <v>4206.1499999999996</v>
      </c>
      <c r="Q17" s="4"/>
    </row>
    <row r="18" spans="1:17" x14ac:dyDescent="0.2">
      <c r="A18" s="3"/>
      <c r="B18" s="4"/>
      <c r="C18" s="4" t="s">
        <v>5</v>
      </c>
      <c r="D18" s="4"/>
      <c r="E18" s="28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8"/>
      <c r="Q18" s="4"/>
    </row>
    <row r="19" spans="1:17" x14ac:dyDescent="0.2">
      <c r="A19" s="3"/>
      <c r="B19" s="4" t="s">
        <v>231</v>
      </c>
      <c r="C19" s="194"/>
      <c r="D19" s="4"/>
      <c r="E19" s="28"/>
      <c r="F19" s="27">
        <v>0</v>
      </c>
      <c r="G19" s="27">
        <f>F22</f>
        <v>12512.5</v>
      </c>
      <c r="H19" s="27">
        <f>G22</f>
        <v>11574.03</v>
      </c>
      <c r="I19" s="27">
        <f t="shared" ref="I19:O19" si="6">H22</f>
        <v>10707.320000000002</v>
      </c>
      <c r="J19" s="27">
        <f t="shared" si="6"/>
        <v>9904.3100000000013</v>
      </c>
      <c r="K19" s="27">
        <f t="shared" si="6"/>
        <v>9161.6200000000008</v>
      </c>
      <c r="L19" s="27">
        <f t="shared" si="6"/>
        <v>8474.5700000000015</v>
      </c>
      <c r="M19" s="27">
        <f t="shared" si="6"/>
        <v>7839.130000000001</v>
      </c>
      <c r="N19" s="27">
        <f t="shared" si="6"/>
        <v>7251.2700000000013</v>
      </c>
      <c r="O19" s="27">
        <f t="shared" si="6"/>
        <v>6671.2100000000009</v>
      </c>
      <c r="P19" s="28">
        <f>SUM(F19:O19)</f>
        <v>84095.960000000021</v>
      </c>
      <c r="Q19" s="4"/>
    </row>
    <row r="20" spans="1:17" x14ac:dyDescent="0.2">
      <c r="A20" s="3"/>
      <c r="B20" s="4" t="s">
        <v>232</v>
      </c>
      <c r="C20" s="4"/>
      <c r="D20" s="4"/>
      <c r="E20" s="28"/>
      <c r="F20" s="27">
        <f>E16</f>
        <v>13000</v>
      </c>
      <c r="G20" s="27">
        <f>ASS!V26</f>
        <v>0</v>
      </c>
      <c r="H20" s="27">
        <f>ASS!W26</f>
        <v>0</v>
      </c>
      <c r="I20" s="27">
        <f>ASS!X26</f>
        <v>0</v>
      </c>
      <c r="J20" s="27">
        <f>ASS!Y33</f>
        <v>0</v>
      </c>
      <c r="K20" s="27">
        <f>ASS!Z33</f>
        <v>0</v>
      </c>
      <c r="L20" s="27">
        <f>ASS!AA33</f>
        <v>0</v>
      </c>
      <c r="M20" s="27">
        <f>ASS!AB33</f>
        <v>0</v>
      </c>
      <c r="N20" s="27">
        <f>ASS!AC33</f>
        <v>0</v>
      </c>
      <c r="O20" s="27">
        <f>ASS!AD33</f>
        <v>0</v>
      </c>
      <c r="P20" s="28">
        <f>SUM(F20:O20)</f>
        <v>13000</v>
      </c>
      <c r="Q20" s="4"/>
    </row>
    <row r="21" spans="1:17" x14ac:dyDescent="0.2">
      <c r="A21" s="3"/>
      <c r="B21" s="4" t="s">
        <v>233</v>
      </c>
      <c r="C21" s="4"/>
      <c r="D21" s="4"/>
      <c r="E21" s="28"/>
      <c r="F21" s="29">
        <f>-F16</f>
        <v>-487.5</v>
      </c>
      <c r="G21" s="29">
        <f>-G15</f>
        <v>-938.47</v>
      </c>
      <c r="H21" s="29">
        <f>-H15</f>
        <v>-866.70999999999992</v>
      </c>
      <c r="I21" s="29">
        <f t="shared" ref="I21:O21" si="7">-I15</f>
        <v>-803.01</v>
      </c>
      <c r="J21" s="29">
        <f t="shared" si="7"/>
        <v>-742.69</v>
      </c>
      <c r="K21" s="29">
        <f t="shared" si="7"/>
        <v>-687.05000000000007</v>
      </c>
      <c r="L21" s="29">
        <f t="shared" si="7"/>
        <v>-635.44000000000005</v>
      </c>
      <c r="M21" s="29">
        <f t="shared" si="7"/>
        <v>-587.86</v>
      </c>
      <c r="N21" s="29">
        <f t="shared" si="7"/>
        <v>-580.05999999999995</v>
      </c>
      <c r="O21" s="29">
        <f t="shared" si="7"/>
        <v>-579.92999999999995</v>
      </c>
      <c r="P21" s="28">
        <f>SUM(F21:O21)</f>
        <v>-6908.7199999999993</v>
      </c>
      <c r="Q21" s="4"/>
    </row>
    <row r="22" spans="1:17" x14ac:dyDescent="0.2">
      <c r="A22" s="5"/>
      <c r="B22" s="6" t="s">
        <v>234</v>
      </c>
      <c r="C22" s="6" t="s">
        <v>5</v>
      </c>
      <c r="D22" s="6"/>
      <c r="E22" s="33"/>
      <c r="F22" s="32">
        <f>SUM(F19:F21)</f>
        <v>12512.5</v>
      </c>
      <c r="G22" s="32">
        <f>SUM(G19:G21)</f>
        <v>11574.03</v>
      </c>
      <c r="H22" s="32">
        <f>SUM(H19:H21)</f>
        <v>10707.320000000002</v>
      </c>
      <c r="I22" s="32">
        <f t="shared" ref="I22:O22" si="8">SUM(I19:I21)</f>
        <v>9904.3100000000013</v>
      </c>
      <c r="J22" s="32">
        <f t="shared" si="8"/>
        <v>9161.6200000000008</v>
      </c>
      <c r="K22" s="32">
        <f t="shared" si="8"/>
        <v>8474.5700000000015</v>
      </c>
      <c r="L22" s="32">
        <f t="shared" si="8"/>
        <v>7839.130000000001</v>
      </c>
      <c r="M22" s="32">
        <f t="shared" si="8"/>
        <v>7251.2700000000013</v>
      </c>
      <c r="N22" s="32">
        <f t="shared" si="8"/>
        <v>6671.2100000000009</v>
      </c>
      <c r="O22" s="32">
        <f t="shared" si="8"/>
        <v>6091.2800000000007</v>
      </c>
      <c r="P22" s="33">
        <f>SUM(F22:O22)</f>
        <v>90187.24000000002</v>
      </c>
      <c r="Q22" s="4"/>
    </row>
    <row r="23" spans="1:17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">
      <c r="A24" s="7" t="s">
        <v>235</v>
      </c>
      <c r="B24" s="10"/>
      <c r="C24" s="10"/>
      <c r="D24" s="2"/>
      <c r="E24" s="17"/>
      <c r="F24" s="2"/>
      <c r="G24" s="2"/>
      <c r="H24" s="2"/>
      <c r="I24" s="2"/>
      <c r="J24" s="2"/>
      <c r="K24" s="2"/>
      <c r="L24" s="2"/>
      <c r="M24" s="2"/>
      <c r="N24" s="2"/>
      <c r="O24" s="2"/>
      <c r="P24" s="17"/>
      <c r="Q24" s="4"/>
    </row>
    <row r="25" spans="1:17" x14ac:dyDescent="0.2">
      <c r="A25" s="3" t="s">
        <v>236</v>
      </c>
      <c r="B25" s="4"/>
      <c r="C25" s="4"/>
      <c r="D25" s="4"/>
      <c r="E25" s="16"/>
      <c r="F25" s="4"/>
      <c r="G25" s="4"/>
      <c r="H25" s="4"/>
      <c r="I25" s="4"/>
      <c r="J25" s="4"/>
      <c r="K25" s="4"/>
      <c r="L25" s="4"/>
      <c r="M25" s="4"/>
      <c r="N25" s="4"/>
      <c r="O25" s="4"/>
      <c r="P25" s="16"/>
      <c r="Q25" s="4"/>
    </row>
    <row r="26" spans="1:17" x14ac:dyDescent="0.2">
      <c r="A26" s="3"/>
      <c r="B26" s="4" t="s">
        <v>339</v>
      </c>
      <c r="C26" s="4"/>
      <c r="D26" s="4"/>
      <c r="E26" s="28">
        <f>ASS!$I21</f>
        <v>13000</v>
      </c>
      <c r="F26" s="239">
        <f>IF(ASS!$J$21=0, 0,  IF(F9&lt;ASS!$J$21+1, SLN(ASS!$I$21,0,ASS!$J$21)*F11/12, IF(F9=ASS!$J$21+1, SLN(ASS!$I$21,0,ASS!$J$21)*(12-F11)/12, 0)))</f>
        <v>456.14035087719299</v>
      </c>
      <c r="G26" s="27">
        <f>IF(ASS!$J$21=0, 0, IF(G9=ASS!$J$21,$E$26-SUM($F$26:F26),IF(G9&gt;TERM,0,IF(G9&lt;ASS!$J$21+1, SLN(ASS!$I$21,0,ASS!$J$21)*G11/12, IF(G9=ASS!$J$21+1, SLN(ASS!$I$21,0,ASS!$J$21)*(12-G11)/12, 0)))))</f>
        <v>456.14035087719299</v>
      </c>
      <c r="H26" s="27">
        <f>IF(ASS!$J$21=0, 0, IF(H9=ASS!$J$21,$E$26-SUM($F$26:G26),IF(H9&gt;TERM,0,IF(H9&lt;ASS!$J$21+1, SLN(ASS!$I$21,0,ASS!$J$21)*H11/12, IF(H9=ASS!$J$21+1, SLN(ASS!$I$21,0,ASS!$J$21)*(12-H11)/12, 0)))))</f>
        <v>456.14035087719299</v>
      </c>
      <c r="I26" s="27">
        <f>IF(ASS!$J$21=0, 0, IF(I9=ASS!$J$21,$E$26-SUM($F$26:H26),IF(I9&gt;TERM,0,IF(I9&lt;ASS!$J$21+1, SLN(ASS!$I$21,0,ASS!$J$21)*I11/12, IF(I9=ASS!$J$21+1, SLN(ASS!$I$21,0,ASS!$J$21)*(12-I11)/12, 0)))))</f>
        <v>456.14035087719299</v>
      </c>
      <c r="J26" s="27">
        <f>IF(ASS!$J$21=0, 0, IF(J9=ASS!$J$21,$E$26-SUM($F$26:I26),IF(J9&gt;TERM,0,IF(J9&lt;ASS!$J$21+1, SLN(ASS!$I$21,0,ASS!$J$21)*J11/12, IF(J9=ASS!$J$21+1, SLN(ASS!$I$21,0,ASS!$J$21)*(12-J11)/12, 0)))))</f>
        <v>456.14035087719299</v>
      </c>
      <c r="K26" s="27">
        <f>IF(ASS!$J$21=0, 0, IF(K9=ASS!$J$21,$E$26-SUM($F$26:J26),IF(K9&gt;TERM,0,IF(K9&lt;ASS!$J$21+1, SLN(ASS!$I$21,0,ASS!$J$21)*K11/12, IF(K9=ASS!$J$21+1, SLN(ASS!$I$21,0,ASS!$J$21)*(12-K11)/12, 0)))))</f>
        <v>456.14035087719299</v>
      </c>
      <c r="L26" s="27">
        <f>IF(ASS!$J$21=0, 0, IF(L9=ASS!$J$21,$E$26-SUM($F$26:K26),IF(L9&gt;TERM,0,IF(L9&lt;ASS!$J$21+1, SLN(ASS!$I$21,0,ASS!$J$21)*L11/12, IF(L9=ASS!$J$21+1, SLN(ASS!$I$21,0,ASS!$J$21)*(12-L11)/12, 0)))))</f>
        <v>456.14035087719299</v>
      </c>
      <c r="M26" s="27">
        <f>IF(ASS!$J$21=0, 0, IF(M9=ASS!$J$21,$E$26-SUM($F$26:L26),IF(M9&gt;TERM,0,IF(M9&lt;ASS!$J$21+1, SLN(ASS!$I$21,0,ASS!$J$21)*M11/12, IF(M9=ASS!$J$21+1, SLN(ASS!$I$21,0,ASS!$J$21)*(12-M11)/12, 0)))))</f>
        <v>456.14035087719299</v>
      </c>
      <c r="N26" s="27">
        <f>IF(ASS!$J$21=0, 0, IF(N9=ASS!$J$21,$E$26-SUM($F$26:M26),IF(N9&gt;TERM,0,IF(N9&lt;ASS!$J$21+1, SLN(ASS!$I$21,0,ASS!$J$21)*N11/12, IF(N9=ASS!$J$21+1, SLN(ASS!$I$21,0,ASS!$J$21)*(12-N11)/12, 0)))))</f>
        <v>456.14035087719299</v>
      </c>
      <c r="O26" s="27">
        <f>IF(ASS!$J$21=0, 0, IF(O9=ASS!$J$21,$E$26-SUM($F$26:N26),IF(O9&gt;TERM,0,IF(O9&lt;ASS!$J$21+1, SLN(ASS!$I$21,0,ASS!$J$21)*O11/12, IF(O9=ASS!$J$21+1, SLN(ASS!$I$21,0,ASS!$J$21)*(12-O11)/12, 0)))))</f>
        <v>456.14035087719299</v>
      </c>
      <c r="P26" s="28">
        <f>SUM(F26:O26)</f>
        <v>4561.4035087719285</v>
      </c>
      <c r="Q26" s="4"/>
    </row>
    <row r="27" spans="1:17" x14ac:dyDescent="0.2">
      <c r="A27" s="3"/>
      <c r="B27" s="4" t="s">
        <v>237</v>
      </c>
      <c r="C27" s="194"/>
      <c r="D27" s="4"/>
      <c r="E27" s="28">
        <f>SUM(E26:E26)</f>
        <v>13000</v>
      </c>
      <c r="F27" s="27">
        <f>SUM(F26:F26)</f>
        <v>456.14035087719299</v>
      </c>
      <c r="G27" s="27">
        <f t="shared" ref="G27:O27" si="9">G26</f>
        <v>456.14035087719299</v>
      </c>
      <c r="H27" s="27">
        <f t="shared" si="9"/>
        <v>456.14035087719299</v>
      </c>
      <c r="I27" s="27">
        <f t="shared" si="9"/>
        <v>456.14035087719299</v>
      </c>
      <c r="J27" s="27">
        <f t="shared" si="9"/>
        <v>456.14035087719299</v>
      </c>
      <c r="K27" s="27">
        <f t="shared" si="9"/>
        <v>456.14035087719299</v>
      </c>
      <c r="L27" s="27">
        <f t="shared" si="9"/>
        <v>456.14035087719299</v>
      </c>
      <c r="M27" s="27">
        <f t="shared" si="9"/>
        <v>456.14035087719299</v>
      </c>
      <c r="N27" s="27">
        <f t="shared" si="9"/>
        <v>456.14035087719299</v>
      </c>
      <c r="O27" s="27">
        <f t="shared" si="9"/>
        <v>456.14035087719299</v>
      </c>
      <c r="P27" s="28">
        <f>SUM(F27:O27)</f>
        <v>4561.4035087719285</v>
      </c>
      <c r="Q27" s="4"/>
    </row>
    <row r="28" spans="1:17" x14ac:dyDescent="0.2">
      <c r="A28" s="3"/>
      <c r="B28" s="242" t="s">
        <v>238</v>
      </c>
      <c r="C28" s="243"/>
      <c r="D28" s="242"/>
      <c r="E28" s="244"/>
      <c r="F28" s="245">
        <f>F27</f>
        <v>456.14035087719299</v>
      </c>
      <c r="G28" s="245">
        <f t="shared" ref="G28:O28" si="10">F28+G27</f>
        <v>912.28070175438597</v>
      </c>
      <c r="H28" s="245">
        <f t="shared" si="10"/>
        <v>1368.421052631579</v>
      </c>
      <c r="I28" s="245">
        <f t="shared" si="10"/>
        <v>1824.5614035087719</v>
      </c>
      <c r="J28" s="245">
        <f t="shared" si="10"/>
        <v>2280.7017543859647</v>
      </c>
      <c r="K28" s="245">
        <f t="shared" si="10"/>
        <v>2736.8421052631575</v>
      </c>
      <c r="L28" s="245">
        <f t="shared" si="10"/>
        <v>3192.9824561403502</v>
      </c>
      <c r="M28" s="245">
        <f t="shared" si="10"/>
        <v>3649.122807017543</v>
      </c>
      <c r="N28" s="245">
        <f t="shared" si="10"/>
        <v>4105.2631578947357</v>
      </c>
      <c r="O28" s="245">
        <f t="shared" si="10"/>
        <v>4561.4035087719285</v>
      </c>
      <c r="P28" s="28">
        <f>SUM(F28:O28)</f>
        <v>25087.719298245607</v>
      </c>
      <c r="Q28" s="4"/>
    </row>
    <row r="29" spans="1:17" x14ac:dyDescent="0.2">
      <c r="A29" s="3"/>
      <c r="B29" s="4"/>
      <c r="C29" s="194"/>
      <c r="D29" s="4"/>
      <c r="E29" s="28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4"/>
    </row>
    <row r="30" spans="1:17" x14ac:dyDescent="0.2">
      <c r="A30" s="3"/>
      <c r="B30" s="4" t="s">
        <v>239</v>
      </c>
      <c r="C30" s="194"/>
      <c r="D30" s="4"/>
      <c r="E30" s="28"/>
      <c r="F30" s="27">
        <v>0</v>
      </c>
      <c r="G30" s="27">
        <f>F33</f>
        <v>12543.859649122807</v>
      </c>
      <c r="H30" s="27">
        <f>G33</f>
        <v>12087.719298245614</v>
      </c>
      <c r="I30" s="27">
        <f t="shared" ref="I30:O30" si="11">H33</f>
        <v>11631.578947368422</v>
      </c>
      <c r="J30" s="27">
        <f t="shared" si="11"/>
        <v>11175.438596491229</v>
      </c>
      <c r="K30" s="27">
        <f t="shared" si="11"/>
        <v>10719.298245614036</v>
      </c>
      <c r="L30" s="27">
        <f t="shared" si="11"/>
        <v>10263.157894736843</v>
      </c>
      <c r="M30" s="27">
        <f t="shared" si="11"/>
        <v>9807.0175438596507</v>
      </c>
      <c r="N30" s="27">
        <f t="shared" si="11"/>
        <v>9350.8771929824579</v>
      </c>
      <c r="O30" s="27">
        <f t="shared" si="11"/>
        <v>8894.7368421052652</v>
      </c>
      <c r="P30" s="28">
        <f>SUM(F30:O30)</f>
        <v>96473.68421052632</v>
      </c>
      <c r="Q30" s="4"/>
    </row>
    <row r="31" spans="1:17" x14ac:dyDescent="0.2">
      <c r="A31" s="3"/>
      <c r="B31" s="4" t="s">
        <v>232</v>
      </c>
      <c r="C31" s="4"/>
      <c r="D31" s="4"/>
      <c r="E31" s="28"/>
      <c r="F31" s="27">
        <f>E27</f>
        <v>13000</v>
      </c>
      <c r="G31" s="27">
        <f>ASS!V26</f>
        <v>0</v>
      </c>
      <c r="H31" s="27">
        <f>ASS!W26</f>
        <v>0</v>
      </c>
      <c r="I31" s="27">
        <f>ASS!X26</f>
        <v>0</v>
      </c>
      <c r="J31" s="27">
        <f>ASS!Y33</f>
        <v>0</v>
      </c>
      <c r="K31" s="27">
        <f>ASS!Z33</f>
        <v>0</v>
      </c>
      <c r="L31" s="27">
        <f>ASS!AA33</f>
        <v>0</v>
      </c>
      <c r="M31" s="27">
        <f>ASS!AB33</f>
        <v>0</v>
      </c>
      <c r="N31" s="27">
        <f>ASS!AC33</f>
        <v>0</v>
      </c>
      <c r="O31" s="27">
        <f>ASS!AD33</f>
        <v>0</v>
      </c>
      <c r="P31" s="28">
        <f>SUM(F31:O31)</f>
        <v>13000</v>
      </c>
      <c r="Q31" s="4"/>
    </row>
    <row r="32" spans="1:17" x14ac:dyDescent="0.2">
      <c r="A32" s="3"/>
      <c r="B32" s="4" t="s">
        <v>233</v>
      </c>
      <c r="C32" s="4"/>
      <c r="D32" s="4"/>
      <c r="E32" s="28"/>
      <c r="F32" s="29">
        <f>-F27</f>
        <v>-456.14035087719299</v>
      </c>
      <c r="G32" s="29">
        <f>-G27</f>
        <v>-456.14035087719299</v>
      </c>
      <c r="H32" s="29">
        <f>-H27</f>
        <v>-456.14035087719299</v>
      </c>
      <c r="I32" s="29">
        <f t="shared" ref="I32:O32" si="12">-I27</f>
        <v>-456.14035087719299</v>
      </c>
      <c r="J32" s="29">
        <f t="shared" si="12"/>
        <v>-456.14035087719299</v>
      </c>
      <c r="K32" s="29">
        <f t="shared" si="12"/>
        <v>-456.14035087719299</v>
      </c>
      <c r="L32" s="29">
        <f t="shared" si="12"/>
        <v>-456.14035087719299</v>
      </c>
      <c r="M32" s="29">
        <f t="shared" si="12"/>
        <v>-456.14035087719299</v>
      </c>
      <c r="N32" s="29">
        <f t="shared" si="12"/>
        <v>-456.14035087719299</v>
      </c>
      <c r="O32" s="29">
        <f t="shared" si="12"/>
        <v>-456.14035087719299</v>
      </c>
      <c r="P32" s="28">
        <f>SUM(F32:O32)</f>
        <v>-4561.4035087719285</v>
      </c>
      <c r="Q32" s="4"/>
    </row>
    <row r="33" spans="1:17" x14ac:dyDescent="0.2">
      <c r="A33" s="5"/>
      <c r="B33" s="6" t="s">
        <v>240</v>
      </c>
      <c r="C33" s="6" t="s">
        <v>5</v>
      </c>
      <c r="D33" s="6"/>
      <c r="E33" s="33"/>
      <c r="F33" s="32">
        <f>SUM(F30:F32)</f>
        <v>12543.859649122807</v>
      </c>
      <c r="G33" s="32">
        <f>SUM(G30:G32)</f>
        <v>12087.719298245614</v>
      </c>
      <c r="H33" s="32">
        <f>SUM(H30:H32)</f>
        <v>11631.578947368422</v>
      </c>
      <c r="I33" s="32">
        <f t="shared" ref="I33:O33" si="13">SUM(I30:I32)</f>
        <v>11175.438596491229</v>
      </c>
      <c r="J33" s="32">
        <f t="shared" si="13"/>
        <v>10719.298245614036</v>
      </c>
      <c r="K33" s="32">
        <f t="shared" si="13"/>
        <v>10263.157894736843</v>
      </c>
      <c r="L33" s="32">
        <f t="shared" si="13"/>
        <v>9807.0175438596507</v>
      </c>
      <c r="M33" s="32">
        <f t="shared" si="13"/>
        <v>9350.8771929824579</v>
      </c>
      <c r="N33" s="32">
        <f t="shared" si="13"/>
        <v>8894.7368421052652</v>
      </c>
      <c r="O33" s="32">
        <f t="shared" si="13"/>
        <v>8438.5964912280724</v>
      </c>
      <c r="P33" s="33">
        <f>SUM(F33:O33)</f>
        <v>104912.2807017544</v>
      </c>
      <c r="Q33" s="4"/>
    </row>
    <row r="34" spans="1:17" x14ac:dyDescent="0.2">
      <c r="A34" s="194"/>
      <c r="B34" s="194"/>
      <c r="C34" s="194"/>
      <c r="D34" s="194"/>
      <c r="E34" s="194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P34" s="194"/>
      <c r="Q34" s="194"/>
    </row>
    <row r="35" spans="1:17" x14ac:dyDescent="0.2">
      <c r="A35" s="7" t="s">
        <v>241</v>
      </c>
      <c r="B35" s="10"/>
      <c r="C35" s="10"/>
      <c r="D35" s="2"/>
      <c r="E35" s="17"/>
      <c r="F35" s="2"/>
      <c r="G35" s="2"/>
      <c r="H35" s="2"/>
      <c r="I35" s="2"/>
      <c r="J35" s="2"/>
      <c r="K35" s="2"/>
      <c r="L35" s="2"/>
      <c r="M35" s="2"/>
      <c r="N35" s="2"/>
      <c r="O35" s="2"/>
      <c r="P35" s="17"/>
      <c r="Q35" s="194"/>
    </row>
    <row r="36" spans="1:17" x14ac:dyDescent="0.2">
      <c r="A36" s="3" t="s">
        <v>236</v>
      </c>
      <c r="B36" s="4"/>
      <c r="C36" s="4"/>
      <c r="D36" s="4"/>
      <c r="E36" s="16"/>
      <c r="F36" s="4"/>
      <c r="G36" s="4"/>
      <c r="H36" s="4"/>
      <c r="I36" s="4"/>
      <c r="J36" s="4"/>
      <c r="K36" s="4"/>
      <c r="L36" s="4"/>
      <c r="M36" s="4"/>
      <c r="N36" s="4"/>
      <c r="O36" s="4"/>
      <c r="P36" s="16"/>
      <c r="Q36" s="194"/>
    </row>
    <row r="37" spans="1:17" x14ac:dyDescent="0.2">
      <c r="A37" s="3"/>
      <c r="B37" s="4" t="s">
        <v>339</v>
      </c>
      <c r="C37" s="4"/>
      <c r="D37" s="4"/>
      <c r="E37" s="28">
        <f>ASS!I23</f>
        <v>13000</v>
      </c>
      <c r="F37" s="239">
        <f>IF(ASS!$J$23=0, 0,  IF(F9&lt;ASS!$J$23, SLN(ASS!$I$23,0,ASS!$J$23)*F11/12, IF(F9=ASS!$J$23, SLN(ASS!$I$23,0,ASS!$J$23)*(12-F11)/12, 0)))</f>
        <v>456.14035087719299</v>
      </c>
      <c r="G37" s="27">
        <f>IF(ASS!$J$23=0, 0, IF(G9=ASS!$J$23,$E$37-SUM($F$37:F37),IF(G9&gt;TERM,0,IF(G9&lt;ASS!$J$23, SLN(ASS!$I$23,0,ASS!$J$23)*G11/12, IF(G9=ASS!$J$23, SLN(ASS!$I$23,0,ASS!$J$23)*(12-G11)/12, 0)))))</f>
        <v>456.14035087719299</v>
      </c>
      <c r="H37" s="239">
        <f>IF(ASS!$J$23=0, 0, IF(H9=ASS!$J$23,$E$37-SUM($F$37:G37),IF(H9&gt;TERM,0,IF(H9&lt;ASS!$J$23, SLN(ASS!$I$23,0,ASS!$J$23)*H11/12, IF(H9=ASS!$J$23, SLN(ASS!$I$23,0,ASS!$J$23)*(12-H11)/12, 0)))))</f>
        <v>456.14035087719299</v>
      </c>
      <c r="I37" s="239">
        <f>IF(ASS!$J$23=0, 0, IF(I9=ASS!$J$23,$E$37-SUM($F$37:H37),IF(I9&gt;TERM,0,IF(I9&lt;ASS!$J$23, SLN(ASS!$I$23,0,ASS!$J$23)*I11/12, IF(I9=ASS!$J$23, SLN(ASS!$I$23,0,ASS!$J$23)*(12-I11)/12, 0)))))</f>
        <v>456.14035087719299</v>
      </c>
      <c r="J37" s="239">
        <f>IF(ASS!$J$23=0, 0, IF(J9=ASS!$J$23,$E$37-SUM($F$37:I37),IF(J9&gt;TERM,0,IF(J9&lt;ASS!$J$23, SLN(ASS!$I$23,0,ASS!$J$23)*J11/12, IF(J9=ASS!$J$23, SLN(ASS!$I$23,0,ASS!$J$23)*(12-J11)/12, 0)))))</f>
        <v>456.14035087719299</v>
      </c>
      <c r="K37" s="239">
        <f>IF(ASS!$J$23=0, 0, IF(K9=ASS!$J$23,$E$37-SUM($F$37:J37),IF(K9&gt;TERM,0,IF(K9&lt;ASS!$J$23, SLN(ASS!$I$23,0,ASS!$J$23)*K11/12, IF(K9=ASS!$J$23, SLN(ASS!$I$23,0,ASS!$J$23)*(12-K11)/12, 0)))))</f>
        <v>456.14035087719299</v>
      </c>
      <c r="L37" s="239">
        <f>IF(ASS!$J$23=0, 0, IF(L9=ASS!$J$23,$E$37-SUM($F$37:K37),IF(L9&gt;TERM,0,IF(L9&lt;ASS!$J$23, SLN(ASS!$I$23,0,ASS!$J$23)*L11/12, IF(L9=ASS!$J$23, SLN(ASS!$I$23,0,ASS!$J$23)*(12-L11)/12, 0)))))</f>
        <v>456.14035087719299</v>
      </c>
      <c r="M37" s="239">
        <f>IF(ASS!$J$23=0, 0, IF(M9=ASS!$J$23,$E$37-SUM($F$37:L37),IF(M9&gt;TERM,0,IF(M9&lt;ASS!$J$23, SLN(ASS!$I$23,0,ASS!$J$23)*M11/12, IF(M9=ASS!$J$23, SLN(ASS!$I$23,0,ASS!$J$23)*(12-M11)/12, 0)))))</f>
        <v>456.14035087719299</v>
      </c>
      <c r="N37" s="239">
        <f>IF(ASS!$J$23=0, 0, IF(N9=ASS!$J$23,$E$37-SUM($F$37:M37),IF(N9&gt;TERM,0,IF(N9&lt;ASS!$J$23, SLN(ASS!$I$23,0,ASS!$J$23)*N11/12, IF(N9=ASS!$J$23, SLN(ASS!$I$23,0,ASS!$J$23)*(12-N11)/12, 0)))))</f>
        <v>456.14035087719299</v>
      </c>
      <c r="O37" s="239">
        <f>IF(ASS!$J$23=0, 0, IF(O9=ASS!$J$23,$E$37-SUM($F$37:N37),IF(O9&gt;TERM,0,IF(O9&lt;ASS!$J$23, SLN(ASS!$I$23,0,ASS!$J$23)*O11/12, IF(O9=ASS!$J$23, SLN(ASS!$I$23,0,ASS!$J$23)*(12-O11)/12, 0)))))</f>
        <v>456.14035087719299</v>
      </c>
      <c r="P37" s="28">
        <f>SUM(F37:O37)</f>
        <v>4561.4035087719285</v>
      </c>
      <c r="Q37" s="194"/>
    </row>
    <row r="38" spans="1:17" x14ac:dyDescent="0.2">
      <c r="A38" s="3"/>
      <c r="B38" s="4" t="s">
        <v>237</v>
      </c>
      <c r="C38" s="194"/>
      <c r="D38" s="4"/>
      <c r="E38" s="28">
        <f>SUM(E37:E37)</f>
        <v>13000</v>
      </c>
      <c r="F38" s="27">
        <f>SUM(F37:F37)</f>
        <v>456.14035087719299</v>
      </c>
      <c r="G38" s="27">
        <f>SUM(G37:G37)</f>
        <v>456.14035087719299</v>
      </c>
      <c r="H38" s="27">
        <f>SUM(H37:H37)</f>
        <v>456.14035087719299</v>
      </c>
      <c r="I38" s="27">
        <f t="shared" ref="I38:O38" si="14">SUM(I37:I37)</f>
        <v>456.14035087719299</v>
      </c>
      <c r="J38" s="27">
        <f t="shared" si="14"/>
        <v>456.14035087719299</v>
      </c>
      <c r="K38" s="27">
        <f t="shared" si="14"/>
        <v>456.14035087719299</v>
      </c>
      <c r="L38" s="27">
        <f t="shared" si="14"/>
        <v>456.14035087719299</v>
      </c>
      <c r="M38" s="27">
        <f t="shared" si="14"/>
        <v>456.14035087719299</v>
      </c>
      <c r="N38" s="27">
        <f t="shared" si="14"/>
        <v>456.14035087719299</v>
      </c>
      <c r="O38" s="27">
        <f t="shared" si="14"/>
        <v>456.14035087719299</v>
      </c>
      <c r="P38" s="28">
        <f t="shared" ref="P38:P44" si="15">SUM(F38:O38)</f>
        <v>4561.4035087719285</v>
      </c>
      <c r="Q38"/>
    </row>
    <row r="39" spans="1:17" x14ac:dyDescent="0.2">
      <c r="A39" s="3"/>
      <c r="B39" s="240" t="s">
        <v>238</v>
      </c>
      <c r="C39" s="194"/>
      <c r="D39" s="4"/>
      <c r="E39" s="28"/>
      <c r="F39" s="241">
        <f>SUM($F$38:F38)</f>
        <v>456.14035087719299</v>
      </c>
      <c r="G39" s="241">
        <f>SUM($F$38:G38)</f>
        <v>912.28070175438597</v>
      </c>
      <c r="H39" s="241">
        <f>SUM($F$38:H38)</f>
        <v>1368.421052631579</v>
      </c>
      <c r="I39" s="241">
        <f>SUM($F$38:I38)</f>
        <v>1824.5614035087719</v>
      </c>
      <c r="J39" s="241">
        <f>SUM($F$38:J38)</f>
        <v>2280.7017543859647</v>
      </c>
      <c r="K39" s="241">
        <f>SUM($F$38:K38)</f>
        <v>2736.8421052631575</v>
      </c>
      <c r="L39" s="241">
        <f>SUM($F$38:L38)</f>
        <v>3192.9824561403502</v>
      </c>
      <c r="M39" s="241">
        <f>SUM($F$38:M38)</f>
        <v>3649.122807017543</v>
      </c>
      <c r="N39" s="241">
        <f>SUM($F$38:N38)</f>
        <v>4105.2631578947357</v>
      </c>
      <c r="O39" s="241">
        <f>SUM($F$38:O38)</f>
        <v>4561.4035087719285</v>
      </c>
      <c r="P39" s="28">
        <f t="shared" si="15"/>
        <v>25087.719298245607</v>
      </c>
      <c r="Q39"/>
    </row>
    <row r="40" spans="1:17" x14ac:dyDescent="0.2">
      <c r="A40" s="3"/>
      <c r="B40" s="4"/>
      <c r="C40" s="194"/>
      <c r="D40" s="4"/>
      <c r="E40" s="28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8"/>
      <c r="Q40"/>
    </row>
    <row r="41" spans="1:17" x14ac:dyDescent="0.2">
      <c r="A41" s="3"/>
      <c r="B41" s="4" t="s">
        <v>239</v>
      </c>
      <c r="C41" s="194"/>
      <c r="D41" s="4"/>
      <c r="E41" s="28"/>
      <c r="F41" s="27">
        <v>0</v>
      </c>
      <c r="G41" s="27">
        <f>F44</f>
        <v>12543.859649122807</v>
      </c>
      <c r="H41" s="27">
        <f>G44</f>
        <v>12087.719298245614</v>
      </c>
      <c r="I41" s="27">
        <f t="shared" ref="I41:O41" si="16">H44</f>
        <v>11631.578947368422</v>
      </c>
      <c r="J41" s="27">
        <f t="shared" si="16"/>
        <v>11175.438596491229</v>
      </c>
      <c r="K41" s="27">
        <f t="shared" si="16"/>
        <v>10719.298245614036</v>
      </c>
      <c r="L41" s="27">
        <f t="shared" si="16"/>
        <v>10263.157894736843</v>
      </c>
      <c r="M41" s="27">
        <f t="shared" si="16"/>
        <v>9807.0175438596507</v>
      </c>
      <c r="N41" s="27">
        <f t="shared" si="16"/>
        <v>9350.8771929824579</v>
      </c>
      <c r="O41" s="27">
        <f t="shared" si="16"/>
        <v>8894.7368421052652</v>
      </c>
      <c r="P41" s="28">
        <f t="shared" si="15"/>
        <v>96473.68421052632</v>
      </c>
      <c r="Q41"/>
    </row>
    <row r="42" spans="1:17" x14ac:dyDescent="0.2">
      <c r="A42" s="3"/>
      <c r="B42" s="4" t="s">
        <v>232</v>
      </c>
      <c r="C42" s="4"/>
      <c r="D42" s="4"/>
      <c r="E42" s="28"/>
      <c r="F42" s="27">
        <f>E38</f>
        <v>13000</v>
      </c>
      <c r="G42" s="27">
        <f>ASS!V26</f>
        <v>0</v>
      </c>
      <c r="H42" s="27">
        <f>ASS!W26</f>
        <v>0</v>
      </c>
      <c r="I42" s="27">
        <f>ASS!X26</f>
        <v>0</v>
      </c>
      <c r="J42" s="27">
        <f>ASS!Y33</f>
        <v>0</v>
      </c>
      <c r="K42" s="27">
        <f>ASS!Z33</f>
        <v>0</v>
      </c>
      <c r="L42" s="27">
        <f>ASS!AA33</f>
        <v>0</v>
      </c>
      <c r="M42" s="27">
        <f>ASS!AB33</f>
        <v>0</v>
      </c>
      <c r="N42" s="27">
        <f>ASS!AC33</f>
        <v>0</v>
      </c>
      <c r="O42" s="27">
        <f>ASS!AD33</f>
        <v>0</v>
      </c>
      <c r="P42" s="28">
        <f t="shared" si="15"/>
        <v>13000</v>
      </c>
      <c r="Q42"/>
    </row>
    <row r="43" spans="1:17" x14ac:dyDescent="0.2">
      <c r="A43" s="3"/>
      <c r="B43" s="4" t="s">
        <v>233</v>
      </c>
      <c r="C43" s="4"/>
      <c r="D43" s="4"/>
      <c r="E43" s="28"/>
      <c r="F43" s="29">
        <f>-F38</f>
        <v>-456.14035087719299</v>
      </c>
      <c r="G43" s="29">
        <f>-G38</f>
        <v>-456.14035087719299</v>
      </c>
      <c r="H43" s="29">
        <f>-H38</f>
        <v>-456.14035087719299</v>
      </c>
      <c r="I43" s="29">
        <f t="shared" ref="I43:O43" si="17">-I38</f>
        <v>-456.14035087719299</v>
      </c>
      <c r="J43" s="29">
        <f t="shared" si="17"/>
        <v>-456.14035087719299</v>
      </c>
      <c r="K43" s="29">
        <f t="shared" si="17"/>
        <v>-456.14035087719299</v>
      </c>
      <c r="L43" s="29">
        <f t="shared" si="17"/>
        <v>-456.14035087719299</v>
      </c>
      <c r="M43" s="29">
        <f t="shared" si="17"/>
        <v>-456.14035087719299</v>
      </c>
      <c r="N43" s="29">
        <f t="shared" si="17"/>
        <v>-456.14035087719299</v>
      </c>
      <c r="O43" s="29">
        <f t="shared" si="17"/>
        <v>-456.14035087719299</v>
      </c>
      <c r="P43" s="28">
        <f t="shared" si="15"/>
        <v>-4561.4035087719285</v>
      </c>
      <c r="Q43"/>
    </row>
    <row r="44" spans="1:17" x14ac:dyDescent="0.2">
      <c r="A44" s="5"/>
      <c r="B44" s="6" t="s">
        <v>240</v>
      </c>
      <c r="C44" s="6" t="s">
        <v>5</v>
      </c>
      <c r="D44" s="6"/>
      <c r="E44" s="33"/>
      <c r="F44" s="32">
        <f>SUM(F41:F43)</f>
        <v>12543.859649122807</v>
      </c>
      <c r="G44" s="32">
        <f>SUM(G41:G43)</f>
        <v>12087.719298245614</v>
      </c>
      <c r="H44" s="32">
        <f>SUM(H41:H43)</f>
        <v>11631.578947368422</v>
      </c>
      <c r="I44" s="32">
        <f t="shared" ref="I44:O44" si="18">SUM(I41:I43)</f>
        <v>11175.438596491229</v>
      </c>
      <c r="J44" s="32">
        <f t="shared" si="18"/>
        <v>10719.298245614036</v>
      </c>
      <c r="K44" s="32">
        <f t="shared" si="18"/>
        <v>10263.157894736843</v>
      </c>
      <c r="L44" s="32">
        <f t="shared" si="18"/>
        <v>9807.0175438596507</v>
      </c>
      <c r="M44" s="32">
        <f t="shared" si="18"/>
        <v>9350.8771929824579</v>
      </c>
      <c r="N44" s="32">
        <f t="shared" si="18"/>
        <v>8894.7368421052652</v>
      </c>
      <c r="O44" s="32">
        <f t="shared" si="18"/>
        <v>8438.5964912280724</v>
      </c>
      <c r="P44" s="33">
        <f t="shared" si="15"/>
        <v>104912.2807017544</v>
      </c>
      <c r="Q44"/>
    </row>
  </sheetData>
  <printOptions horizontalCentered="1"/>
  <pageMargins left="0.5" right="1" top="0.75" bottom="0.75" header="0.5" footer="0.5"/>
  <pageSetup scale="78" orientation="landscape" horizontalDpi="4294967292" r:id="rId1"/>
  <headerFooter alignWithMargins="0">
    <oddHeader>&amp;C &amp;R&amp;D &amp;T</oddHeader>
    <oddFooter>&amp;Ldev_fin/base/&amp;F&amp;C &amp;RPage &amp;P of 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Q85"/>
  <sheetViews>
    <sheetView topLeftCell="A45" zoomScale="75" workbookViewId="0">
      <selection activeCell="G65" sqref="G65"/>
    </sheetView>
  </sheetViews>
  <sheetFormatPr defaultRowHeight="12.75" x14ac:dyDescent="0.2"/>
  <cols>
    <col min="1" max="3" width="9.140625" style="1"/>
    <col min="4" max="4" width="14.140625" style="1" customWidth="1"/>
    <col min="5" max="5" width="8.42578125" style="1" customWidth="1"/>
    <col min="6" max="16" width="9.140625" style="1"/>
    <col min="17" max="17" width="10.140625" style="1" customWidth="1"/>
    <col min="18" max="16384" width="9.140625" style="1"/>
  </cols>
  <sheetData>
    <row r="1" spans="1:17" ht="15.75" x14ac:dyDescent="0.25">
      <c r="A1" s="179" t="s">
        <v>242</v>
      </c>
      <c r="B1" s="195"/>
      <c r="C1" s="189"/>
      <c r="D1" s="190"/>
      <c r="E1"/>
    </row>
    <row r="2" spans="1:17" ht="15.75" x14ac:dyDescent="0.25">
      <c r="A2" s="182">
        <f>ASS!A4</f>
        <v>0</v>
      </c>
      <c r="B2" s="196"/>
      <c r="C2" s="191"/>
      <c r="D2" s="192"/>
      <c r="E2"/>
    </row>
    <row r="3" spans="1:17" x14ac:dyDescent="0.2">
      <c r="F3" s="8" t="s">
        <v>243</v>
      </c>
      <c r="G3" s="25">
        <f>CF!D3</f>
        <v>1</v>
      </c>
      <c r="H3" s="25">
        <f>CF!E3</f>
        <v>2</v>
      </c>
      <c r="I3" s="25">
        <f>CF!F3</f>
        <v>3</v>
      </c>
      <c r="J3" s="25">
        <f>CF!G3</f>
        <v>4</v>
      </c>
      <c r="K3" s="25">
        <f>CF!H3</f>
        <v>5</v>
      </c>
      <c r="L3" s="25">
        <f>CF!I3</f>
        <v>6</v>
      </c>
      <c r="M3" s="25">
        <f>CF!J3</f>
        <v>7</v>
      </c>
      <c r="N3" s="25">
        <f>CF!K3</f>
        <v>8</v>
      </c>
      <c r="O3" s="25">
        <f>CF!L3</f>
        <v>9</v>
      </c>
      <c r="P3" s="25">
        <f>CF!M3</f>
        <v>10</v>
      </c>
      <c r="Q3" s="17"/>
    </row>
    <row r="4" spans="1:17" x14ac:dyDescent="0.2">
      <c r="A4" s="299" t="s">
        <v>347</v>
      </c>
      <c r="F4" s="8" t="s">
        <v>244</v>
      </c>
      <c r="G4" s="25">
        <f>CF!D4</f>
        <v>2001</v>
      </c>
      <c r="H4" s="25">
        <f>CF!E4</f>
        <v>2002</v>
      </c>
      <c r="I4" s="25">
        <f>CF!F4</f>
        <v>2003</v>
      </c>
      <c r="J4" s="399">
        <f>CF!G4</f>
        <v>2004</v>
      </c>
      <c r="K4" s="399">
        <f>CF!H4</f>
        <v>2005</v>
      </c>
      <c r="L4" s="399">
        <f>CF!I4</f>
        <v>2006</v>
      </c>
      <c r="M4" s="399">
        <f>CF!J4</f>
        <v>2007</v>
      </c>
      <c r="N4" s="399">
        <f>CF!K4</f>
        <v>2008</v>
      </c>
      <c r="O4" s="399">
        <f>CF!L4</f>
        <v>2009</v>
      </c>
      <c r="P4" s="400">
        <f>CF!M4</f>
        <v>2010</v>
      </c>
      <c r="Q4" s="26" t="s">
        <v>117</v>
      </c>
    </row>
    <row r="5" spans="1:17" x14ac:dyDescent="0.2">
      <c r="A5" s="11" t="s">
        <v>245</v>
      </c>
      <c r="B5" s="2"/>
      <c r="C5" s="2"/>
      <c r="D5" s="2"/>
      <c r="E5" s="2"/>
      <c r="F5" s="2"/>
      <c r="G5" s="2"/>
      <c r="H5" s="2"/>
      <c r="I5" s="2"/>
      <c r="J5" s="4"/>
      <c r="K5" s="4"/>
      <c r="L5" s="4"/>
      <c r="M5" s="4"/>
      <c r="N5" s="4"/>
      <c r="O5" s="4"/>
      <c r="P5" s="4"/>
      <c r="Q5" s="16"/>
    </row>
    <row r="6" spans="1:17" x14ac:dyDescent="0.2">
      <c r="A6" s="3"/>
      <c r="B6" s="4" t="s">
        <v>246</v>
      </c>
      <c r="C6" s="4"/>
      <c r="D6" s="4"/>
      <c r="E6" s="4"/>
      <c r="F6" s="61">
        <v>0</v>
      </c>
      <c r="G6" s="27">
        <f>$F$6+G85</f>
        <v>5250.8319999999994</v>
      </c>
      <c r="H6" s="27">
        <f>$F$6+H85</f>
        <v>9420.1046399999996</v>
      </c>
      <c r="I6" s="27">
        <f>$F$6+I85</f>
        <v>12925.986252799999</v>
      </c>
      <c r="J6" s="27">
        <f t="shared" ref="J6:P6" si="0">$F$6+J85</f>
        <v>16482.012857856</v>
      </c>
      <c r="K6" s="27">
        <f t="shared" si="0"/>
        <v>20085.46415501312</v>
      </c>
      <c r="L6" s="27">
        <f t="shared" si="0"/>
        <v>23732.57951811338</v>
      </c>
      <c r="M6" s="27">
        <f t="shared" si="0"/>
        <v>27420.117988475649</v>
      </c>
      <c r="N6" s="27">
        <f t="shared" si="0"/>
        <v>31144.838268245163</v>
      </c>
      <c r="O6" s="27">
        <f t="shared" si="0"/>
        <v>34874.898713610062</v>
      </c>
      <c r="P6" s="27">
        <f t="shared" si="0"/>
        <v>38604.145327882259</v>
      </c>
      <c r="Q6" s="391">
        <f>SUM(F6:P6)</f>
        <v>219940.97972199565</v>
      </c>
    </row>
    <row r="7" spans="1:17" x14ac:dyDescent="0.2">
      <c r="A7" s="3"/>
      <c r="B7" s="4" t="s">
        <v>91</v>
      </c>
      <c r="C7" s="4"/>
      <c r="D7" s="4"/>
      <c r="E7" s="4"/>
      <c r="F7" s="61">
        <v>0</v>
      </c>
      <c r="G7" s="27">
        <f>F7+(-CF!D63-CF!D64)</f>
        <v>0</v>
      </c>
      <c r="H7" s="27">
        <f>G7+(-CF!E63-CF!E64)</f>
        <v>0</v>
      </c>
      <c r="I7" s="27">
        <f>H7+(-CF!F63-CF!F64)</f>
        <v>0</v>
      </c>
      <c r="J7" s="27">
        <f>I7+(-CF!G63-CF!G64)</f>
        <v>0</v>
      </c>
      <c r="K7" s="27">
        <f>J7+(-CF!H63-CF!H64)</f>
        <v>0</v>
      </c>
      <c r="L7" s="27">
        <f>K7+(-CF!I63-CF!I64)</f>
        <v>0</v>
      </c>
      <c r="M7" s="27">
        <f>L7+(-CF!J63-CF!J64)</f>
        <v>0</v>
      </c>
      <c r="N7" s="27">
        <f>M7+(-CF!K63-CF!K64)</f>
        <v>0</v>
      </c>
      <c r="O7" s="27">
        <f>N7+(-CF!L63-CF!L64)</f>
        <v>0</v>
      </c>
      <c r="P7" s="27">
        <f>O7+(-CF!M63-CF!M64)</f>
        <v>0</v>
      </c>
      <c r="Q7" s="391"/>
    </row>
    <row r="8" spans="1:17" x14ac:dyDescent="0.2">
      <c r="A8" s="3"/>
      <c r="B8" s="4" t="s">
        <v>247</v>
      </c>
      <c r="C8" s="4"/>
      <c r="D8" s="4"/>
      <c r="E8" s="4"/>
      <c r="F8" s="383">
        <f>ASS!$I$31</f>
        <v>0</v>
      </c>
      <c r="G8" s="383">
        <f>ASS!$I$31</f>
        <v>0</v>
      </c>
      <c r="H8" s="383">
        <f>ASS!$I$31</f>
        <v>0</v>
      </c>
      <c r="I8" s="383">
        <f>ASS!$I$31</f>
        <v>0</v>
      </c>
      <c r="J8" s="383">
        <f>ASS!$I$31</f>
        <v>0</v>
      </c>
      <c r="K8" s="383">
        <f>ASS!$I$31</f>
        <v>0</v>
      </c>
      <c r="L8" s="383">
        <f>ASS!$I$31</f>
        <v>0</v>
      </c>
      <c r="M8" s="383">
        <f>ASS!$I$31</f>
        <v>0</v>
      </c>
      <c r="N8" s="383">
        <f>ASS!$I$31</f>
        <v>0</v>
      </c>
      <c r="O8" s="383">
        <f>ASS!$I$31</f>
        <v>0</v>
      </c>
      <c r="P8" s="383">
        <f>ASS!$I$31</f>
        <v>0</v>
      </c>
      <c r="Q8" s="391">
        <f>SUM(F8:P8)</f>
        <v>0</v>
      </c>
    </row>
    <row r="9" spans="1:17" x14ac:dyDescent="0.2">
      <c r="A9" s="3"/>
      <c r="B9" s="4" t="s">
        <v>248</v>
      </c>
      <c r="C9" s="4"/>
      <c r="D9" s="4"/>
      <c r="E9" s="4"/>
      <c r="F9" s="27">
        <v>0</v>
      </c>
      <c r="G9" s="27">
        <f>IF(G3&lt;TERM,SPARES,0)</f>
        <v>0</v>
      </c>
      <c r="H9" s="27">
        <f>IF(H3&lt;TERM,SPARES,0)</f>
        <v>0</v>
      </c>
      <c r="I9" s="27">
        <f>IF(I3&lt;TERM,SPARES,0)</f>
        <v>0</v>
      </c>
      <c r="J9" s="27">
        <f t="shared" ref="J9:P9" si="1">IF(J3&lt;TERM,SPARES,0)</f>
        <v>0</v>
      </c>
      <c r="K9" s="27">
        <f t="shared" si="1"/>
        <v>0</v>
      </c>
      <c r="L9" s="27">
        <f t="shared" si="1"/>
        <v>0</v>
      </c>
      <c r="M9" s="27">
        <f t="shared" si="1"/>
        <v>0</v>
      </c>
      <c r="N9" s="27">
        <f t="shared" si="1"/>
        <v>0</v>
      </c>
      <c r="O9" s="27">
        <f t="shared" si="1"/>
        <v>0</v>
      </c>
      <c r="P9" s="27">
        <f t="shared" si="1"/>
        <v>0</v>
      </c>
      <c r="Q9" s="391">
        <f>SUM(F9:P9)</f>
        <v>0</v>
      </c>
    </row>
    <row r="10" spans="1:17" x14ac:dyDescent="0.2">
      <c r="A10" s="3"/>
      <c r="B10" s="4" t="s">
        <v>249</v>
      </c>
      <c r="C10" s="4"/>
      <c r="D10" s="4"/>
      <c r="E10" s="4"/>
      <c r="F10" s="383">
        <f>ASS!$I$32</f>
        <v>0</v>
      </c>
      <c r="G10" s="383">
        <f>ASS!$I$32</f>
        <v>0</v>
      </c>
      <c r="H10" s="383">
        <f>ASS!$I$32</f>
        <v>0</v>
      </c>
      <c r="I10" s="383">
        <f>ASS!$I$32</f>
        <v>0</v>
      </c>
      <c r="J10" s="383">
        <f>ASS!$I$32</f>
        <v>0</v>
      </c>
      <c r="K10" s="383">
        <f>ASS!$I$32</f>
        <v>0</v>
      </c>
      <c r="L10" s="383">
        <f>ASS!$I$32</f>
        <v>0</v>
      </c>
      <c r="M10" s="383">
        <f>ASS!$I$32</f>
        <v>0</v>
      </c>
      <c r="N10" s="383">
        <f>ASS!$I$32</f>
        <v>0</v>
      </c>
      <c r="O10" s="383">
        <f>ASS!$I$32</f>
        <v>0</v>
      </c>
      <c r="P10" s="383">
        <f>ASS!$I$32</f>
        <v>0</v>
      </c>
      <c r="Q10" s="391">
        <f>SUM(F10:P10)</f>
        <v>0</v>
      </c>
    </row>
    <row r="11" spans="1:17" x14ac:dyDescent="0.2">
      <c r="A11" s="3"/>
      <c r="B11" s="4" t="s">
        <v>250</v>
      </c>
      <c r="C11" s="4"/>
      <c r="D11" s="4"/>
      <c r="E11" s="4"/>
      <c r="F11" s="61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391" t="s">
        <v>5</v>
      </c>
    </row>
    <row r="12" spans="1:17" x14ac:dyDescent="0.2">
      <c r="A12" s="3"/>
      <c r="B12" s="4"/>
      <c r="C12" s="4" t="s">
        <v>165</v>
      </c>
      <c r="D12" s="4"/>
      <c r="E12" s="4"/>
      <c r="F12" s="61">
        <v>0</v>
      </c>
      <c r="G12" s="27">
        <f>$F$12+DEPR!$F$31</f>
        <v>13000</v>
      </c>
      <c r="H12" s="27">
        <f>$F$12+DEPR!$F$31</f>
        <v>13000</v>
      </c>
      <c r="I12" s="27">
        <f>$F$12+DEPR!$F$31</f>
        <v>13000</v>
      </c>
      <c r="J12" s="27">
        <f>$F$12+DEPR!$F$31</f>
        <v>13000</v>
      </c>
      <c r="K12" s="27">
        <f>$F$12+DEPR!$F$31</f>
        <v>13000</v>
      </c>
      <c r="L12" s="27">
        <f>$F$12+DEPR!$F$31</f>
        <v>13000</v>
      </c>
      <c r="M12" s="27">
        <f>$F$12+DEPR!$F$31</f>
        <v>13000</v>
      </c>
      <c r="N12" s="27">
        <f>$F$12+DEPR!$F$31</f>
        <v>13000</v>
      </c>
      <c r="O12" s="27">
        <f>$F$12+DEPR!$F$31</f>
        <v>13000</v>
      </c>
      <c r="P12" s="27">
        <f>$F$12+DEPR!$F$31</f>
        <v>13000</v>
      </c>
      <c r="Q12" s="391">
        <f>SUM(F12:P12)</f>
        <v>130000</v>
      </c>
    </row>
    <row r="13" spans="1:17" x14ac:dyDescent="0.2">
      <c r="A13" s="3"/>
      <c r="B13" s="4"/>
      <c r="C13" s="4" t="s">
        <v>251</v>
      </c>
      <c r="D13" s="4"/>
      <c r="E13" s="4"/>
      <c r="F13" s="62">
        <v>0</v>
      </c>
      <c r="G13" s="29">
        <f>$F$13+DEPR!F28</f>
        <v>456.14035087719299</v>
      </c>
      <c r="H13" s="29">
        <f>$F$13+DEPR!G28</f>
        <v>912.28070175438597</v>
      </c>
      <c r="I13" s="29">
        <f>$F$13+DEPR!H28</f>
        <v>1368.421052631579</v>
      </c>
      <c r="J13" s="29">
        <f>$F$13+DEPR!I28</f>
        <v>1824.5614035087719</v>
      </c>
      <c r="K13" s="29">
        <f>$F$13+DEPR!J28</f>
        <v>2280.7017543859647</v>
      </c>
      <c r="L13" s="29">
        <f>$F$13+DEPR!K28</f>
        <v>2736.8421052631575</v>
      </c>
      <c r="M13" s="29">
        <f>$F$13+DEPR!L28</f>
        <v>3192.9824561403502</v>
      </c>
      <c r="N13" s="29">
        <f>$F$13+DEPR!M28</f>
        <v>3649.122807017543</v>
      </c>
      <c r="O13" s="29">
        <f>$F$13+DEPR!N28</f>
        <v>4105.2631578947357</v>
      </c>
      <c r="P13" s="29">
        <f>$F$13+DEPR!O28</f>
        <v>4561.4035087719285</v>
      </c>
      <c r="Q13" s="391">
        <f>SUM(F13:P13)</f>
        <v>25087.719298245607</v>
      </c>
    </row>
    <row r="14" spans="1:17" x14ac:dyDescent="0.2">
      <c r="A14" s="3"/>
      <c r="B14" s="4"/>
      <c r="C14" s="4" t="s">
        <v>252</v>
      </c>
      <c r="D14" s="4"/>
      <c r="E14" s="4"/>
      <c r="F14" s="61">
        <v>0</v>
      </c>
      <c r="G14" s="27">
        <f>$F$14+G12-G13</f>
        <v>12543.859649122807</v>
      </c>
      <c r="H14" s="27">
        <f>$F$14+H12-H13</f>
        <v>12087.719298245614</v>
      </c>
      <c r="I14" s="27">
        <f>$F$14+I12-I13</f>
        <v>11631.578947368422</v>
      </c>
      <c r="J14" s="27">
        <f t="shared" ref="J14:P14" si="2">$F$14+J12-J13</f>
        <v>11175.438596491229</v>
      </c>
      <c r="K14" s="27">
        <f t="shared" si="2"/>
        <v>10719.298245614034</v>
      </c>
      <c r="L14" s="27">
        <f t="shared" si="2"/>
        <v>10263.157894736843</v>
      </c>
      <c r="M14" s="27">
        <f t="shared" si="2"/>
        <v>9807.0175438596489</v>
      </c>
      <c r="N14" s="27">
        <f t="shared" si="2"/>
        <v>9350.8771929824579</v>
      </c>
      <c r="O14" s="27">
        <f t="shared" si="2"/>
        <v>8894.7368421052633</v>
      </c>
      <c r="P14" s="27">
        <f t="shared" si="2"/>
        <v>8438.5964912280724</v>
      </c>
      <c r="Q14" s="391">
        <f>SUM(F14:P14)</f>
        <v>104912.2807017544</v>
      </c>
    </row>
    <row r="15" spans="1:17" x14ac:dyDescent="0.2">
      <c r="A15" s="3"/>
      <c r="B15" s="4" t="s">
        <v>253</v>
      </c>
      <c r="C15" s="4"/>
      <c r="D15" s="4"/>
      <c r="E15" s="4"/>
      <c r="F15" s="389">
        <f>ASS!$I$33</f>
        <v>0</v>
      </c>
      <c r="G15" s="389">
        <f>ASS!$I$33</f>
        <v>0</v>
      </c>
      <c r="H15" s="389">
        <f>ASS!$I$33</f>
        <v>0</v>
      </c>
      <c r="I15" s="389">
        <f>ASS!$I$33</f>
        <v>0</v>
      </c>
      <c r="J15" s="389">
        <f>ASS!$I$33</f>
        <v>0</v>
      </c>
      <c r="K15" s="389">
        <f>ASS!$I$33</f>
        <v>0</v>
      </c>
      <c r="L15" s="389">
        <f>ASS!$I$33</f>
        <v>0</v>
      </c>
      <c r="M15" s="389">
        <f>ASS!$I$33</f>
        <v>0</v>
      </c>
      <c r="N15" s="389">
        <f>ASS!$I$33</f>
        <v>0</v>
      </c>
      <c r="O15" s="389">
        <f>ASS!$I$33</f>
        <v>0</v>
      </c>
      <c r="P15" s="389">
        <f>ASS!$I$33</f>
        <v>0</v>
      </c>
      <c r="Q15" s="391">
        <f>SUM(F15:P15)</f>
        <v>0</v>
      </c>
    </row>
    <row r="16" spans="1:17" x14ac:dyDescent="0.2">
      <c r="A16" s="3"/>
      <c r="B16" s="4"/>
      <c r="C16" s="4"/>
      <c r="D16" s="4"/>
      <c r="E16" s="4"/>
      <c r="F16" s="61"/>
      <c r="G16" s="27" t="s">
        <v>5</v>
      </c>
      <c r="H16" s="27"/>
      <c r="I16" s="27"/>
      <c r="J16" s="27"/>
      <c r="K16" s="27"/>
      <c r="L16" s="27"/>
      <c r="M16" s="27"/>
      <c r="N16" s="27"/>
      <c r="O16" s="27"/>
      <c r="P16" s="27"/>
      <c r="Q16" s="391"/>
    </row>
    <row r="17" spans="1:17" x14ac:dyDescent="0.2">
      <c r="A17" s="3" t="s">
        <v>254</v>
      </c>
      <c r="B17" s="4"/>
      <c r="C17" s="4"/>
      <c r="D17" s="4"/>
      <c r="E17" s="4"/>
      <c r="F17" s="63">
        <v>0</v>
      </c>
      <c r="G17" s="30">
        <f>SUM(G6:G10)+G14+SUM(G15:G15)</f>
        <v>17794.691649122808</v>
      </c>
      <c r="H17" s="30">
        <f>SUM(H6:H10)+H14+SUM(H15:H15)</f>
        <v>21507.823938245616</v>
      </c>
      <c r="I17" s="30">
        <f>SUM(I6:I10)+I14+SUM(I15:I15)</f>
        <v>24557.565200168421</v>
      </c>
      <c r="J17" s="30">
        <f t="shared" ref="J17:P17" si="3">SUM(J6:J10)+J14+SUM(J15:J15)</f>
        <v>27657.451454347229</v>
      </c>
      <c r="K17" s="30">
        <f t="shared" si="3"/>
        <v>30804.762400627154</v>
      </c>
      <c r="L17" s="30">
        <f t="shared" si="3"/>
        <v>33995.737412850227</v>
      </c>
      <c r="M17" s="30">
        <f t="shared" si="3"/>
        <v>37227.135532335298</v>
      </c>
      <c r="N17" s="30">
        <f t="shared" si="3"/>
        <v>40495.715461227621</v>
      </c>
      <c r="O17" s="30">
        <f t="shared" si="3"/>
        <v>43769.635555715329</v>
      </c>
      <c r="P17" s="30">
        <f t="shared" si="3"/>
        <v>47042.741819110335</v>
      </c>
      <c r="Q17" s="391">
        <f>SUM(F17:P17)</f>
        <v>324853.26042375003</v>
      </c>
    </row>
    <row r="18" spans="1:17" x14ac:dyDescent="0.2">
      <c r="A18" s="3"/>
      <c r="B18" s="4"/>
      <c r="C18" s="4"/>
      <c r="D18" s="4"/>
      <c r="E18" s="4"/>
      <c r="F18" s="61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391" t="s">
        <v>5</v>
      </c>
    </row>
    <row r="19" spans="1:17" x14ac:dyDescent="0.2">
      <c r="A19" s="3" t="s">
        <v>255</v>
      </c>
      <c r="B19" s="4"/>
      <c r="C19" s="4"/>
      <c r="D19" s="4"/>
      <c r="E19" s="4"/>
      <c r="F19" s="61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391" t="s">
        <v>5</v>
      </c>
    </row>
    <row r="20" spans="1:17" x14ac:dyDescent="0.2">
      <c r="A20" s="3"/>
      <c r="B20" s="4" t="s">
        <v>256</v>
      </c>
      <c r="C20" s="4"/>
      <c r="D20" s="4"/>
      <c r="E20" s="4"/>
      <c r="F20" s="61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391">
        <f t="shared" ref="Q20:Q25" si="4">SUM(F20:P20)</f>
        <v>0</v>
      </c>
    </row>
    <row r="21" spans="1:17" x14ac:dyDescent="0.2">
      <c r="A21" s="3"/>
      <c r="B21" s="4" t="s">
        <v>257</v>
      </c>
      <c r="C21" s="4"/>
      <c r="D21" s="4"/>
      <c r="E21" s="4"/>
      <c r="F21" s="61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391">
        <f t="shared" si="4"/>
        <v>0</v>
      </c>
    </row>
    <row r="22" spans="1:17" x14ac:dyDescent="0.2">
      <c r="A22" s="3"/>
      <c r="B22" s="4" t="s">
        <v>258</v>
      </c>
      <c r="C22" s="4"/>
      <c r="D22" s="4"/>
      <c r="E22" s="4"/>
      <c r="F22" s="61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391">
        <f t="shared" si="4"/>
        <v>0</v>
      </c>
    </row>
    <row r="23" spans="1:17" x14ac:dyDescent="0.2">
      <c r="A23" s="3"/>
      <c r="B23" s="4" t="s">
        <v>259</v>
      </c>
      <c r="C23" s="4"/>
      <c r="D23" s="4"/>
      <c r="E23" s="4"/>
      <c r="F23" s="61">
        <v>0</v>
      </c>
      <c r="G23" s="27">
        <f>G69+G70+$F$23</f>
        <v>0</v>
      </c>
      <c r="H23" s="27">
        <f>H69+H70+$F$23+G23</f>
        <v>0</v>
      </c>
      <c r="I23" s="27">
        <f>I69+I70+$F$23+H23</f>
        <v>0</v>
      </c>
      <c r="J23" s="27">
        <f t="shared" ref="J23:P23" si="5">J69+J70+$F$23+I23</f>
        <v>0</v>
      </c>
      <c r="K23" s="27">
        <f t="shared" si="5"/>
        <v>0</v>
      </c>
      <c r="L23" s="27">
        <f t="shared" si="5"/>
        <v>0</v>
      </c>
      <c r="M23" s="27">
        <f t="shared" si="5"/>
        <v>0</v>
      </c>
      <c r="N23" s="27">
        <f t="shared" si="5"/>
        <v>0</v>
      </c>
      <c r="O23" s="27">
        <f t="shared" si="5"/>
        <v>0</v>
      </c>
      <c r="P23" s="27">
        <f t="shared" si="5"/>
        <v>0</v>
      </c>
      <c r="Q23" s="391">
        <f t="shared" si="4"/>
        <v>0</v>
      </c>
    </row>
    <row r="24" spans="1:17" x14ac:dyDescent="0.2">
      <c r="A24" s="3"/>
      <c r="B24" s="4" t="s">
        <v>260</v>
      </c>
      <c r="C24" s="4"/>
      <c r="D24" s="4"/>
      <c r="E24" s="4"/>
      <c r="F24" s="62">
        <f>ASS!$I$34</f>
        <v>0</v>
      </c>
      <c r="G24" s="62">
        <f>ASS!$I$34</f>
        <v>0</v>
      </c>
      <c r="H24" s="62">
        <f>ASS!$I$34</f>
        <v>0</v>
      </c>
      <c r="I24" s="62">
        <f>ASS!$I$34</f>
        <v>0</v>
      </c>
      <c r="J24" s="62">
        <f>ASS!$I$34</f>
        <v>0</v>
      </c>
      <c r="K24" s="62">
        <f>ASS!$I$34</f>
        <v>0</v>
      </c>
      <c r="L24" s="62">
        <f>ASS!$I$34</f>
        <v>0</v>
      </c>
      <c r="M24" s="62">
        <f>ASS!$I$34</f>
        <v>0</v>
      </c>
      <c r="N24" s="62">
        <f>ASS!$I$34</f>
        <v>0</v>
      </c>
      <c r="O24" s="62">
        <f>ASS!$I$34</f>
        <v>0</v>
      </c>
      <c r="P24" s="62">
        <f>ASS!$I$34</f>
        <v>0</v>
      </c>
      <c r="Q24" s="391">
        <f t="shared" si="4"/>
        <v>0</v>
      </c>
    </row>
    <row r="25" spans="1:17" x14ac:dyDescent="0.2">
      <c r="A25" s="3"/>
      <c r="B25" s="4"/>
      <c r="C25" s="4" t="s">
        <v>261</v>
      </c>
      <c r="D25" s="4"/>
      <c r="E25" s="4"/>
      <c r="F25" s="61">
        <v>0</v>
      </c>
      <c r="G25" s="27">
        <f>SUM(G20:G24)</f>
        <v>0</v>
      </c>
      <c r="H25" s="27">
        <f>SUM(H20:H24)</f>
        <v>0</v>
      </c>
      <c r="I25" s="27">
        <f>SUM(I20:I24)</f>
        <v>0</v>
      </c>
      <c r="J25" s="27">
        <f t="shared" ref="J25:P25" si="6">SUM(J20:J24)</f>
        <v>0</v>
      </c>
      <c r="K25" s="27">
        <f t="shared" si="6"/>
        <v>0</v>
      </c>
      <c r="L25" s="27">
        <f t="shared" si="6"/>
        <v>0</v>
      </c>
      <c r="M25" s="27">
        <f t="shared" si="6"/>
        <v>0</v>
      </c>
      <c r="N25" s="27">
        <f t="shared" si="6"/>
        <v>0</v>
      </c>
      <c r="O25" s="27">
        <f t="shared" si="6"/>
        <v>0</v>
      </c>
      <c r="P25" s="27">
        <f t="shared" si="6"/>
        <v>0</v>
      </c>
      <c r="Q25" s="391">
        <f t="shared" si="4"/>
        <v>0</v>
      </c>
    </row>
    <row r="26" spans="1:17" x14ac:dyDescent="0.2">
      <c r="A26" s="3"/>
      <c r="B26" s="4"/>
      <c r="C26" s="4"/>
      <c r="D26" s="4"/>
      <c r="E26" s="4"/>
      <c r="F26" s="61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391" t="s">
        <v>5</v>
      </c>
    </row>
    <row r="27" spans="1:17" x14ac:dyDescent="0.2">
      <c r="A27" s="3" t="s">
        <v>262</v>
      </c>
      <c r="B27" s="4"/>
      <c r="C27" s="4"/>
      <c r="D27" s="4"/>
      <c r="E27" s="4"/>
      <c r="F27" s="61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391" t="s">
        <v>5</v>
      </c>
    </row>
    <row r="28" spans="1:17" x14ac:dyDescent="0.2">
      <c r="A28" s="3"/>
      <c r="B28" s="4" t="s">
        <v>263</v>
      </c>
      <c r="C28" s="4"/>
      <c r="D28" s="4"/>
      <c r="E28" s="4"/>
      <c r="F28" s="61">
        <v>0</v>
      </c>
      <c r="G28" s="27">
        <f>F28+G76</f>
        <v>13000</v>
      </c>
      <c r="H28" s="27">
        <f>G28+H76</f>
        <v>13000</v>
      </c>
      <c r="I28" s="27">
        <f>H28+I76</f>
        <v>13000</v>
      </c>
      <c r="J28" s="27">
        <f t="shared" ref="J28:P28" si="7">I28+J76</f>
        <v>13000</v>
      </c>
      <c r="K28" s="27">
        <f t="shared" si="7"/>
        <v>13000</v>
      </c>
      <c r="L28" s="27">
        <f t="shared" si="7"/>
        <v>13000</v>
      </c>
      <c r="M28" s="27">
        <f t="shared" si="7"/>
        <v>13000</v>
      </c>
      <c r="N28" s="27">
        <f t="shared" si="7"/>
        <v>13000</v>
      </c>
      <c r="O28" s="27">
        <f t="shared" si="7"/>
        <v>13000</v>
      </c>
      <c r="P28" s="27">
        <f t="shared" si="7"/>
        <v>13000</v>
      </c>
      <c r="Q28" s="391">
        <f t="shared" ref="Q28:Q33" si="8">SUM(F28:P28)</f>
        <v>130000</v>
      </c>
    </row>
    <row r="29" spans="1:17" x14ac:dyDescent="0.2">
      <c r="A29" s="3"/>
      <c r="B29" s="4" t="s">
        <v>264</v>
      </c>
      <c r="C29" s="4"/>
      <c r="D29" s="4"/>
      <c r="E29" s="4"/>
      <c r="F29" s="61">
        <v>0</v>
      </c>
      <c r="G29" s="383">
        <f>EQUITY*ASS!V25</f>
        <v>0</v>
      </c>
      <c r="H29" s="383">
        <f>EQUITY*ASS!W25</f>
        <v>0</v>
      </c>
      <c r="I29" s="383">
        <f>EQUITY*ASS!X25</f>
        <v>0</v>
      </c>
      <c r="J29" s="383">
        <f>EQUITY*ASS!Y32</f>
        <v>0</v>
      </c>
      <c r="K29" s="383">
        <f>EQUITY*ASS!Z32</f>
        <v>0</v>
      </c>
      <c r="L29" s="383">
        <f>EQUITY*ASS!AA32</f>
        <v>0</v>
      </c>
      <c r="M29" s="383">
        <f>EQUITY*ASS!AB32</f>
        <v>0</v>
      </c>
      <c r="N29" s="383">
        <f>EQUITY*ASS!AC32</f>
        <v>0</v>
      </c>
      <c r="O29" s="383">
        <f>EQUITY*ASS!AD32</f>
        <v>0</v>
      </c>
      <c r="P29" s="383">
        <f>EQUITY*ASS!AE32</f>
        <v>0</v>
      </c>
      <c r="Q29" s="391">
        <f t="shared" si="8"/>
        <v>0</v>
      </c>
    </row>
    <row r="30" spans="1:17" x14ac:dyDescent="0.2">
      <c r="A30" s="3"/>
      <c r="B30" s="4" t="s">
        <v>265</v>
      </c>
      <c r="C30" s="4"/>
      <c r="D30" s="4"/>
      <c r="E30" s="4"/>
      <c r="F30" s="62">
        <v>0</v>
      </c>
      <c r="G30" s="29">
        <f>F30+G52</f>
        <v>3956.9397894736844</v>
      </c>
      <c r="H30" s="29">
        <f>G30+H52</f>
        <v>7373.2920589473688</v>
      </c>
      <c r="I30" s="29">
        <f>H30+I52</f>
        <v>10249.045058021053</v>
      </c>
      <c r="J30" s="29">
        <f t="shared" ref="J30:P30" si="9">I30+J52</f>
        <v>13124.186801286738</v>
      </c>
      <c r="K30" s="29">
        <f t="shared" si="9"/>
        <v>15998.705063628262</v>
      </c>
      <c r="L30" s="29">
        <f t="shared" si="9"/>
        <v>18872.587375427145</v>
      </c>
      <c r="M30" s="29">
        <f t="shared" si="9"/>
        <v>21745.82101767253</v>
      </c>
      <c r="N30" s="29">
        <f t="shared" si="9"/>
        <v>24618.39301697335</v>
      </c>
      <c r="O30" s="29">
        <f t="shared" si="9"/>
        <v>27490.290140470712</v>
      </c>
      <c r="P30" s="29">
        <f t="shared" si="9"/>
        <v>30361.498890648549</v>
      </c>
      <c r="Q30" s="391">
        <f t="shared" si="8"/>
        <v>173790.7592125494</v>
      </c>
    </row>
    <row r="31" spans="1:17" x14ac:dyDescent="0.2">
      <c r="A31" s="3"/>
      <c r="B31" s="4" t="s">
        <v>266</v>
      </c>
      <c r="C31" s="4"/>
      <c r="D31" s="4"/>
      <c r="E31" s="4"/>
      <c r="F31" s="61">
        <v>0</v>
      </c>
      <c r="G31" s="27">
        <f>SUM(G28:G30)</f>
        <v>16956.939789473683</v>
      </c>
      <c r="H31" s="27">
        <f>SUM(H28:H30)</f>
        <v>20373.292058947369</v>
      </c>
      <c r="I31" s="27">
        <f>SUM(I28:I30)</f>
        <v>23249.045058021053</v>
      </c>
      <c r="J31" s="27">
        <f t="shared" ref="J31:P31" si="10">SUM(J28:J30)</f>
        <v>26124.186801286738</v>
      </c>
      <c r="K31" s="27">
        <f t="shared" si="10"/>
        <v>28998.705063628262</v>
      </c>
      <c r="L31" s="27">
        <f t="shared" si="10"/>
        <v>31872.587375427145</v>
      </c>
      <c r="M31" s="27">
        <f t="shared" si="10"/>
        <v>34745.821017672526</v>
      </c>
      <c r="N31" s="27">
        <f t="shared" si="10"/>
        <v>37618.39301697335</v>
      </c>
      <c r="O31" s="27">
        <f t="shared" si="10"/>
        <v>40490.290140470708</v>
      </c>
      <c r="P31" s="27">
        <f t="shared" si="10"/>
        <v>43361.498890648552</v>
      </c>
      <c r="Q31" s="391">
        <f t="shared" si="8"/>
        <v>303790.75921254937</v>
      </c>
    </row>
    <row r="32" spans="1:17" x14ac:dyDescent="0.2">
      <c r="A32" s="3"/>
      <c r="B32" s="4"/>
      <c r="C32" s="4"/>
      <c r="D32" s="4"/>
      <c r="E32" s="4"/>
      <c r="F32" s="61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391">
        <f t="shared" si="8"/>
        <v>0</v>
      </c>
    </row>
    <row r="33" spans="1:17" x14ac:dyDescent="0.2">
      <c r="A33" s="3" t="s">
        <v>267</v>
      </c>
      <c r="B33" s="4"/>
      <c r="C33" s="4"/>
      <c r="D33" s="4"/>
      <c r="E33" s="4"/>
      <c r="F33" s="63">
        <v>0</v>
      </c>
      <c r="G33" s="30">
        <f>G31+G25</f>
        <v>16956.939789473683</v>
      </c>
      <c r="H33" s="30">
        <f>H31+H25</f>
        <v>20373.292058947369</v>
      </c>
      <c r="I33" s="30">
        <f>I31+I25</f>
        <v>23249.045058021053</v>
      </c>
      <c r="J33" s="30">
        <f t="shared" ref="J33:P33" si="11">J31+J25</f>
        <v>26124.186801286738</v>
      </c>
      <c r="K33" s="30">
        <f t="shared" si="11"/>
        <v>28998.705063628262</v>
      </c>
      <c r="L33" s="30">
        <f t="shared" si="11"/>
        <v>31872.587375427145</v>
      </c>
      <c r="M33" s="30">
        <f t="shared" si="11"/>
        <v>34745.821017672526</v>
      </c>
      <c r="N33" s="30">
        <f t="shared" si="11"/>
        <v>37618.39301697335</v>
      </c>
      <c r="O33" s="30">
        <f t="shared" si="11"/>
        <v>40490.290140470708</v>
      </c>
      <c r="P33" s="30">
        <f t="shared" si="11"/>
        <v>43361.498890648552</v>
      </c>
      <c r="Q33" s="391">
        <f t="shared" si="8"/>
        <v>303790.75921254937</v>
      </c>
    </row>
    <row r="34" spans="1:17" x14ac:dyDescent="0.2">
      <c r="A34" s="3"/>
      <c r="B34" s="4"/>
      <c r="C34" s="4"/>
      <c r="D34" s="4"/>
      <c r="E34" s="4"/>
      <c r="F34" s="61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391" t="s">
        <v>5</v>
      </c>
    </row>
    <row r="35" spans="1:17" s="25" customFormat="1" x14ac:dyDescent="0.2">
      <c r="A35" s="393" t="s">
        <v>268</v>
      </c>
      <c r="B35" s="394"/>
      <c r="C35" s="394"/>
      <c r="D35" s="394"/>
      <c r="E35" s="394"/>
      <c r="F35" s="395">
        <v>0</v>
      </c>
      <c r="G35" s="396">
        <f>G17-G33</f>
        <v>837.75185964912453</v>
      </c>
      <c r="H35" s="396">
        <f>H17-H33</f>
        <v>1134.5318792982471</v>
      </c>
      <c r="I35" s="396">
        <f>I17-I33</f>
        <v>1308.5201421473685</v>
      </c>
      <c r="J35" s="396">
        <f t="shared" ref="J35:P35" si="12">J17-J33</f>
        <v>1533.2646530604907</v>
      </c>
      <c r="K35" s="396">
        <f t="shared" si="12"/>
        <v>1806.0573369988924</v>
      </c>
      <c r="L35" s="396">
        <f t="shared" si="12"/>
        <v>2123.1500374230818</v>
      </c>
      <c r="M35" s="396">
        <f t="shared" si="12"/>
        <v>2481.3145146627721</v>
      </c>
      <c r="N35" s="396">
        <f t="shared" si="12"/>
        <v>2877.3224442542705</v>
      </c>
      <c r="O35" s="396">
        <f t="shared" si="12"/>
        <v>3279.3454152446211</v>
      </c>
      <c r="P35" s="396">
        <f t="shared" si="12"/>
        <v>3681.2429284617829</v>
      </c>
      <c r="Q35" s="397">
        <f>SUM(F35:P35)</f>
        <v>21062.501211200652</v>
      </c>
    </row>
    <row r="38" spans="1:17" ht="15.75" x14ac:dyDescent="0.25">
      <c r="A38" s="197" t="s">
        <v>269</v>
      </c>
      <c r="B38" s="198"/>
      <c r="C38" s="199"/>
    </row>
    <row r="39" spans="1:17" x14ac:dyDescent="0.2">
      <c r="G39" s="25">
        <f t="shared" ref="G39:I40" si="13">G3</f>
        <v>1</v>
      </c>
      <c r="H39" s="25">
        <f t="shared" si="13"/>
        <v>2</v>
      </c>
      <c r="I39" s="25">
        <f t="shared" si="13"/>
        <v>3</v>
      </c>
      <c r="J39" s="25">
        <f t="shared" ref="J39:P39" si="14">J3</f>
        <v>4</v>
      </c>
      <c r="K39" s="25">
        <f t="shared" si="14"/>
        <v>5</v>
      </c>
      <c r="L39" s="25">
        <f t="shared" si="14"/>
        <v>6</v>
      </c>
      <c r="M39" s="25">
        <f t="shared" si="14"/>
        <v>7</v>
      </c>
      <c r="N39" s="25">
        <f t="shared" si="14"/>
        <v>8</v>
      </c>
      <c r="O39" s="25">
        <f t="shared" si="14"/>
        <v>9</v>
      </c>
      <c r="P39" s="25">
        <f t="shared" si="14"/>
        <v>10</v>
      </c>
      <c r="Q39" s="17"/>
    </row>
    <row r="40" spans="1:17" x14ac:dyDescent="0.2">
      <c r="A40" s="25" t="s">
        <v>360</v>
      </c>
      <c r="G40" s="25">
        <f t="shared" si="13"/>
        <v>2001</v>
      </c>
      <c r="H40" s="25">
        <f t="shared" si="13"/>
        <v>2002</v>
      </c>
      <c r="I40" s="25">
        <f t="shared" si="13"/>
        <v>2003</v>
      </c>
      <c r="J40" s="25">
        <f t="shared" ref="J40:P40" si="15">J4</f>
        <v>2004</v>
      </c>
      <c r="K40" s="25">
        <f t="shared" si="15"/>
        <v>2005</v>
      </c>
      <c r="L40" s="25">
        <f t="shared" si="15"/>
        <v>2006</v>
      </c>
      <c r="M40" s="25">
        <f t="shared" si="15"/>
        <v>2007</v>
      </c>
      <c r="N40" s="25">
        <f t="shared" si="15"/>
        <v>2008</v>
      </c>
      <c r="O40" s="25">
        <f t="shared" si="15"/>
        <v>2009</v>
      </c>
      <c r="P40" s="25">
        <f t="shared" si="15"/>
        <v>2010</v>
      </c>
      <c r="Q40" s="31" t="s">
        <v>117</v>
      </c>
    </row>
    <row r="41" spans="1:17" x14ac:dyDescent="0.2">
      <c r="A41" s="11" t="s">
        <v>318</v>
      </c>
      <c r="B41" s="2"/>
      <c r="C41" s="2"/>
      <c r="D41" s="2"/>
      <c r="E41" s="2"/>
      <c r="F41" s="272"/>
      <c r="G41" s="405">
        <f>CF!D18</f>
        <v>7100</v>
      </c>
      <c r="H41" s="406">
        <f>CF!E18</f>
        <v>6200</v>
      </c>
      <c r="I41" s="406">
        <f>CF!F18</f>
        <v>5300</v>
      </c>
      <c r="J41" s="406">
        <f>$I$41</f>
        <v>5300</v>
      </c>
      <c r="K41" s="406">
        <f t="shared" ref="K41:P41" si="16">$I$41</f>
        <v>5300</v>
      </c>
      <c r="L41" s="406">
        <f t="shared" si="16"/>
        <v>5300</v>
      </c>
      <c r="M41" s="406">
        <f t="shared" si="16"/>
        <v>5300</v>
      </c>
      <c r="N41" s="406">
        <f t="shared" si="16"/>
        <v>5300</v>
      </c>
      <c r="O41" s="406">
        <f t="shared" si="16"/>
        <v>5300</v>
      </c>
      <c r="P41" s="406">
        <f t="shared" si="16"/>
        <v>5300</v>
      </c>
      <c r="Q41" s="401">
        <f>SUM(G41:P41)</f>
        <v>55700</v>
      </c>
    </row>
    <row r="42" spans="1:17" x14ac:dyDescent="0.2">
      <c r="A42" s="3"/>
      <c r="B42" s="4"/>
      <c r="C42" s="4"/>
      <c r="D42" s="4"/>
      <c r="E42" s="4"/>
      <c r="F42" s="4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391" t="s">
        <v>5</v>
      </c>
    </row>
    <row r="43" spans="1:17" x14ac:dyDescent="0.2">
      <c r="A43" s="3" t="s">
        <v>270</v>
      </c>
      <c r="B43" s="4"/>
      <c r="C43" s="4"/>
      <c r="D43" s="4"/>
      <c r="E43" s="4"/>
      <c r="F43" s="4"/>
      <c r="G43" s="27">
        <f>CF!D37</f>
        <v>48.96</v>
      </c>
      <c r="H43" s="27">
        <f>CF!E37</f>
        <v>49.9392</v>
      </c>
      <c r="I43" s="27">
        <f>CF!F37</f>
        <v>50.937984</v>
      </c>
      <c r="J43" s="27">
        <f>CF!G37</f>
        <v>51.95674368000001</v>
      </c>
      <c r="K43" s="27">
        <f>CF!H37</f>
        <v>52.995878553600001</v>
      </c>
      <c r="L43" s="27">
        <f>CF!I37</f>
        <v>54.055796124672007</v>
      </c>
      <c r="M43" s="27">
        <f>CF!J37</f>
        <v>55.136912047165431</v>
      </c>
      <c r="N43" s="27">
        <f>CF!K37</f>
        <v>56.239650288108749</v>
      </c>
      <c r="O43" s="27">
        <f>CF!L37</f>
        <v>57.36444329387092</v>
      </c>
      <c r="P43" s="27">
        <f>CF!M37</f>
        <v>58.511732159748341</v>
      </c>
      <c r="Q43" s="391">
        <f>SUM(G43:P43)</f>
        <v>536.09834014716546</v>
      </c>
    </row>
    <row r="44" spans="1:17" x14ac:dyDescent="0.2">
      <c r="A44" s="3" t="s">
        <v>62</v>
      </c>
      <c r="B44" s="4"/>
      <c r="C44" s="4"/>
      <c r="D44" s="4"/>
      <c r="E44" s="4"/>
      <c r="F44" s="4"/>
      <c r="G44" s="27">
        <f>CF!D43</f>
        <v>0</v>
      </c>
      <c r="H44" s="27">
        <f>CF!E43</f>
        <v>0</v>
      </c>
      <c r="I44" s="27">
        <f>CF!F43</f>
        <v>0</v>
      </c>
      <c r="J44" s="27">
        <f>CF!G43</f>
        <v>0</v>
      </c>
      <c r="K44" s="27">
        <f>CF!H43</f>
        <v>0</v>
      </c>
      <c r="L44" s="27">
        <f>CF!I43</f>
        <v>0</v>
      </c>
      <c r="M44" s="27">
        <f>CF!J43</f>
        <v>0</v>
      </c>
      <c r="N44" s="27">
        <f>CF!K43</f>
        <v>0</v>
      </c>
      <c r="O44" s="27">
        <f>CF!L43</f>
        <v>0</v>
      </c>
      <c r="P44" s="27">
        <f>CF!M43</f>
        <v>0</v>
      </c>
      <c r="Q44" s="391">
        <f t="shared" ref="Q44:Q52" si="17">SUM(G44:P44)</f>
        <v>0</v>
      </c>
    </row>
    <row r="45" spans="1:17" x14ac:dyDescent="0.2">
      <c r="A45" s="3" t="s">
        <v>0</v>
      </c>
      <c r="B45" s="4"/>
      <c r="C45" s="4"/>
      <c r="D45" s="4"/>
      <c r="E45" s="4"/>
      <c r="F45" s="4"/>
      <c r="G45" s="27">
        <f>DEPR!F27</f>
        <v>456.14035087719299</v>
      </c>
      <c r="H45" s="27">
        <f>DEPR!G27</f>
        <v>456.14035087719299</v>
      </c>
      <c r="I45" s="27">
        <f>DEPR!H27</f>
        <v>456.14035087719299</v>
      </c>
      <c r="J45" s="27">
        <f>DEPR!I27</f>
        <v>456.14035087719299</v>
      </c>
      <c r="K45" s="27">
        <f>DEPR!J27</f>
        <v>456.14035087719299</v>
      </c>
      <c r="L45" s="27">
        <f>DEPR!K27</f>
        <v>456.14035087719299</v>
      </c>
      <c r="M45" s="27">
        <f>DEPR!L27</f>
        <v>456.14035087719299</v>
      </c>
      <c r="N45" s="27">
        <f>DEPR!M27</f>
        <v>456.14035087719299</v>
      </c>
      <c r="O45" s="27">
        <f>DEPR!N27</f>
        <v>456.14035087719299</v>
      </c>
      <c r="P45" s="27">
        <f>DEPR!O27</f>
        <v>456.14035087719299</v>
      </c>
      <c r="Q45" s="391">
        <f t="shared" si="17"/>
        <v>4561.4035087719285</v>
      </c>
    </row>
    <row r="46" spans="1:17" x14ac:dyDescent="0.2">
      <c r="A46" s="3" t="s">
        <v>271</v>
      </c>
      <c r="B46" s="4"/>
      <c r="C46" s="4"/>
      <c r="D46" s="4"/>
      <c r="E46" s="4"/>
      <c r="F46" s="4"/>
      <c r="G46" s="29">
        <f>ASS!V24*DEBT</f>
        <v>0</v>
      </c>
      <c r="H46" s="29">
        <f>ASS!W24*DEBT</f>
        <v>0</v>
      </c>
      <c r="I46" s="29">
        <f>ASS!X24*DEBT</f>
        <v>0</v>
      </c>
      <c r="J46" s="29">
        <f>ASS!Y31*DEBT</f>
        <v>0</v>
      </c>
      <c r="K46" s="29">
        <f>ASS!Z31*DEBT</f>
        <v>0</v>
      </c>
      <c r="L46" s="29">
        <f>ASS!AA31*DEBT</f>
        <v>0</v>
      </c>
      <c r="M46" s="29">
        <f>ASS!AB31*DEBT</f>
        <v>0</v>
      </c>
      <c r="N46" s="29">
        <f>ASS!AC31*DEBT</f>
        <v>0</v>
      </c>
      <c r="O46" s="29">
        <f>ASS!AD31*DEBT</f>
        <v>0</v>
      </c>
      <c r="P46" s="29">
        <f>ASS!AE31*DEBT</f>
        <v>0</v>
      </c>
      <c r="Q46" s="391">
        <f t="shared" si="17"/>
        <v>0</v>
      </c>
    </row>
    <row r="47" spans="1:17" x14ac:dyDescent="0.2">
      <c r="A47" s="3" t="s">
        <v>272</v>
      </c>
      <c r="B47" s="4"/>
      <c r="C47" s="4"/>
      <c r="D47" s="4"/>
      <c r="E47" s="4"/>
      <c r="F47" s="4"/>
      <c r="G47" s="407">
        <f>SUM(G43:G46)</f>
        <v>505.10035087719297</v>
      </c>
      <c r="H47" s="407">
        <f>SUM(H43:H46)</f>
        <v>506.07955087719301</v>
      </c>
      <c r="I47" s="407">
        <f>SUM(I43:I46)</f>
        <v>507.07833487719302</v>
      </c>
      <c r="J47" s="407">
        <f t="shared" ref="J47:P47" si="18">SUM(J43:J46)</f>
        <v>508.09709455719297</v>
      </c>
      <c r="K47" s="407">
        <f t="shared" si="18"/>
        <v>509.13622943079298</v>
      </c>
      <c r="L47" s="407">
        <f t="shared" si="18"/>
        <v>510.19614700186497</v>
      </c>
      <c r="M47" s="407">
        <f t="shared" si="18"/>
        <v>511.27726292435841</v>
      </c>
      <c r="N47" s="407">
        <f t="shared" si="18"/>
        <v>512.38000116530179</v>
      </c>
      <c r="O47" s="407">
        <f t="shared" si="18"/>
        <v>513.50479417106385</v>
      </c>
      <c r="P47" s="407">
        <f t="shared" si="18"/>
        <v>514.65208303694135</v>
      </c>
      <c r="Q47" s="391">
        <f t="shared" si="17"/>
        <v>5097.5018489190952</v>
      </c>
    </row>
    <row r="48" spans="1:17" x14ac:dyDescent="0.2">
      <c r="A48" s="3"/>
      <c r="B48" s="4"/>
      <c r="C48" s="4"/>
      <c r="D48" s="4"/>
      <c r="E48" s="4"/>
      <c r="F48" s="4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391">
        <f t="shared" si="17"/>
        <v>0</v>
      </c>
    </row>
    <row r="49" spans="1:17" x14ac:dyDescent="0.2">
      <c r="A49" s="3" t="s">
        <v>273</v>
      </c>
      <c r="B49" s="4"/>
      <c r="C49" s="4"/>
      <c r="D49" s="4"/>
      <c r="E49" s="4" t="s">
        <v>5</v>
      </c>
      <c r="F49" s="4"/>
      <c r="G49" s="27">
        <f>G41-G47</f>
        <v>6594.8996491228072</v>
      </c>
      <c r="H49" s="27">
        <f>H41-H47</f>
        <v>5693.9204491228065</v>
      </c>
      <c r="I49" s="27">
        <f>I41-I47</f>
        <v>4792.9216651228071</v>
      </c>
      <c r="J49" s="27">
        <f t="shared" ref="J49:P49" si="19">J41-J47</f>
        <v>4791.9029054428074</v>
      </c>
      <c r="K49" s="27">
        <f t="shared" si="19"/>
        <v>4790.8637705692072</v>
      </c>
      <c r="L49" s="27">
        <f t="shared" si="19"/>
        <v>4789.803852998135</v>
      </c>
      <c r="M49" s="27">
        <f t="shared" si="19"/>
        <v>4788.7227370756418</v>
      </c>
      <c r="N49" s="27">
        <f t="shared" si="19"/>
        <v>4787.619998834698</v>
      </c>
      <c r="O49" s="27">
        <f t="shared" si="19"/>
        <v>4786.4952058289364</v>
      </c>
      <c r="P49" s="27">
        <f t="shared" si="19"/>
        <v>4785.3479169630591</v>
      </c>
      <c r="Q49" s="391">
        <f t="shared" si="17"/>
        <v>50602.498151080908</v>
      </c>
    </row>
    <row r="50" spans="1:17" x14ac:dyDescent="0.2">
      <c r="A50" s="3" t="s">
        <v>374</v>
      </c>
      <c r="B50" s="4"/>
      <c r="C50" s="4"/>
      <c r="D50" s="4"/>
      <c r="E50" s="4" t="s">
        <v>5</v>
      </c>
      <c r="F50" s="4"/>
      <c r="G50" s="27">
        <f>IF(G49&lt;0,0,G49*(ASS!$I$14+ASS!$I$15))</f>
        <v>2637.9598596491228</v>
      </c>
      <c r="H50" s="27">
        <f>IF(H49&lt;0,0,H49*(ASS!$I$14+ASS!$I$15))</f>
        <v>2277.5681796491226</v>
      </c>
      <c r="I50" s="27">
        <f>IF(I49&lt;0,0,I49*(ASS!$I$14+ASS!$I$15))</f>
        <v>1917.1686660491227</v>
      </c>
      <c r="J50" s="27">
        <f>IF(J49&lt;0,0,J49*(ASS!$I$14+ASS!$I$15))</f>
        <v>1916.7611621771227</v>
      </c>
      <c r="K50" s="27">
        <f>IF(K49&lt;0,0,K49*(ASS!$I$14+ASS!$I$15))</f>
        <v>1916.3455082276828</v>
      </c>
      <c r="L50" s="27">
        <f>IF(L49&lt;0,0,L49*(ASS!$I$14+ASS!$I$15))</f>
        <v>1915.9215411992539</v>
      </c>
      <c r="M50" s="27">
        <f>IF(M49&lt;0,0,M49*(ASS!$I$14+ASS!$I$15))</f>
        <v>1915.4890948302566</v>
      </c>
      <c r="N50" s="27">
        <f>IF(N49&lt;0,0,N49*(ASS!$I$14+ASS!$I$15))</f>
        <v>1915.047999533879</v>
      </c>
      <c r="O50" s="27">
        <f>IF(O49&lt;0,0,O49*(ASS!$I$14+ASS!$I$15))</f>
        <v>1914.5980823315745</v>
      </c>
      <c r="P50" s="27">
        <f>IF(P49&lt;0,0,P49*(ASS!$I$14+ASS!$I$15))</f>
        <v>1914.1391667852236</v>
      </c>
      <c r="Q50" s="391">
        <f t="shared" si="17"/>
        <v>20240.99926043236</v>
      </c>
    </row>
    <row r="51" spans="1:17" x14ac:dyDescent="0.2">
      <c r="A51" s="3"/>
      <c r="B51" s="4"/>
      <c r="C51" s="4"/>
      <c r="D51" s="4"/>
      <c r="E51" s="4" t="s">
        <v>5</v>
      </c>
      <c r="F51" s="4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391">
        <f t="shared" si="17"/>
        <v>0</v>
      </c>
    </row>
    <row r="52" spans="1:17" x14ac:dyDescent="0.2">
      <c r="A52" s="3" t="s">
        <v>274</v>
      </c>
      <c r="B52" s="4"/>
      <c r="C52" s="4"/>
      <c r="D52" s="4"/>
      <c r="E52" s="4" t="s">
        <v>5</v>
      </c>
      <c r="F52" s="4"/>
      <c r="G52" s="408">
        <f>G49-G50</f>
        <v>3956.9397894736844</v>
      </c>
      <c r="H52" s="408">
        <f>H49-H50</f>
        <v>3416.3522694736839</v>
      </c>
      <c r="I52" s="408">
        <f>I49-I50</f>
        <v>2875.7529990736844</v>
      </c>
      <c r="J52" s="408">
        <f t="shared" ref="J52:P52" si="20">J49-J50</f>
        <v>2875.1417432656845</v>
      </c>
      <c r="K52" s="408">
        <f t="shared" si="20"/>
        <v>2874.5182623415244</v>
      </c>
      <c r="L52" s="408">
        <f t="shared" si="20"/>
        <v>2873.8823117988813</v>
      </c>
      <c r="M52" s="408">
        <f t="shared" si="20"/>
        <v>2873.2336422453855</v>
      </c>
      <c r="N52" s="408">
        <f t="shared" si="20"/>
        <v>2872.5719993008188</v>
      </c>
      <c r="O52" s="408">
        <f t="shared" si="20"/>
        <v>2871.8971234973619</v>
      </c>
      <c r="P52" s="408">
        <f t="shared" si="20"/>
        <v>2871.2087501778356</v>
      </c>
      <c r="Q52" s="391">
        <f t="shared" si="17"/>
        <v>30361.498890648549</v>
      </c>
    </row>
    <row r="53" spans="1:17" x14ac:dyDescent="0.2">
      <c r="A53" s="5"/>
      <c r="B53" s="6"/>
      <c r="C53" s="6"/>
      <c r="D53" s="6"/>
      <c r="E53" s="6"/>
      <c r="F53" s="6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3"/>
    </row>
    <row r="56" spans="1:17" ht="15.75" x14ac:dyDescent="0.25">
      <c r="A56" s="197" t="s">
        <v>275</v>
      </c>
      <c r="B56" s="198"/>
      <c r="C56" s="198"/>
      <c r="D56" s="199"/>
    </row>
    <row r="57" spans="1:17" x14ac:dyDescent="0.2">
      <c r="G57" s="25">
        <f t="shared" ref="G57:I58" si="21">G3</f>
        <v>1</v>
      </c>
      <c r="H57" s="25">
        <f t="shared" si="21"/>
        <v>2</v>
      </c>
      <c r="I57" s="25">
        <f t="shared" si="21"/>
        <v>3</v>
      </c>
      <c r="J57" s="25">
        <f t="shared" ref="J57:P57" si="22">J3</f>
        <v>4</v>
      </c>
      <c r="K57" s="25">
        <f t="shared" si="22"/>
        <v>5</v>
      </c>
      <c r="L57" s="25">
        <f t="shared" si="22"/>
        <v>6</v>
      </c>
      <c r="M57" s="25">
        <f t="shared" si="22"/>
        <v>7</v>
      </c>
      <c r="N57" s="25">
        <f t="shared" si="22"/>
        <v>8</v>
      </c>
      <c r="O57" s="25">
        <f t="shared" si="22"/>
        <v>9</v>
      </c>
      <c r="P57" s="25">
        <f t="shared" si="22"/>
        <v>10</v>
      </c>
      <c r="Q57" s="17"/>
    </row>
    <row r="58" spans="1:17" x14ac:dyDescent="0.2">
      <c r="A58" s="25" t="s">
        <v>360</v>
      </c>
      <c r="G58" s="25">
        <f t="shared" si="21"/>
        <v>2001</v>
      </c>
      <c r="H58" s="25">
        <f t="shared" si="21"/>
        <v>2002</v>
      </c>
      <c r="I58" s="25">
        <f t="shared" si="21"/>
        <v>2003</v>
      </c>
      <c r="J58" s="25">
        <f t="shared" ref="J58:P58" si="23">J4</f>
        <v>2004</v>
      </c>
      <c r="K58" s="25">
        <f t="shared" si="23"/>
        <v>2005</v>
      </c>
      <c r="L58" s="25">
        <f t="shared" si="23"/>
        <v>2006</v>
      </c>
      <c r="M58" s="25">
        <f t="shared" si="23"/>
        <v>2007</v>
      </c>
      <c r="N58" s="25">
        <f t="shared" si="23"/>
        <v>2008</v>
      </c>
      <c r="O58" s="25">
        <f t="shared" si="23"/>
        <v>2009</v>
      </c>
      <c r="P58" s="25">
        <f t="shared" si="23"/>
        <v>2010</v>
      </c>
      <c r="Q58" s="31" t="s">
        <v>117</v>
      </c>
    </row>
    <row r="59" spans="1:17" x14ac:dyDescent="0.2">
      <c r="A59" s="11" t="s">
        <v>276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17"/>
    </row>
    <row r="60" spans="1:17" x14ac:dyDescent="0.2">
      <c r="A60" s="3"/>
      <c r="B60" s="4" t="s">
        <v>277</v>
      </c>
      <c r="C60" s="4"/>
      <c r="D60" s="4"/>
      <c r="E60" s="4"/>
      <c r="F60" s="239"/>
      <c r="G60" s="239">
        <f>CF!D18</f>
        <v>7100</v>
      </c>
      <c r="H60" s="27">
        <f>CF!E18</f>
        <v>6200</v>
      </c>
      <c r="I60" s="27">
        <f>CF!F18</f>
        <v>5300</v>
      </c>
      <c r="J60" s="27">
        <f>CF!G18</f>
        <v>5300</v>
      </c>
      <c r="K60" s="27">
        <f>CF!H18</f>
        <v>5300</v>
      </c>
      <c r="L60" s="27">
        <f>CF!I18</f>
        <v>5300</v>
      </c>
      <c r="M60" s="27">
        <f>CF!J18</f>
        <v>5300</v>
      </c>
      <c r="N60" s="27">
        <f>CF!K18</f>
        <v>5300</v>
      </c>
      <c r="O60" s="27">
        <f>CF!L18</f>
        <v>5300</v>
      </c>
      <c r="P60" s="27">
        <f>CF!M18</f>
        <v>5300</v>
      </c>
      <c r="Q60" s="391">
        <f>SUM(G60:P60)</f>
        <v>55700</v>
      </c>
    </row>
    <row r="61" spans="1:17" x14ac:dyDescent="0.2">
      <c r="A61" s="3"/>
      <c r="B61" s="4" t="s">
        <v>278</v>
      </c>
      <c r="C61" s="4"/>
      <c r="D61" s="4"/>
      <c r="E61" s="4"/>
      <c r="F61" s="4"/>
      <c r="G61" s="27">
        <f>-CF!D47</f>
        <v>-48.96</v>
      </c>
      <c r="H61" s="27">
        <f>-CF!E47</f>
        <v>-49.9392</v>
      </c>
      <c r="I61" s="27">
        <f>-CF!F47</f>
        <v>-50.937984</v>
      </c>
      <c r="J61" s="27">
        <f>-CF!G47</f>
        <v>-51.95674368000001</v>
      </c>
      <c r="K61" s="27">
        <f>-CF!H47</f>
        <v>-52.995878553600001</v>
      </c>
      <c r="L61" s="27">
        <f>-CF!I47</f>
        <v>-54.055796124672007</v>
      </c>
      <c r="M61" s="27">
        <f>-CF!J47</f>
        <v>-55.136912047165431</v>
      </c>
      <c r="N61" s="27">
        <f>-CF!K47</f>
        <v>-56.239650288108749</v>
      </c>
      <c r="O61" s="27">
        <f>-CF!L47</f>
        <v>-57.36444329387092</v>
      </c>
      <c r="P61" s="27">
        <f>-CF!M47</f>
        <v>-58.511732159748341</v>
      </c>
      <c r="Q61" s="391">
        <f>SUM(G61:P61)</f>
        <v>-536.09834014716546</v>
      </c>
    </row>
    <row r="62" spans="1:17" x14ac:dyDescent="0.2">
      <c r="A62" s="3"/>
      <c r="B62" s="4" t="s">
        <v>279</v>
      </c>
      <c r="C62" s="4"/>
      <c r="D62" s="4"/>
      <c r="E62" s="4"/>
      <c r="F62" s="4"/>
      <c r="G62" s="27">
        <f>CF!D60</f>
        <v>0</v>
      </c>
      <c r="H62" s="27">
        <f>CF!E60</f>
        <v>0</v>
      </c>
      <c r="I62" s="27">
        <f>CF!F60</f>
        <v>0</v>
      </c>
      <c r="J62" s="27">
        <f>CF!G60</f>
        <v>0</v>
      </c>
      <c r="K62" s="27">
        <f>CF!H60</f>
        <v>0</v>
      </c>
      <c r="L62" s="27">
        <f>CF!I60</f>
        <v>0</v>
      </c>
      <c r="M62" s="27">
        <f>CF!J60</f>
        <v>0</v>
      </c>
      <c r="N62" s="27">
        <f>CF!K60</f>
        <v>0</v>
      </c>
      <c r="O62" s="27">
        <f>CF!L60</f>
        <v>0</v>
      </c>
      <c r="P62" s="27">
        <f>CF!M60</f>
        <v>0</v>
      </c>
      <c r="Q62" s="391">
        <f t="shared" ref="Q62:Q85" si="24">SUM(G62:P62)</f>
        <v>0</v>
      </c>
    </row>
    <row r="63" spans="1:17" x14ac:dyDescent="0.2">
      <c r="A63" s="3"/>
      <c r="B63" s="4" t="s">
        <v>313</v>
      </c>
      <c r="C63" s="4"/>
      <c r="D63" s="4"/>
      <c r="E63" s="4"/>
      <c r="F63" s="4"/>
      <c r="G63" s="27">
        <f>CF!D63+CF!D64</f>
        <v>0</v>
      </c>
      <c r="H63" s="27">
        <f>CF!E63+CF!E64</f>
        <v>0</v>
      </c>
      <c r="I63" s="27">
        <f>CF!F63+CF!F64</f>
        <v>0</v>
      </c>
      <c r="J63" s="27">
        <f>CF!G63+CF!G64</f>
        <v>0</v>
      </c>
      <c r="K63" s="27">
        <f>CF!H63+CF!H64</f>
        <v>0</v>
      </c>
      <c r="L63" s="27">
        <f>CF!I63+CF!I64</f>
        <v>0</v>
      </c>
      <c r="M63" s="27">
        <f>CF!J63+CF!J64</f>
        <v>0</v>
      </c>
      <c r="N63" s="27">
        <f>CF!K63+CF!K64</f>
        <v>0</v>
      </c>
      <c r="O63" s="27">
        <f>CF!L63+CF!L64</f>
        <v>0</v>
      </c>
      <c r="P63" s="27">
        <f>CF!M63+CF!M64</f>
        <v>0</v>
      </c>
      <c r="Q63" s="391">
        <f t="shared" si="24"/>
        <v>0</v>
      </c>
    </row>
    <row r="64" spans="1:17" x14ac:dyDescent="0.2">
      <c r="A64" s="3"/>
      <c r="B64" s="4" t="s">
        <v>280</v>
      </c>
      <c r="C64" s="4"/>
      <c r="D64" s="4"/>
      <c r="E64" s="4"/>
      <c r="F64" s="4"/>
      <c r="G64" s="27">
        <f>ASS!V24*DEBT</f>
        <v>0</v>
      </c>
      <c r="H64" s="27">
        <f>ASS!W24*DEBT</f>
        <v>0</v>
      </c>
      <c r="I64" s="27">
        <f>ASS!X24*DEBT</f>
        <v>0</v>
      </c>
      <c r="J64" s="27">
        <f>ASS!Y31*DEBT</f>
        <v>0</v>
      </c>
      <c r="K64" s="27">
        <f>ASS!Z31*DEBT</f>
        <v>0</v>
      </c>
      <c r="L64" s="27">
        <f>ASS!AA31*DEBT</f>
        <v>0</v>
      </c>
      <c r="M64" s="27">
        <f>ASS!AB31*DEBT</f>
        <v>0</v>
      </c>
      <c r="N64" s="27">
        <f>ASS!AC31*DEBT</f>
        <v>0</v>
      </c>
      <c r="O64" s="27">
        <f>ASS!AD31*DEBT</f>
        <v>0</v>
      </c>
      <c r="P64" s="27">
        <f>ASS!AE31*DEBT</f>
        <v>0</v>
      </c>
      <c r="Q64" s="391">
        <f t="shared" si="24"/>
        <v>0</v>
      </c>
    </row>
    <row r="65" spans="1:17" x14ac:dyDescent="0.2">
      <c r="A65" s="3"/>
      <c r="B65" s="4" t="s">
        <v>281</v>
      </c>
      <c r="C65" s="4"/>
      <c r="D65" s="4"/>
      <c r="E65" s="4"/>
      <c r="F65" s="4"/>
      <c r="G65" s="29">
        <f>CF!D65</f>
        <v>2625.4159999999997</v>
      </c>
      <c r="H65" s="29">
        <f>CF!E65</f>
        <v>2084.6363199999996</v>
      </c>
      <c r="I65" s="29">
        <f>CF!F65</f>
        <v>1752.9408063999997</v>
      </c>
      <c r="J65" s="29">
        <f>CF!G65</f>
        <v>1778.0133025279999</v>
      </c>
      <c r="K65" s="29">
        <f>CF!H65</f>
        <v>1801.7256485785597</v>
      </c>
      <c r="L65" s="29">
        <f>CF!I65</f>
        <v>1823.5576815501308</v>
      </c>
      <c r="M65" s="29">
        <f>CF!J65</f>
        <v>1843.7692351811338</v>
      </c>
      <c r="N65" s="29">
        <f>CF!K65</f>
        <v>1862.3601398847566</v>
      </c>
      <c r="O65" s="29">
        <f>CF!L65</f>
        <v>1865.0302226824517</v>
      </c>
      <c r="P65" s="29">
        <f>CF!M65</f>
        <v>1864.6233071361005</v>
      </c>
      <c r="Q65" s="398">
        <f t="shared" si="24"/>
        <v>19302.072663941137</v>
      </c>
    </row>
    <row r="66" spans="1:17" x14ac:dyDescent="0.2">
      <c r="A66" s="3"/>
      <c r="B66" s="4"/>
      <c r="C66" s="4" t="s">
        <v>282</v>
      </c>
      <c r="D66" s="4"/>
      <c r="E66" s="4"/>
      <c r="F66" s="4"/>
      <c r="G66" s="407">
        <f>SUM(G60:G65)</f>
        <v>9676.4560000000001</v>
      </c>
      <c r="H66" s="407">
        <f>SUM(H60:H65)</f>
        <v>8234.6971200000007</v>
      </c>
      <c r="I66" s="407">
        <f>SUM(I60:I65)</f>
        <v>7002.0028223999998</v>
      </c>
      <c r="J66" s="407">
        <f t="shared" ref="J66:P66" si="25">SUM(J60:J65)</f>
        <v>7026.0565588480003</v>
      </c>
      <c r="K66" s="407">
        <f t="shared" si="25"/>
        <v>7048.7297700249601</v>
      </c>
      <c r="L66" s="407">
        <f t="shared" si="25"/>
        <v>7069.5018854254586</v>
      </c>
      <c r="M66" s="407">
        <f t="shared" si="25"/>
        <v>7088.6323231339684</v>
      </c>
      <c r="N66" s="407">
        <f t="shared" si="25"/>
        <v>7106.1204895966484</v>
      </c>
      <c r="O66" s="407">
        <f t="shared" si="25"/>
        <v>7107.6657793885806</v>
      </c>
      <c r="P66" s="407">
        <f t="shared" si="25"/>
        <v>7106.1115749763521</v>
      </c>
      <c r="Q66" s="391">
        <f t="shared" si="24"/>
        <v>74465.974323793984</v>
      </c>
    </row>
    <row r="67" spans="1:17" x14ac:dyDescent="0.2">
      <c r="A67" s="3"/>
      <c r="B67" s="4"/>
      <c r="C67" s="4"/>
      <c r="D67" s="4"/>
      <c r="E67" s="4"/>
      <c r="F67" s="4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391"/>
    </row>
    <row r="68" spans="1:17" x14ac:dyDescent="0.2">
      <c r="A68" s="3" t="s">
        <v>283</v>
      </c>
      <c r="B68" s="4"/>
      <c r="C68" s="4"/>
      <c r="D68" s="4"/>
      <c r="E68" s="4"/>
      <c r="F68" s="4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391"/>
    </row>
    <row r="69" spans="1:17" x14ac:dyDescent="0.2">
      <c r="A69" s="3"/>
      <c r="B69" s="4" t="s">
        <v>284</v>
      </c>
      <c r="C69" s="4"/>
      <c r="D69" s="4"/>
      <c r="E69" s="4"/>
      <c r="F69" s="4"/>
      <c r="G69" s="27">
        <f>ASS!V24*DEBT</f>
        <v>0</v>
      </c>
      <c r="H69" s="27">
        <f>ASS!W24*DEBT</f>
        <v>0</v>
      </c>
      <c r="I69" s="27">
        <f>ASS!X24*DEBT</f>
        <v>0</v>
      </c>
      <c r="J69" s="27">
        <f>ASS!Y31*DEBT</f>
        <v>0</v>
      </c>
      <c r="K69" s="27">
        <f>ASS!Z31*DEBT</f>
        <v>0</v>
      </c>
      <c r="L69" s="27">
        <f>ASS!AA31*DEBT</f>
        <v>0</v>
      </c>
      <c r="M69" s="27">
        <f>ASS!AB31*DEBT</f>
        <v>0</v>
      </c>
      <c r="N69" s="27">
        <f>ASS!AC31*DEBT</f>
        <v>0</v>
      </c>
      <c r="O69" s="27">
        <f>ASS!AD31*DEBT</f>
        <v>0</v>
      </c>
      <c r="P69" s="27">
        <f>ASS!AE31*DEBT</f>
        <v>0</v>
      </c>
      <c r="Q69" s="391">
        <f t="shared" si="24"/>
        <v>0</v>
      </c>
    </row>
    <row r="70" spans="1:17" x14ac:dyDescent="0.2">
      <c r="A70" s="3"/>
      <c r="B70" s="4" t="s">
        <v>285</v>
      </c>
      <c r="C70" s="4"/>
      <c r="D70" s="4"/>
      <c r="E70" s="4"/>
      <c r="F70" s="4"/>
      <c r="G70" s="27">
        <f>COST*DEBTPERC</f>
        <v>0</v>
      </c>
      <c r="H70" s="27">
        <v>0</v>
      </c>
      <c r="I70" s="27">
        <v>0</v>
      </c>
      <c r="J70" s="27">
        <v>0</v>
      </c>
      <c r="K70" s="27">
        <v>0</v>
      </c>
      <c r="L70" s="27">
        <v>0</v>
      </c>
      <c r="M70" s="27">
        <v>0</v>
      </c>
      <c r="N70" s="27">
        <v>0</v>
      </c>
      <c r="O70" s="27">
        <v>0</v>
      </c>
      <c r="P70" s="27">
        <v>0</v>
      </c>
      <c r="Q70" s="391">
        <f t="shared" si="24"/>
        <v>0</v>
      </c>
    </row>
    <row r="71" spans="1:17" x14ac:dyDescent="0.2">
      <c r="A71" s="3"/>
      <c r="B71" s="4" t="s">
        <v>286</v>
      </c>
      <c r="C71" s="4"/>
      <c r="D71" s="4"/>
      <c r="E71" s="4"/>
      <c r="F71" s="4"/>
      <c r="G71" s="27">
        <v>0</v>
      </c>
      <c r="H71" s="27">
        <v>0</v>
      </c>
      <c r="I71" s="27">
        <v>0</v>
      </c>
      <c r="J71" s="27">
        <v>0</v>
      </c>
      <c r="K71" s="27">
        <v>0</v>
      </c>
      <c r="L71" s="27">
        <v>0</v>
      </c>
      <c r="M71" s="27">
        <v>0</v>
      </c>
      <c r="N71" s="27">
        <v>0</v>
      </c>
      <c r="O71" s="27">
        <v>0</v>
      </c>
      <c r="P71" s="27">
        <v>0</v>
      </c>
      <c r="Q71" s="391">
        <f t="shared" si="24"/>
        <v>0</v>
      </c>
    </row>
    <row r="72" spans="1:17" x14ac:dyDescent="0.2">
      <c r="A72" s="3"/>
      <c r="B72" s="4" t="s">
        <v>287</v>
      </c>
      <c r="C72" s="4"/>
      <c r="D72" s="4"/>
      <c r="E72" s="4"/>
      <c r="F72" s="4"/>
      <c r="G72" s="27">
        <v>0</v>
      </c>
      <c r="H72" s="27">
        <v>0</v>
      </c>
      <c r="I72" s="27">
        <v>0</v>
      </c>
      <c r="J72" s="27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391">
        <f t="shared" si="24"/>
        <v>0</v>
      </c>
    </row>
    <row r="73" spans="1:17" x14ac:dyDescent="0.2">
      <c r="A73" s="3"/>
      <c r="B73" s="4" t="s">
        <v>288</v>
      </c>
      <c r="C73" s="4"/>
      <c r="D73" s="4"/>
      <c r="E73" s="4"/>
      <c r="F73" s="4"/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391">
        <f t="shared" si="24"/>
        <v>0</v>
      </c>
    </row>
    <row r="74" spans="1:17" x14ac:dyDescent="0.2">
      <c r="A74" s="3"/>
      <c r="B74" s="4" t="s">
        <v>289</v>
      </c>
      <c r="C74" s="4"/>
      <c r="D74" s="4"/>
      <c r="E74" s="4"/>
      <c r="F74" s="4"/>
      <c r="G74" s="27">
        <v>0</v>
      </c>
      <c r="H74" s="27">
        <v>0</v>
      </c>
      <c r="I74" s="27">
        <v>0</v>
      </c>
      <c r="J74" s="27">
        <v>0</v>
      </c>
      <c r="K74" s="27">
        <v>0</v>
      </c>
      <c r="L74" s="27">
        <v>0</v>
      </c>
      <c r="M74" s="27">
        <v>0</v>
      </c>
      <c r="N74" s="27">
        <v>0</v>
      </c>
      <c r="O74" s="27">
        <v>0</v>
      </c>
      <c r="P74" s="27">
        <v>0</v>
      </c>
      <c r="Q74" s="391">
        <f t="shared" si="24"/>
        <v>0</v>
      </c>
    </row>
    <row r="75" spans="1:17" x14ac:dyDescent="0.2">
      <c r="A75" s="3"/>
      <c r="B75" s="4" t="s">
        <v>290</v>
      </c>
      <c r="C75" s="4"/>
      <c r="D75" s="4"/>
      <c r="E75" s="4"/>
      <c r="F75" s="4"/>
      <c r="G75" s="27">
        <v>0</v>
      </c>
      <c r="H75" s="27">
        <v>0</v>
      </c>
      <c r="I75" s="27">
        <v>0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</v>
      </c>
      <c r="Q75" s="391">
        <f t="shared" si="24"/>
        <v>0</v>
      </c>
    </row>
    <row r="76" spans="1:17" x14ac:dyDescent="0.2">
      <c r="A76" s="3"/>
      <c r="B76" s="4" t="s">
        <v>291</v>
      </c>
      <c r="C76" s="4"/>
      <c r="D76" s="4"/>
      <c r="E76" s="4"/>
      <c r="F76" s="4"/>
      <c r="G76" s="27">
        <f>COST*equityperc</f>
        <v>13000</v>
      </c>
      <c r="H76" s="27">
        <v>0</v>
      </c>
      <c r="I76" s="27">
        <v>0</v>
      </c>
      <c r="J76" s="27">
        <v>0</v>
      </c>
      <c r="K76" s="27">
        <v>0</v>
      </c>
      <c r="L76" s="27">
        <v>0</v>
      </c>
      <c r="M76" s="27">
        <v>0</v>
      </c>
      <c r="N76" s="27">
        <v>0</v>
      </c>
      <c r="O76" s="27">
        <v>0</v>
      </c>
      <c r="P76" s="27">
        <v>0</v>
      </c>
      <c r="Q76" s="391">
        <f t="shared" si="24"/>
        <v>13000</v>
      </c>
    </row>
    <row r="77" spans="1:17" x14ac:dyDescent="0.2">
      <c r="A77" s="3"/>
      <c r="B77" s="4" t="s">
        <v>249</v>
      </c>
      <c r="C77" s="4"/>
      <c r="D77" s="4"/>
      <c r="E77" s="4"/>
      <c r="F77" s="27"/>
      <c r="G77" s="27">
        <f>-(G70+G76-WCAP)</f>
        <v>-13000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0</v>
      </c>
      <c r="Q77" s="391">
        <f t="shared" si="24"/>
        <v>-13000</v>
      </c>
    </row>
    <row r="78" spans="1:17" x14ac:dyDescent="0.2">
      <c r="A78" s="3"/>
      <c r="B78" s="4" t="s">
        <v>292</v>
      </c>
      <c r="C78" s="4"/>
      <c r="D78" s="4"/>
      <c r="E78" s="4"/>
      <c r="F78" s="4"/>
      <c r="G78" s="27">
        <f>-CF!D67</f>
        <v>-4425.6240000000007</v>
      </c>
      <c r="H78" s="27">
        <f>-CF!E67</f>
        <v>-4065.4244800000006</v>
      </c>
      <c r="I78" s="27">
        <f>-CF!F67</f>
        <v>-3496.1212095999999</v>
      </c>
      <c r="J78" s="27">
        <f>-CF!G67</f>
        <v>-3470.029953792</v>
      </c>
      <c r="K78" s="27">
        <f>-CF!H67</f>
        <v>-3445.2784728678407</v>
      </c>
      <c r="L78" s="27">
        <f>-CF!I67</f>
        <v>-3422.3865223251969</v>
      </c>
      <c r="M78" s="27">
        <f>-CF!J67</f>
        <v>-3401.0938527717008</v>
      </c>
      <c r="N78" s="27">
        <f>-CF!K67</f>
        <v>-3381.4002098271349</v>
      </c>
      <c r="O78" s="27">
        <f>-CF!L67</f>
        <v>-3377.6053340236776</v>
      </c>
      <c r="P78" s="27">
        <f>-CF!M67</f>
        <v>-3376.8649607041516</v>
      </c>
      <c r="Q78" s="391">
        <f t="shared" si="24"/>
        <v>-35861.828995911703</v>
      </c>
    </row>
    <row r="79" spans="1:17" x14ac:dyDescent="0.2">
      <c r="A79" s="3"/>
      <c r="B79" s="4"/>
      <c r="C79" s="4" t="s">
        <v>293</v>
      </c>
      <c r="D79" s="4"/>
      <c r="E79" s="4"/>
      <c r="F79" s="4"/>
      <c r="G79" s="29">
        <f>SUM(G69:G78)</f>
        <v>-4425.6240000000007</v>
      </c>
      <c r="H79" s="29">
        <f>SUM(H69:H78)</f>
        <v>-4065.4244800000006</v>
      </c>
      <c r="I79" s="29">
        <f>SUM(I69:I78)</f>
        <v>-3496.1212095999999</v>
      </c>
      <c r="J79" s="29">
        <f t="shared" ref="J79:P79" si="26">SUM(J69:J78)</f>
        <v>-3470.029953792</v>
      </c>
      <c r="K79" s="29">
        <f t="shared" si="26"/>
        <v>-3445.2784728678407</v>
      </c>
      <c r="L79" s="29">
        <f t="shared" si="26"/>
        <v>-3422.3865223251969</v>
      </c>
      <c r="M79" s="29">
        <f t="shared" si="26"/>
        <v>-3401.0938527717008</v>
      </c>
      <c r="N79" s="29">
        <f t="shared" si="26"/>
        <v>-3381.4002098271349</v>
      </c>
      <c r="O79" s="29">
        <f t="shared" si="26"/>
        <v>-3377.6053340236776</v>
      </c>
      <c r="P79" s="29">
        <f t="shared" si="26"/>
        <v>-3376.8649607041516</v>
      </c>
      <c r="Q79" s="398">
        <f t="shared" si="24"/>
        <v>-35861.828995911703</v>
      </c>
    </row>
    <row r="80" spans="1:17" x14ac:dyDescent="0.2">
      <c r="A80" s="3"/>
      <c r="B80" s="4"/>
      <c r="C80" s="4"/>
      <c r="D80" s="4"/>
      <c r="E80" s="4"/>
      <c r="F80" s="4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391">
        <f t="shared" si="24"/>
        <v>0</v>
      </c>
    </row>
    <row r="81" spans="1:17" x14ac:dyDescent="0.2">
      <c r="A81" s="3" t="s">
        <v>294</v>
      </c>
      <c r="B81" s="4"/>
      <c r="C81" s="4"/>
      <c r="D81" s="4"/>
      <c r="E81" s="4"/>
      <c r="F81" s="4"/>
      <c r="G81" s="407">
        <f>G66+G79</f>
        <v>5250.8319999999994</v>
      </c>
      <c r="H81" s="407">
        <f>H66+H79</f>
        <v>4169.2726400000001</v>
      </c>
      <c r="I81" s="407">
        <f>I66+I79</f>
        <v>3505.8816127999999</v>
      </c>
      <c r="J81" s="407">
        <f t="shared" ref="J81:P81" si="27">J66+J79</f>
        <v>3556.0266050560003</v>
      </c>
      <c r="K81" s="407">
        <f t="shared" si="27"/>
        <v>3603.4512971571194</v>
      </c>
      <c r="L81" s="407">
        <f t="shared" si="27"/>
        <v>3647.1153631002617</v>
      </c>
      <c r="M81" s="407">
        <f t="shared" si="27"/>
        <v>3687.5384703622676</v>
      </c>
      <c r="N81" s="407">
        <f t="shared" si="27"/>
        <v>3724.7202797695136</v>
      </c>
      <c r="O81" s="407">
        <f t="shared" si="27"/>
        <v>3730.060445364903</v>
      </c>
      <c r="P81" s="407">
        <f t="shared" si="27"/>
        <v>3729.2466142722005</v>
      </c>
      <c r="Q81" s="391">
        <f t="shared" si="24"/>
        <v>38604.145327882259</v>
      </c>
    </row>
    <row r="82" spans="1:17" x14ac:dyDescent="0.2">
      <c r="A82" s="3"/>
      <c r="B82" s="4"/>
      <c r="C82" s="4"/>
      <c r="D82" s="4"/>
      <c r="E82" s="4"/>
      <c r="F82" s="4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391">
        <f t="shared" si="24"/>
        <v>0</v>
      </c>
    </row>
    <row r="83" spans="1:17" x14ac:dyDescent="0.2">
      <c r="A83" s="3" t="s">
        <v>295</v>
      </c>
      <c r="B83" s="4"/>
      <c r="C83" s="4"/>
      <c r="D83" s="4"/>
      <c r="E83" s="4"/>
      <c r="F83" s="4"/>
      <c r="G83" s="27">
        <v>0</v>
      </c>
      <c r="H83" s="27">
        <f>G85</f>
        <v>5250.8319999999994</v>
      </c>
      <c r="I83" s="27">
        <f>H85</f>
        <v>9420.1046399999996</v>
      </c>
      <c r="J83" s="27">
        <f t="shared" ref="J83:P83" si="28">I85</f>
        <v>12925.986252799999</v>
      </c>
      <c r="K83" s="27">
        <f t="shared" si="28"/>
        <v>16482.012857856</v>
      </c>
      <c r="L83" s="27">
        <f t="shared" si="28"/>
        <v>20085.46415501312</v>
      </c>
      <c r="M83" s="27">
        <f t="shared" si="28"/>
        <v>23732.57951811338</v>
      </c>
      <c r="N83" s="27">
        <f t="shared" si="28"/>
        <v>27420.117988475649</v>
      </c>
      <c r="O83" s="27">
        <f t="shared" si="28"/>
        <v>31144.838268245163</v>
      </c>
      <c r="P83" s="27">
        <f t="shared" si="28"/>
        <v>34874.898713610062</v>
      </c>
      <c r="Q83" s="391">
        <f t="shared" si="24"/>
        <v>181336.83439411339</v>
      </c>
    </row>
    <row r="84" spans="1:17" x14ac:dyDescent="0.2">
      <c r="A84" s="3"/>
      <c r="B84" s="4"/>
      <c r="C84" s="4"/>
      <c r="D84" s="4"/>
      <c r="E84" s="4"/>
      <c r="F84" s="4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391">
        <f t="shared" si="24"/>
        <v>0</v>
      </c>
    </row>
    <row r="85" spans="1:17" x14ac:dyDescent="0.2">
      <c r="A85" s="5" t="s">
        <v>296</v>
      </c>
      <c r="B85" s="6"/>
      <c r="C85" s="6"/>
      <c r="D85" s="6"/>
      <c r="E85" s="6"/>
      <c r="F85" s="6"/>
      <c r="G85" s="409">
        <f>G81+G83</f>
        <v>5250.8319999999994</v>
      </c>
      <c r="H85" s="409">
        <f>H81+H83</f>
        <v>9420.1046399999996</v>
      </c>
      <c r="I85" s="409">
        <f>I81+I83</f>
        <v>12925.986252799999</v>
      </c>
      <c r="J85" s="409">
        <f t="shared" ref="J85:P85" si="29">J81+J83</f>
        <v>16482.012857856</v>
      </c>
      <c r="K85" s="409">
        <f t="shared" si="29"/>
        <v>20085.46415501312</v>
      </c>
      <c r="L85" s="409">
        <f t="shared" si="29"/>
        <v>23732.57951811338</v>
      </c>
      <c r="M85" s="409">
        <f t="shared" si="29"/>
        <v>27420.117988475649</v>
      </c>
      <c r="N85" s="409">
        <f t="shared" si="29"/>
        <v>31144.838268245163</v>
      </c>
      <c r="O85" s="409">
        <f t="shared" si="29"/>
        <v>34874.898713610062</v>
      </c>
      <c r="P85" s="409">
        <f t="shared" si="29"/>
        <v>38604.145327882259</v>
      </c>
      <c r="Q85" s="392">
        <f t="shared" si="24"/>
        <v>219940.97972199565</v>
      </c>
    </row>
  </sheetData>
  <printOptions horizontalCentered="1"/>
  <pageMargins left="0.5" right="1" top="0.75" bottom="0.75" header="0.5" footer="0.5"/>
  <pageSetup scale="47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74</vt:i4>
      </vt:variant>
    </vt:vector>
  </HeadingPairs>
  <TitlesOfParts>
    <vt:vector size="83" baseType="lpstr">
      <vt:lpstr>ASS</vt:lpstr>
      <vt:lpstr>CF</vt:lpstr>
      <vt:lpstr>RETURNS</vt:lpstr>
      <vt:lpstr>DRAWDOWN</vt:lpstr>
      <vt:lpstr>IDC</vt:lpstr>
      <vt:lpstr>FIN</vt:lpstr>
      <vt:lpstr>TAXES_FEES</vt:lpstr>
      <vt:lpstr>DEPR</vt:lpstr>
      <vt:lpstr>BS_IS</vt:lpstr>
      <vt:lpstr>ASS</vt:lpstr>
      <vt:lpstr>avail</vt:lpstr>
      <vt:lpstr>BLANK</vt:lpstr>
      <vt:lpstr>BS</vt:lpstr>
      <vt:lpstr>capacity</vt:lpstr>
      <vt:lpstr>CCINPUT</vt:lpstr>
      <vt:lpstr>CCTEMP</vt:lpstr>
      <vt:lpstr>CCVAR</vt:lpstr>
      <vt:lpstr>CCVAR1</vt:lpstr>
      <vt:lpstr>CF</vt:lpstr>
      <vt:lpstr>COST</vt:lpstr>
      <vt:lpstr>CPI</vt:lpstr>
      <vt:lpstr>CT_COMFEE</vt:lpstr>
      <vt:lpstr>DEBT</vt:lpstr>
      <vt:lpstr>DEBTPERC</vt:lpstr>
      <vt:lpstr>DEPR</vt:lpstr>
      <vt:lpstr>DISC</vt:lpstr>
      <vt:lpstr>dispatch</vt:lpstr>
      <vt:lpstr>DRAW_TABLE</vt:lpstr>
      <vt:lpstr>DRAWDOWN</vt:lpstr>
      <vt:lpstr>EQUITY</vt:lpstr>
      <vt:lpstr>equityperc</vt:lpstr>
      <vt:lpstr>EST_COMMITT</vt:lpstr>
      <vt:lpstr>EST_COST</vt:lpstr>
      <vt:lpstr>EST_COST1</vt:lpstr>
      <vt:lpstr>EST_D1</vt:lpstr>
      <vt:lpstr>EST_D3</vt:lpstr>
      <vt:lpstr>EST_D4</vt:lpstr>
      <vt:lpstr>EST_D5</vt:lpstr>
      <vt:lpstr>EST_D6</vt:lpstr>
      <vt:lpstr>EST_DEV</vt:lpstr>
      <vt:lpstr>EST_EXIM</vt:lpstr>
      <vt:lpstr>EST_FIN</vt:lpstr>
      <vt:lpstr>EST_IDC</vt:lpstr>
      <vt:lpstr>FIN</vt:lpstr>
      <vt:lpstr>FIN_TABLE</vt:lpstr>
      <vt:lpstr>HR</vt:lpstr>
      <vt:lpstr>IDC</vt:lpstr>
      <vt:lpstr>IDC_TABLE</vt:lpstr>
      <vt:lpstr>idc_table1</vt:lpstr>
      <vt:lpstr>INPUTS</vt:lpstr>
      <vt:lpstr>IRR</vt:lpstr>
      <vt:lpstr>IRRFACTOR</vt:lpstr>
      <vt:lpstr>Line_Cost</vt:lpstr>
      <vt:lpstr>loopfactor</vt:lpstr>
      <vt:lpstr>Loss</vt:lpstr>
      <vt:lpstr>MOSYR1</vt:lpstr>
      <vt:lpstr>NEG</vt:lpstr>
      <vt:lpstr>NPV</vt:lpstr>
      <vt:lpstr>option</vt:lpstr>
      <vt:lpstr>POS</vt:lpstr>
      <vt:lpstr>ASS!Print_Area</vt:lpstr>
      <vt:lpstr>BS_IS!Print_Area</vt:lpstr>
      <vt:lpstr>CF!Print_Area</vt:lpstr>
      <vt:lpstr>DEPR!Print_Area</vt:lpstr>
      <vt:lpstr>DRAWDOWN!Print_Area</vt:lpstr>
      <vt:lpstr>FIN!Print_Area</vt:lpstr>
      <vt:lpstr>IDC!Print_Area</vt:lpstr>
      <vt:lpstr>RETURNS!Print_Area</vt:lpstr>
      <vt:lpstr>TAXES_FEES!Print_Area</vt:lpstr>
      <vt:lpstr>RET_TABLE</vt:lpstr>
      <vt:lpstr>RETURNS</vt:lpstr>
      <vt:lpstr>SPARES</vt:lpstr>
      <vt:lpstr>STARTCONST</vt:lpstr>
      <vt:lpstr>STARTYR</vt:lpstr>
      <vt:lpstr>TARGET</vt:lpstr>
      <vt:lpstr>TARIFF</vt:lpstr>
      <vt:lpstr>TAX</vt:lpstr>
      <vt:lpstr>TEMP</vt:lpstr>
      <vt:lpstr>TERM</vt:lpstr>
      <vt:lpstr>TERM_C</vt:lpstr>
      <vt:lpstr>USTAX</vt:lpstr>
      <vt:lpstr>VALUES</vt:lpstr>
      <vt:lpstr>WCAP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Rehm, Amanda H</dc:creator>
  <cp:lastModifiedBy>Jan Havlíček</cp:lastModifiedBy>
  <cp:lastPrinted>2000-09-08T13:51:54Z</cp:lastPrinted>
  <dcterms:created xsi:type="dcterms:W3CDTF">1997-10-01T15:48:53Z</dcterms:created>
  <dcterms:modified xsi:type="dcterms:W3CDTF">2023-09-13T21:29:47Z</dcterms:modified>
</cp:coreProperties>
</file>