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26FF67-119E-4D9F-8EC6-759B09730556}" xr6:coauthVersionLast="47" xr6:coauthVersionMax="47" xr10:uidLastSave="{00000000-0000-0000-0000-000000000000}"/>
  <bookViews>
    <workbookView xWindow="-120" yWindow="-120" windowWidth="38640" windowHeight="15720" tabRatio="892" activeTab="8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BS_IS!$A$1:$J$85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CF!$A$1:$G$70</definedName>
    <definedName name="ch">#REF!</definedName>
    <definedName name="COST">ASS!$R$52</definedName>
    <definedName name="CPI">ASS!$E$39</definedName>
    <definedName name="CT_COMFEE">TAXES_FEES!$A$1:$AC$15</definedName>
    <definedName name="DEBT">ASS!$X$27</definedName>
    <definedName name="DEBTPERC">ASS!$V$27</definedName>
    <definedName name="DEPR">DEPR!$A$1:$I$44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ASS!$X$28</definedName>
    <definedName name="equityperc">ASS!$V$28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BS_IS!$A$1:$J$85</definedName>
    <definedName name="_xlnm.Print_Area" localSheetId="1">CF!$A$1:$G$70</definedName>
    <definedName name="_xlnm.Print_Area" localSheetId="7">DEPR!$A$1:$I$44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RETURNS!$A$1:$K$66</definedName>
    <definedName name="_xlnm.Print_Area" localSheetId="6">TAXES_FEES!$A$1:$AC$15</definedName>
    <definedName name="_REF1">#REF!</definedName>
    <definedName name="_REF2">#REF!</definedName>
    <definedName name="_REF3">#REF!</definedName>
    <definedName name="_REF4">#REF!</definedName>
    <definedName name="RET_TABLE">RETURNS!$D$3:$J$53</definedName>
    <definedName name="RETURNS">RETURNS!$A$1:$K$66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X15" i="6"/>
  <c r="X16" i="6"/>
  <c r="R17" i="6"/>
  <c r="X17" i="6"/>
  <c r="R18" i="6"/>
  <c r="X18" i="6"/>
  <c r="R19" i="6"/>
  <c r="B20" i="6"/>
  <c r="C20" i="6"/>
  <c r="D20" i="6"/>
  <c r="X20" i="6"/>
  <c r="R21" i="6"/>
  <c r="X21" i="6"/>
  <c r="R22" i="6"/>
  <c r="R24" i="6"/>
  <c r="K26" i="6"/>
  <c r="I27" i="6"/>
  <c r="J27" i="6"/>
  <c r="K27" i="6"/>
  <c r="V27" i="6"/>
  <c r="X27" i="6"/>
  <c r="K28" i="6"/>
  <c r="X28" i="6"/>
  <c r="C29" i="6"/>
  <c r="V29" i="6"/>
  <c r="X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R54" i="6"/>
  <c r="E56" i="6"/>
  <c r="E57" i="6"/>
  <c r="E58" i="6"/>
  <c r="E59" i="6"/>
  <c r="E60" i="6"/>
  <c r="A2" i="17"/>
  <c r="G3" i="17"/>
  <c r="H3" i="17"/>
  <c r="I3" i="17"/>
  <c r="G4" i="17"/>
  <c r="H4" i="17"/>
  <c r="I4" i="17"/>
  <c r="G6" i="17"/>
  <c r="H6" i="17"/>
  <c r="I6" i="17"/>
  <c r="J6" i="17"/>
  <c r="G7" i="17"/>
  <c r="H7" i="17"/>
  <c r="I7" i="17"/>
  <c r="J8" i="17"/>
  <c r="G9" i="17"/>
  <c r="H9" i="17"/>
  <c r="I9" i="17"/>
  <c r="J9" i="17"/>
  <c r="J10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J15" i="17"/>
  <c r="J16" i="17"/>
  <c r="G17" i="17"/>
  <c r="H17" i="17"/>
  <c r="I17" i="17"/>
  <c r="J17" i="17"/>
  <c r="J20" i="17"/>
  <c r="J21" i="17"/>
  <c r="J22" i="17"/>
  <c r="G23" i="17"/>
  <c r="H23" i="17"/>
  <c r="I23" i="17"/>
  <c r="J23" i="17"/>
  <c r="J24" i="17"/>
  <c r="G25" i="17"/>
  <c r="H25" i="17"/>
  <c r="I25" i="17"/>
  <c r="J25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3" i="17"/>
  <c r="H33" i="17"/>
  <c r="I33" i="17"/>
  <c r="J33" i="17"/>
  <c r="G35" i="17"/>
  <c r="H35" i="17"/>
  <c r="I35" i="17"/>
  <c r="J35" i="17"/>
  <c r="G39" i="17"/>
  <c r="H39" i="17"/>
  <c r="I39" i="17"/>
  <c r="G40" i="17"/>
  <c r="H40" i="17"/>
  <c r="I40" i="17"/>
  <c r="G41" i="17"/>
  <c r="H41" i="17"/>
  <c r="I41" i="17"/>
  <c r="J41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9" i="17"/>
  <c r="H49" i="17"/>
  <c r="I49" i="17"/>
  <c r="J49" i="17"/>
  <c r="G50" i="17"/>
  <c r="H50" i="17"/>
  <c r="I50" i="17"/>
  <c r="J50" i="17"/>
  <c r="J51" i="17"/>
  <c r="G52" i="17"/>
  <c r="H52" i="17"/>
  <c r="I52" i="17"/>
  <c r="J52" i="17"/>
  <c r="G57" i="17"/>
  <c r="H57" i="17"/>
  <c r="I57" i="17"/>
  <c r="G58" i="17"/>
  <c r="H58" i="17"/>
  <c r="I58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9" i="17"/>
  <c r="H69" i="17"/>
  <c r="I69" i="17"/>
  <c r="J69" i="17"/>
  <c r="G70" i="17"/>
  <c r="J70" i="17"/>
  <c r="J71" i="17"/>
  <c r="J72" i="17"/>
  <c r="J73" i="17"/>
  <c r="J74" i="17"/>
  <c r="J75" i="17"/>
  <c r="G76" i="17"/>
  <c r="J76" i="17"/>
  <c r="G77" i="17"/>
  <c r="J77" i="17"/>
  <c r="G78" i="17"/>
  <c r="H78" i="17"/>
  <c r="I78" i="17"/>
  <c r="J78" i="17"/>
  <c r="G79" i="17"/>
  <c r="H79" i="17"/>
  <c r="I79" i="17"/>
  <c r="J79" i="17"/>
  <c r="G81" i="17"/>
  <c r="H81" i="17"/>
  <c r="I81" i="17"/>
  <c r="J81" i="17"/>
  <c r="H83" i="17"/>
  <c r="I83" i="17"/>
  <c r="J83" i="17"/>
  <c r="G85" i="17"/>
  <c r="H85" i="17"/>
  <c r="I85" i="17"/>
  <c r="J85" i="17"/>
  <c r="A2" i="7"/>
  <c r="E3" i="7"/>
  <c r="F3" i="7"/>
  <c r="D4" i="7"/>
  <c r="E4" i="7"/>
  <c r="F4" i="7"/>
  <c r="D5" i="7"/>
  <c r="E5" i="7"/>
  <c r="F5" i="7"/>
  <c r="D7" i="7"/>
  <c r="E7" i="7"/>
  <c r="F7" i="7"/>
  <c r="D8" i="7"/>
  <c r="E8" i="7"/>
  <c r="F8" i="7"/>
  <c r="D11" i="7"/>
  <c r="E11" i="7"/>
  <c r="F11" i="7"/>
  <c r="D12" i="7"/>
  <c r="E12" i="7"/>
  <c r="F12" i="7"/>
  <c r="D13" i="7"/>
  <c r="E13" i="7"/>
  <c r="F13" i="7"/>
  <c r="D14" i="7"/>
  <c r="E14" i="7"/>
  <c r="F14" i="7"/>
  <c r="D16" i="7"/>
  <c r="E16" i="7"/>
  <c r="F16" i="7"/>
  <c r="D18" i="7"/>
  <c r="E18" i="7"/>
  <c r="F18" i="7"/>
  <c r="G18" i="7"/>
  <c r="A25" i="7"/>
  <c r="D25" i="7"/>
  <c r="E25" i="7"/>
  <c r="F25" i="7"/>
  <c r="G25" i="7"/>
  <c r="A26" i="7"/>
  <c r="D26" i="7"/>
  <c r="E26" i="7"/>
  <c r="F26" i="7"/>
  <c r="G26" i="7"/>
  <c r="A27" i="7"/>
  <c r="D27" i="7"/>
  <c r="E27" i="7"/>
  <c r="F27" i="7"/>
  <c r="G27" i="7"/>
  <c r="A28" i="7"/>
  <c r="D28" i="7"/>
  <c r="E28" i="7"/>
  <c r="F28" i="7"/>
  <c r="G28" i="7"/>
  <c r="A29" i="7"/>
  <c r="D29" i="7"/>
  <c r="E29" i="7"/>
  <c r="F29" i="7"/>
  <c r="G29" i="7"/>
  <c r="A30" i="7"/>
  <c r="D30" i="7"/>
  <c r="E30" i="7"/>
  <c r="F30" i="7"/>
  <c r="G30" i="7"/>
  <c r="A31" i="7"/>
  <c r="D31" i="7"/>
  <c r="E31" i="7"/>
  <c r="F31" i="7"/>
  <c r="G31" i="7"/>
  <c r="A32" i="7"/>
  <c r="D32" i="7"/>
  <c r="E32" i="7"/>
  <c r="F32" i="7"/>
  <c r="G32" i="7"/>
  <c r="A33" i="7"/>
  <c r="D33" i="7"/>
  <c r="E33" i="7"/>
  <c r="F33" i="7"/>
  <c r="G33" i="7"/>
  <c r="A34" i="7"/>
  <c r="D34" i="7"/>
  <c r="E34" i="7"/>
  <c r="F34" i="7"/>
  <c r="G34" i="7"/>
  <c r="A35" i="7"/>
  <c r="D35" i="7"/>
  <c r="E35" i="7"/>
  <c r="F35" i="7"/>
  <c r="G35" i="7"/>
  <c r="A36" i="7"/>
  <c r="D36" i="7"/>
  <c r="E36" i="7"/>
  <c r="F36" i="7"/>
  <c r="G36" i="7"/>
  <c r="D37" i="7"/>
  <c r="E37" i="7"/>
  <c r="F37" i="7"/>
  <c r="G37" i="7"/>
  <c r="A40" i="7"/>
  <c r="D40" i="7"/>
  <c r="E40" i="7"/>
  <c r="F40" i="7"/>
  <c r="G40" i="7"/>
  <c r="A41" i="7"/>
  <c r="D41" i="7"/>
  <c r="E41" i="7"/>
  <c r="F41" i="7"/>
  <c r="G41" i="7"/>
  <c r="A42" i="7"/>
  <c r="D42" i="7"/>
  <c r="E42" i="7"/>
  <c r="F42" i="7"/>
  <c r="G42" i="7"/>
  <c r="D43" i="7"/>
  <c r="E43" i="7"/>
  <c r="F43" i="7"/>
  <c r="G43" i="7"/>
  <c r="D45" i="7"/>
  <c r="E45" i="7"/>
  <c r="F45" i="7"/>
  <c r="G45" i="7"/>
  <c r="D47" i="7"/>
  <c r="E47" i="7"/>
  <c r="F47" i="7"/>
  <c r="G47" i="7"/>
  <c r="D49" i="7"/>
  <c r="E49" i="7"/>
  <c r="F49" i="7"/>
  <c r="G49" i="7"/>
  <c r="D50" i="7"/>
  <c r="E50" i="7"/>
  <c r="F50" i="7"/>
  <c r="G50" i="7"/>
  <c r="H50" i="7"/>
  <c r="D52" i="7"/>
  <c r="E52" i="7"/>
  <c r="F52" i="7"/>
  <c r="G52" i="7"/>
  <c r="D53" i="7"/>
  <c r="E53" i="7"/>
  <c r="F53" i="7"/>
  <c r="G53" i="7"/>
  <c r="D55" i="7"/>
  <c r="E55" i="7"/>
  <c r="F55" i="7"/>
  <c r="G55" i="7"/>
  <c r="D56" i="7"/>
  <c r="E56" i="7"/>
  <c r="F56" i="7"/>
  <c r="G56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H65" i="7"/>
  <c r="D66" i="7"/>
  <c r="E66" i="7"/>
  <c r="F66" i="7"/>
  <c r="G66" i="7"/>
  <c r="D67" i="7"/>
  <c r="E67" i="7"/>
  <c r="F67" i="7"/>
  <c r="G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G9" i="16"/>
  <c r="H9" i="16"/>
  <c r="F10" i="16"/>
  <c r="G10" i="16"/>
  <c r="H10" i="16"/>
  <c r="F11" i="16"/>
  <c r="G11" i="16"/>
  <c r="H11" i="16"/>
  <c r="E15" i="16"/>
  <c r="F15" i="16"/>
  <c r="G15" i="16"/>
  <c r="H15" i="16"/>
  <c r="I15" i="16"/>
  <c r="E16" i="16"/>
  <c r="F16" i="16"/>
  <c r="G16" i="16"/>
  <c r="H16" i="16"/>
  <c r="I16" i="16"/>
  <c r="F17" i="16"/>
  <c r="G17" i="16"/>
  <c r="H17" i="16"/>
  <c r="G19" i="16"/>
  <c r="H19" i="16"/>
  <c r="F20" i="16"/>
  <c r="I20" i="16"/>
  <c r="F21" i="16"/>
  <c r="G21" i="16"/>
  <c r="H21" i="16"/>
  <c r="I21" i="16"/>
  <c r="F22" i="16"/>
  <c r="G22" i="16"/>
  <c r="H22" i="16"/>
  <c r="E26" i="16"/>
  <c r="F26" i="16"/>
  <c r="G26" i="16"/>
  <c r="H26" i="16"/>
  <c r="I26" i="16"/>
  <c r="E27" i="16"/>
  <c r="F27" i="16"/>
  <c r="G27" i="16"/>
  <c r="H27" i="16"/>
  <c r="I27" i="16"/>
  <c r="F28" i="16"/>
  <c r="G28" i="16"/>
  <c r="H28" i="16"/>
  <c r="G30" i="16"/>
  <c r="H30" i="16"/>
  <c r="F31" i="16"/>
  <c r="I31" i="16"/>
  <c r="F32" i="16"/>
  <c r="G32" i="16"/>
  <c r="H32" i="16"/>
  <c r="I32" i="16"/>
  <c r="F33" i="16"/>
  <c r="G33" i="16"/>
  <c r="H33" i="16"/>
  <c r="E37" i="16"/>
  <c r="F37" i="16"/>
  <c r="G37" i="16"/>
  <c r="H37" i="16"/>
  <c r="I37" i="16"/>
  <c r="E38" i="16"/>
  <c r="F38" i="16"/>
  <c r="G38" i="16"/>
  <c r="H38" i="16"/>
  <c r="I38" i="16"/>
  <c r="F39" i="16"/>
  <c r="G39" i="16"/>
  <c r="H39" i="16"/>
  <c r="G41" i="16"/>
  <c r="H41" i="16"/>
  <c r="F42" i="16"/>
  <c r="I42" i="16"/>
  <c r="F43" i="16"/>
  <c r="G43" i="16"/>
  <c r="H43" i="16"/>
  <c r="I43" i="16"/>
  <c r="F44" i="16"/>
  <c r="G44" i="16"/>
  <c r="H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D4" i="8"/>
  <c r="E4" i="8"/>
  <c r="F4" i="8"/>
  <c r="G4" i="8"/>
  <c r="D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D13" i="8"/>
  <c r="D14" i="8"/>
  <c r="D15" i="8"/>
  <c r="D16" i="8"/>
  <c r="E16" i="8"/>
  <c r="F16" i="8"/>
  <c r="G16" i="8"/>
  <c r="H16" i="8"/>
  <c r="A20" i="8"/>
  <c r="D20" i="8"/>
  <c r="F20" i="8"/>
  <c r="G20" i="8"/>
  <c r="H20" i="8"/>
  <c r="A21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D26" i="8"/>
  <c r="D27" i="8"/>
  <c r="D28" i="8"/>
  <c r="D29" i="8"/>
  <c r="E29" i="8"/>
  <c r="F29" i="8"/>
  <c r="G29" i="8"/>
  <c r="H29" i="8"/>
  <c r="A2" i="15"/>
  <c r="D3" i="15"/>
  <c r="E3" i="15"/>
  <c r="F3" i="15"/>
  <c r="D4" i="15"/>
  <c r="E4" i="15"/>
  <c r="F4" i="15"/>
  <c r="D5" i="15"/>
  <c r="E5" i="15"/>
  <c r="F5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D14" i="15"/>
  <c r="E14" i="15"/>
  <c r="F14" i="15"/>
  <c r="G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<sst xmlns="http://schemas.openxmlformats.org/spreadsheetml/2006/main" count="576" uniqueCount="383">
  <si>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</si>
  <si>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</si>
  <si>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</si>
  <si>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</si>
  <si>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</si>
  <si>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</si>
  <si>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</si>
  <si>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</si>
  <si>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</si>
  <si>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</si>
  <si>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</si>
  <si>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</si>
  <si>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</si>
  <si>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</si>
  <si>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</si>
  <si>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</si>
  <si>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</si>
  <si>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</si>
  <si>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</si>
  <si>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</si>
  <si>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</si>
  <si>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</si>
  <si>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</si>
  <si>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</si>
  <si>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</si>
  <si>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</si>
  <si>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</si>
  <si>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</si>
  <si>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</si>
  <si>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</si>
  <si>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</si>
  <si>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</si>
  <si>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</si>
  <si>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</si>
  <si>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</si>
  <si>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</si>
  <si>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</si>
  <si>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</si>
  <si>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</si>
  <si>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</si>
  <si>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</si>
  <si>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</si>
  <si>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</si>
  <si>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</si>
  <si>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</si>
  <si>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</si>
  <si>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</si>
  <si>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</si>
  <si>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</si>
  <si>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</si>
  <si>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</si>
  <si>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</si>
  <si>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</si>
  <si>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</si>
  <si>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</si>
  <si>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</si>
  <si>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</si>
  <si>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</si>
  <si>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</si>
  <si>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</si>
  <si>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</si>
  <si>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</si>
  <si>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</si>
  <si>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</si>
  <si>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</si>
  <si>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</si>
  <si>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</si>
  <si>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</si>
  <si>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</si>
  <si>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</si>
  <si>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</si>
  <si>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</si>
  <si>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</si>
  <si>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</si>
  <si>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</si>
  <si>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</si>
  <si>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</si>
  <si>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</si>
  <si>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</si>
  <si>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</si>
  <si>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</si>
  <si>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</si>
  <si>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</si>
  <si>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</si>
  <si>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</si>
  <si>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</si>
  <si>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</si>
  <si>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</si>
  <si>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</si>
  <si>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</si>
  <si>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</si>
  <si>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</si>
  <si>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</si>
  <si>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</si>
  <si>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</si>
  <si>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</si>
  <si>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</si>
  <si>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</si>
  <si>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</si>
  <si>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</si>
  <si>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</si>
  <si>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</si>
  <si>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</si>
  <si>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</si>
  <si>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</si>
  <si>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</si>
  <si>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</si>
  <si>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</si>
  <si>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</si>
  <si>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</si>
  <si>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</si>
  <si>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</si>
  <si>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</si>
  <si>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</si>
  <si>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TOTAL PROJECT COSTS ($/kw)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</si>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</sst>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8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7" xfId="0" applyNumberFormat="1" applyFont="1" applyBorder="1"/>
    <xf numFmtId="37" fontId="4" fillId="0" borderId="16" xfId="0" applyNumberFormat="1" applyFont="1" applyBorder="1"/>
    <xf numFmtId="0" fontId="3" fillId="0" borderId="8" xfId="0" applyFont="1" applyBorder="1" applyAlignment="1">
      <alignment horizontal="center"/>
    </xf>
    <xf numFmtId="37" fontId="6" fillId="0" borderId="8" xfId="0" applyNumberFormat="1" applyFont="1" applyBorder="1"/>
    <xf numFmtId="37" fontId="4" fillId="0" borderId="4" xfId="0" applyNumberFormat="1" applyFont="1" applyBorder="1"/>
    <xf numFmtId="37" fontId="4" fillId="0" borderId="15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9" xfId="0" applyFont="1" applyBorder="1"/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13" fillId="0" borderId="0" xfId="0" applyFont="1"/>
    <xf numFmtId="0" fontId="14" fillId="0" borderId="5" xfId="0" applyFont="1" applyBorder="1"/>
    <xf numFmtId="0" fontId="14" fillId="0" borderId="17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8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8" xfId="0" applyNumberFormat="1" applyFont="1" applyBorder="1"/>
    <xf numFmtId="0" fontId="14" fillId="0" borderId="3" xfId="0" applyFont="1" applyBorder="1"/>
    <xf numFmtId="0" fontId="14" fillId="0" borderId="19" xfId="0" applyFont="1" applyBorder="1"/>
    <xf numFmtId="37" fontId="8" fillId="0" borderId="8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7" xfId="0" applyNumberFormat="1" applyFont="1" applyBorder="1"/>
    <xf numFmtId="37" fontId="4" fillId="0" borderId="9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8" xfId="0" applyNumberFormat="1" applyFont="1" applyBorder="1"/>
    <xf numFmtId="37" fontId="13" fillId="0" borderId="8" xfId="0" applyNumberFormat="1" applyFont="1" applyBorder="1"/>
    <xf numFmtId="0" fontId="13" fillId="0" borderId="6" xfId="0" applyFont="1" applyBorder="1"/>
    <xf numFmtId="0" fontId="13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37" fontId="20" fillId="0" borderId="8" xfId="0" applyNumberFormat="1" applyFont="1" applyBorder="1"/>
    <xf numFmtId="37" fontId="15" fillId="0" borderId="8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5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20" xfId="0" applyFont="1" applyBorder="1"/>
    <xf numFmtId="0" fontId="14" fillId="0" borderId="21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3" xfId="0" applyFont="1" applyBorder="1"/>
    <xf numFmtId="0" fontId="14" fillId="0" borderId="24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3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4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4" xfId="0" applyFont="1" applyBorder="1" applyAlignment="1">
      <alignment horizontal="left"/>
    </xf>
    <xf numFmtId="5" fontId="14" fillId="0" borderId="24" xfId="0" applyNumberFormat="1" applyFont="1" applyBorder="1"/>
    <xf numFmtId="0" fontId="14" fillId="0" borderId="25" xfId="0" applyFont="1" applyBorder="1"/>
    <xf numFmtId="0" fontId="14" fillId="0" borderId="26" xfId="0" applyFont="1" applyBorder="1"/>
    <xf numFmtId="10" fontId="14" fillId="0" borderId="26" xfId="0" applyNumberFormat="1" applyFont="1" applyBorder="1"/>
    <xf numFmtId="5" fontId="14" fillId="0" borderId="27" xfId="0" applyNumberFormat="1" applyFont="1" applyBorder="1"/>
    <xf numFmtId="0" fontId="14" fillId="0" borderId="22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7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/>
    <xf numFmtId="0" fontId="13" fillId="0" borderId="3" xfId="0" applyFont="1" applyBorder="1"/>
    <xf numFmtId="0" fontId="13" fillId="0" borderId="4" xfId="0" applyFont="1" applyBorder="1"/>
    <xf numFmtId="8" fontId="14" fillId="0" borderId="28" xfId="0" applyNumberFormat="1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37" fontId="29" fillId="0" borderId="8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7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8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9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8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7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8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7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8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9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9" fillId="0" borderId="2" xfId="0" applyFont="1" applyFill="1" applyBorder="1"/>
    <xf numFmtId="0" fontId="13" fillId="0" borderId="18" xfId="0" applyFont="1" applyFill="1" applyBorder="1"/>
    <xf numFmtId="37" fontId="14" fillId="0" borderId="4" xfId="1" applyNumberFormat="1" applyFont="1" applyBorder="1"/>
    <xf numFmtId="0" fontId="13" fillId="0" borderId="15" xfId="0" applyFont="1" applyBorder="1" applyAlignment="1">
      <alignment horizontal="center"/>
    </xf>
    <xf numFmtId="10" fontId="13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37" fontId="13" fillId="0" borderId="27" xfId="0" applyNumberFormat="1" applyFont="1" applyBorder="1"/>
    <xf numFmtId="0" fontId="14" fillId="0" borderId="17" xfId="0" applyFont="1" applyFill="1" applyBorder="1"/>
    <xf numFmtId="5" fontId="20" fillId="0" borderId="24" xfId="0" applyNumberFormat="1" applyFont="1" applyBorder="1"/>
    <xf numFmtId="0" fontId="24" fillId="0" borderId="6" xfId="0" applyFont="1" applyFill="1" applyBorder="1"/>
    <xf numFmtId="0" fontId="24" fillId="0" borderId="7" xfId="0" applyFont="1" applyFill="1" applyBorder="1"/>
    <xf numFmtId="37" fontId="24" fillId="0" borderId="7" xfId="0" applyNumberFormat="1" applyFont="1" applyFill="1" applyBorder="1"/>
    <xf numFmtId="37" fontId="24" fillId="0" borderId="16" xfId="0" applyNumberFormat="1" applyFont="1" applyFill="1" applyBorder="1"/>
    <xf numFmtId="37" fontId="14" fillId="0" borderId="8" xfId="0" quotePrefix="1" applyNumberFormat="1" applyFont="1" applyBorder="1"/>
    <xf numFmtId="0" fontId="13" fillId="0" borderId="6" xfId="0" applyFont="1" applyFill="1" applyBorder="1"/>
    <xf numFmtId="0" fontId="13" fillId="0" borderId="7" xfId="0" applyFont="1" applyFill="1" applyBorder="1"/>
    <xf numFmtId="37" fontId="13" fillId="0" borderId="7" xfId="0" applyNumberFormat="1" applyFont="1" applyFill="1" applyBorder="1"/>
    <xf numFmtId="37" fontId="13" fillId="0" borderId="16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7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8" xfId="0" applyFont="1" applyFill="1" applyBorder="1"/>
    <xf numFmtId="0" fontId="7" fillId="0" borderId="0" xfId="0" applyFont="1" applyBorder="1" applyAlignment="1">
      <alignment horizontal="right"/>
    </xf>
    <xf numFmtId="0" fontId="4" fillId="0" borderId="15" xfId="0" applyFont="1" applyBorder="1"/>
    <xf numFmtId="3" fontId="5" fillId="0" borderId="4" xfId="0" applyNumberFormat="1" applyFont="1" applyBorder="1"/>
    <xf numFmtId="3" fontId="5" fillId="0" borderId="15" xfId="0" applyNumberFormat="1" applyFont="1" applyBorder="1"/>
    <xf numFmtId="0" fontId="3" fillId="0" borderId="1" xfId="0" applyFont="1" applyFill="1" applyBorder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6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6" xfId="0" applyFont="1" applyBorder="1"/>
    <xf numFmtId="0" fontId="30" fillId="0" borderId="6" xfId="0" applyFont="1" applyBorder="1" applyAlignment="1">
      <alignment horizontal="centerContinuous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5" xfId="0" applyNumberFormat="1" applyFont="1" applyFill="1" applyBorder="1"/>
    <xf numFmtId="37" fontId="4" fillId="0" borderId="35" xfId="0" applyNumberFormat="1" applyFont="1" applyBorder="1"/>
    <xf numFmtId="37" fontId="4" fillId="0" borderId="14" xfId="0" applyNumberFormat="1" applyFont="1" applyBorder="1"/>
    <xf numFmtId="37" fontId="4" fillId="0" borderId="36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11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8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6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8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7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80" fontId="4" fillId="3" borderId="25" xfId="2" applyNumberFormat="1" applyFont="1" applyFill="1" applyBorder="1"/>
    <xf numFmtId="180" fontId="4" fillId="3" borderId="26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8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8" xfId="0" applyNumberFormat="1" applyFont="1" applyBorder="1"/>
    <xf numFmtId="37" fontId="14" fillId="0" borderId="15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8" xfId="0" applyFont="1" applyBorder="1"/>
    <xf numFmtId="0" fontId="14" fillId="0" borderId="39" xfId="0" applyFont="1" applyBorder="1"/>
    <xf numFmtId="37" fontId="13" fillId="0" borderId="40" xfId="0" applyNumberFormat="1" applyFont="1" applyBorder="1"/>
    <xf numFmtId="37" fontId="14" fillId="4" borderId="0" xfId="0" applyNumberFormat="1" applyFont="1" applyFill="1" applyBorder="1"/>
    <xf numFmtId="37" fontId="11" fillId="4" borderId="0" xfId="0" applyNumberFormat="1" applyFont="1" applyFill="1" applyBorder="1"/>
    <xf numFmtId="37" fontId="4" fillId="4" borderId="0" xfId="0" applyNumberFormat="1" applyFont="1" applyFill="1" applyBorder="1"/>
    <xf numFmtId="0" fontId="14" fillId="0" borderId="21" xfId="0" applyFont="1" applyFill="1" applyBorder="1" applyAlignment="1">
      <alignment horizontal="center"/>
    </xf>
    <xf numFmtId="0" fontId="14" fillId="0" borderId="23" xfId="0" applyFont="1" applyFill="1" applyBorder="1"/>
    <xf numFmtId="6" fontId="14" fillId="0" borderId="24" xfId="0" applyNumberFormat="1" applyFont="1" applyBorder="1"/>
    <xf numFmtId="6" fontId="20" fillId="0" borderId="24" xfId="0" applyNumberFormat="1" applyFont="1" applyBorder="1"/>
    <xf numFmtId="0" fontId="14" fillId="0" borderId="26" xfId="0" applyFont="1" applyBorder="1" applyAlignment="1">
      <alignment horizontal="center"/>
    </xf>
    <xf numFmtId="10" fontId="29" fillId="0" borderId="26" xfId="0" applyNumberFormat="1" applyFont="1" applyBorder="1" applyAlignment="1">
      <alignment horizontal="center"/>
    </xf>
    <xf numFmtId="6" fontId="29" fillId="0" borderId="27" xfId="0" applyNumberFormat="1" applyFont="1" applyBorder="1"/>
    <xf numFmtId="0" fontId="14" fillId="0" borderId="20" xfId="0" applyFont="1" applyBorder="1"/>
    <xf numFmtId="0" fontId="14" fillId="0" borderId="21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9" xfId="0" applyNumberFormat="1" applyFont="1" applyFill="1" applyBorder="1"/>
    <xf numFmtId="0" fontId="20" fillId="0" borderId="23" xfId="0" applyFont="1" applyBorder="1"/>
    <xf numFmtId="10" fontId="42" fillId="2" borderId="24" xfId="0" applyNumberFormat="1" applyFont="1" applyFill="1" applyBorder="1"/>
    <xf numFmtId="0" fontId="25" fillId="0" borderId="23" xfId="0" applyFont="1" applyBorder="1"/>
    <xf numFmtId="165" fontId="14" fillId="0" borderId="26" xfId="0" applyNumberFormat="1" applyFont="1" applyBorder="1"/>
    <xf numFmtId="10" fontId="42" fillId="2" borderId="27" xfId="0" applyNumberFormat="1" applyFont="1" applyFill="1" applyBorder="1"/>
    <xf numFmtId="0" fontId="42" fillId="2" borderId="24" xfId="0" applyFont="1" applyFill="1" applyBorder="1"/>
    <xf numFmtId="0" fontId="42" fillId="2" borderId="24" xfId="0" applyFont="1" applyFill="1" applyBorder="1" applyAlignment="1">
      <alignment horizontal="right"/>
    </xf>
    <xf numFmtId="0" fontId="42" fillId="2" borderId="27" xfId="0" applyFont="1" applyFill="1" applyBorder="1" applyAlignment="1">
      <alignment horizontal="right"/>
    </xf>
    <xf numFmtId="0" fontId="13" fillId="0" borderId="21" xfId="0" applyFont="1" applyBorder="1"/>
    <xf numFmtId="0" fontId="15" fillId="0" borderId="21" xfId="0" applyFont="1" applyBorder="1" applyAlignment="1">
      <alignment horizontal="right"/>
    </xf>
    <xf numFmtId="0" fontId="35" fillId="0" borderId="24" xfId="0" applyFont="1" applyBorder="1"/>
    <xf numFmtId="0" fontId="28" fillId="0" borderId="24" xfId="0" applyFont="1" applyBorder="1" applyAlignment="1">
      <alignment horizontal="left"/>
    </xf>
    <xf numFmtId="10" fontId="42" fillId="2" borderId="26" xfId="0" applyNumberFormat="1" applyFont="1" applyFill="1" applyBorder="1" applyAlignment="1">
      <alignment horizontal="right"/>
    </xf>
    <xf numFmtId="0" fontId="14" fillId="0" borderId="21" xfId="0" applyFont="1" applyFill="1" applyBorder="1"/>
    <xf numFmtId="0" fontId="14" fillId="0" borderId="22" xfId="0" applyFont="1" applyFill="1" applyBorder="1"/>
    <xf numFmtId="0" fontId="14" fillId="0" borderId="24" xfId="0" applyFont="1" applyFill="1" applyBorder="1"/>
    <xf numFmtId="9" fontId="42" fillId="2" borderId="26" xfId="2" applyFont="1" applyFill="1" applyBorder="1"/>
    <xf numFmtId="0" fontId="14" fillId="0" borderId="27" xfId="0" applyFont="1" applyFill="1" applyBorder="1"/>
    <xf numFmtId="0" fontId="13" fillId="0" borderId="21" xfId="0" applyFont="1" applyBorder="1" applyAlignment="1">
      <alignment horizontal="right"/>
    </xf>
    <xf numFmtId="10" fontId="44" fillId="2" borderId="22" xfId="0" applyNumberFormat="1" applyFont="1" applyFill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6" fillId="0" borderId="24" xfId="0" applyFont="1" applyBorder="1"/>
    <xf numFmtId="6" fontId="42" fillId="2" borderId="26" xfId="0" applyNumberFormat="1" applyFont="1" applyFill="1" applyBorder="1"/>
    <xf numFmtId="10" fontId="42" fillId="2" borderId="26" xfId="0" applyNumberFormat="1" applyFont="1" applyFill="1" applyBorder="1"/>
    <xf numFmtId="0" fontId="14" fillId="0" borderId="24" xfId="0" applyFont="1" applyBorder="1" applyAlignment="1">
      <alignment horizontal="right"/>
    </xf>
    <xf numFmtId="0" fontId="14" fillId="0" borderId="24" xfId="0" applyFont="1" applyFill="1" applyBorder="1" applyAlignment="1">
      <alignment horizontal="right"/>
    </xf>
    <xf numFmtId="0" fontId="14" fillId="0" borderId="25" xfId="0" applyFont="1" applyFill="1" applyBorder="1"/>
    <xf numFmtId="3" fontId="42" fillId="2" borderId="26" xfId="0" applyNumberFormat="1" applyFont="1" applyFill="1" applyBorder="1"/>
    <xf numFmtId="0" fontId="14" fillId="0" borderId="27" xfId="0" applyFont="1" applyFill="1" applyBorder="1" applyAlignment="1">
      <alignment horizontal="right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6" fontId="42" fillId="2" borderId="24" xfId="0" applyNumberFormat="1" applyFont="1" applyFill="1" applyBorder="1"/>
    <xf numFmtId="0" fontId="13" fillId="0" borderId="23" xfId="0" applyFont="1" applyFill="1" applyBorder="1"/>
    <xf numFmtId="6" fontId="13" fillId="0" borderId="24" xfId="0" applyNumberFormat="1" applyFont="1" applyFill="1" applyBorder="1"/>
    <xf numFmtId="6" fontId="43" fillId="2" borderId="24" xfId="0" applyNumberFormat="1" applyFont="1" applyFill="1" applyBorder="1"/>
    <xf numFmtId="6" fontId="15" fillId="0" borderId="24" xfId="0" applyNumberFormat="1" applyFont="1" applyFill="1" applyBorder="1"/>
    <xf numFmtId="6" fontId="13" fillId="0" borderId="27" xfId="0" applyNumberFormat="1" applyFont="1" applyBorder="1"/>
    <xf numFmtId="38" fontId="14" fillId="0" borderId="0" xfId="0" applyNumberFormat="1" applyFont="1" applyFill="1" applyBorder="1"/>
    <xf numFmtId="6" fontId="14" fillId="2" borderId="24" xfId="0" applyNumberFormat="1" applyFont="1" applyFill="1" applyBorder="1"/>
    <xf numFmtId="6" fontId="29" fillId="0" borderId="24" xfId="0" applyNumberFormat="1" applyFont="1" applyBorder="1"/>
    <xf numFmtId="167" fontId="13" fillId="0" borderId="22" xfId="0" applyNumberFormat="1" applyFont="1" applyBorder="1"/>
    <xf numFmtId="37" fontId="13" fillId="0" borderId="24" xfId="0" applyNumberFormat="1" applyFont="1" applyBorder="1"/>
    <xf numFmtId="37" fontId="13" fillId="0" borderId="27" xfId="1" applyNumberFormat="1" applyFont="1" applyBorder="1"/>
    <xf numFmtId="37" fontId="13" fillId="0" borderId="4" xfId="0" applyNumberFormat="1" applyFont="1" applyBorder="1"/>
    <xf numFmtId="17" fontId="14" fillId="0" borderId="23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8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2FCFD57-2020-8611-8D65-B2B9C6D34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61FAB65-6CA6-7208-2D20-B7CE1EFE0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5" zoomScale="75" workbookViewId="0">
      <selection activeCell="R48" sqref="R48"/>
    </sheetView>
  </sheetViews>
  <sheetFormatPr defaultRowHeight="12.75" x14ac:dyDescent="0.2"/>
  <cols>
    <col min="1" max="1" width="9.140625" style="40"/>
    <col min="2" max="2" width="22.140625" style="40" customWidth="1"/>
    <col min="3" max="3" width="9.28515625" style="40" customWidth="1"/>
    <col min="4" max="4" width="10" style="40" customWidth="1"/>
    <col min="5" max="5" width="9.28515625" style="40" customWidth="1"/>
    <col min="6" max="6" width="2.7109375" style="40" customWidth="1"/>
    <col min="7" max="7" width="12.85546875" style="40" customWidth="1"/>
    <col min="8" max="8" width="22.42578125" style="40" customWidth="1"/>
    <col min="9" max="9" width="10.7109375" style="40" customWidth="1"/>
    <col min="10" max="10" width="12.42578125" style="40" customWidth="1"/>
    <col min="11" max="11" width="10.7109375" style="40" customWidth="1"/>
    <col min="12" max="12" width="2.7109375" style="40" customWidth="1"/>
    <col min="13" max="13" width="11.7109375" style="40" customWidth="1"/>
    <col min="14" max="14" width="16.85546875" style="40" customWidth="1"/>
    <col min="15" max="15" width="12.85546875" style="40" customWidth="1"/>
    <col min="16" max="16" width="16.7109375" style="40" customWidth="1"/>
    <col min="17" max="17" width="8.5703125" style="40" customWidth="1"/>
    <col min="18" max="18" width="11.140625" style="40" bestFit="1" customWidth="1"/>
    <col min="19" max="19" width="2.7109375" style="40" customWidth="1"/>
    <col min="20" max="20" width="37.85546875" style="40" bestFit="1" customWidth="1"/>
    <col min="21" max="21" width="12.5703125" style="40" customWidth="1"/>
    <col min="22" max="22" width="8.5703125" style="40" customWidth="1"/>
    <col min="23" max="23" width="13.140625" style="40" customWidth="1"/>
    <col min="24" max="24" width="11.28515625" style="40" customWidth="1"/>
    <col min="25" max="25" width="8" style="40" customWidth="1"/>
    <col min="26" max="26" width="9.140625" style="40"/>
    <col min="27" max="27" width="10.5703125" style="40" customWidth="1"/>
    <col min="28" max="29" width="9.140625" style="40"/>
    <col min="30" max="30" width="18.140625" style="40" customWidth="1"/>
    <col min="31" max="16384" width="9.140625" style="40"/>
  </cols>
  <sheetData>
    <row r="3" spans="1:33" ht="15.75" x14ac:dyDescent="0.25">
      <c r="A3" s="160" t="s">
        <v>4</v>
      </c>
      <c r="B3" s="161"/>
      <c r="C3" s="162"/>
      <c r="D3" s="86" t="str">
        <f>IF(loopfactor=0," ", "WARNING:  MODEL HAS NOT BEEN CONVERGED")</f>
        <v xml:space="preserve"> </v>
      </c>
      <c r="H3"/>
      <c r="J3" s="86" t="e">
        <f>IF((#REF!+#REF!+#REF!+#REF!+#REF!+#REF!)=DEBT," ","WARNING:  THE SUM OF THE DEBT LISTED IN THE TRANCHES DOES NOT EQUAL TOTAL DEBT")</f>
        <v>#REF!</v>
      </c>
      <c r="L3" s="40" t="s">
        <v>5</v>
      </c>
      <c r="M3" s="44" t="s">
        <v>5</v>
      </c>
      <c r="P3" s="86" t="e">
        <f>IF(X21&gt;1,"WARNING:  NPV DOES NOT RECONCILE"," ")</f>
        <v>#REF!</v>
      </c>
    </row>
    <row r="4" spans="1:33" ht="15.75" x14ac:dyDescent="0.25">
      <c r="A4" s="163"/>
      <c r="B4" s="164"/>
      <c r="C4" s="165"/>
      <c r="D4" s="86" t="str">
        <f>IF(ABS(SUM(BS_IS!F35:J35))&lt;0.01," ","WARNING:  BALANCE SHEET IS NOT BALANCED")</f>
        <v>WARNING:  BALANCE SHEET IS NOT BALANCED</v>
      </c>
      <c r="H4"/>
      <c r="J4" s="86" t="str">
        <f>IF(ABS(RETURNS!H7+EQUITY)&lt;0.1," ","WARNING:  EQUITY DISTRIBUTED IN THE RETURNS CALC DOES NOT EQUAL TOTAL EQUITY")</f>
        <v xml:space="preserve"> </v>
      </c>
      <c r="M4" s="44"/>
    </row>
    <row r="5" spans="1:33" ht="15.75" x14ac:dyDescent="0.25">
      <c r="A5" s="166"/>
      <c r="B5" s="167"/>
      <c r="C5" s="168"/>
      <c r="D5" s="86" t="e">
        <f>IF(#REF!&lt;#REF!,"WARNING:  A-TAX TARGET MINIMUM DCR HAS NOT BEEN MET"," ")</f>
        <v>#REF!</v>
      </c>
      <c r="H5"/>
      <c r="J5" s="86" t="e">
        <f>IF(#REF!&lt;#REF!,"WARNING:  A-TAX TARGET AVERAGE DCR HAS NOT BEEN MET"," ")</f>
        <v>#REF!</v>
      </c>
      <c r="M5" s="44"/>
    </row>
    <row r="6" spans="1:33" ht="13.5" thickBot="1" x14ac:dyDescent="0.25">
      <c r="A6" s="40" t="s">
        <v>6</v>
      </c>
      <c r="AC6" s="40" t="s">
        <v>5</v>
      </c>
    </row>
    <row r="7" spans="1:33" ht="13.5" x14ac:dyDescent="0.25">
      <c r="A7" s="89" t="s">
        <v>329</v>
      </c>
      <c r="B7" s="358"/>
      <c r="C7" s="90"/>
      <c r="D7" s="359">
        <f>2000</f>
        <v>2000</v>
      </c>
      <c r="E7" s="109"/>
      <c r="G7" s="89" t="s">
        <v>7</v>
      </c>
      <c r="H7" s="358"/>
      <c r="I7" s="90"/>
      <c r="J7" s="90"/>
      <c r="K7" s="109"/>
      <c r="M7" s="337"/>
      <c r="N7" s="90"/>
      <c r="O7" s="90"/>
      <c r="P7" s="90"/>
      <c r="Q7" s="90"/>
      <c r="R7" s="382" t="s">
        <v>8</v>
      </c>
      <c r="S7" s="40" t="s">
        <v>5</v>
      </c>
      <c r="T7" s="89" t="s">
        <v>9</v>
      </c>
      <c r="U7" s="90"/>
      <c r="V7" s="91" t="s">
        <v>10</v>
      </c>
      <c r="W7" s="91" t="s">
        <v>11</v>
      </c>
      <c r="X7" s="92" t="s">
        <v>12</v>
      </c>
      <c r="AC7" s="309"/>
      <c r="AD7" s="309"/>
      <c r="AE7" s="235"/>
      <c r="AF7" s="235"/>
      <c r="AG7" s="235"/>
    </row>
    <row r="8" spans="1:33" x14ac:dyDescent="0.2">
      <c r="A8" s="95" t="s">
        <v>13</v>
      </c>
      <c r="B8" s="55"/>
      <c r="C8" s="55"/>
      <c r="D8" s="262">
        <v>500</v>
      </c>
      <c r="E8" s="360" t="s">
        <v>14</v>
      </c>
      <c r="G8" s="95" t="s">
        <v>309</v>
      </c>
      <c r="H8" s="55"/>
      <c r="I8" s="262"/>
      <c r="J8" s="97" t="s">
        <v>17</v>
      </c>
      <c r="K8" s="96"/>
      <c r="M8" s="99" t="s">
        <v>15</v>
      </c>
      <c r="N8" s="55"/>
      <c r="O8" s="62"/>
      <c r="P8" s="55"/>
      <c r="Q8" s="55"/>
      <c r="R8" s="371">
        <f>$E$15</f>
        <v>2000</v>
      </c>
      <c r="T8" s="95"/>
      <c r="U8" s="55"/>
      <c r="V8" s="55"/>
      <c r="W8" s="55"/>
      <c r="X8" s="96"/>
      <c r="AC8" s="55"/>
      <c r="AD8" s="55"/>
      <c r="AE8" s="139"/>
      <c r="AF8" s="139"/>
      <c r="AG8" s="347"/>
    </row>
    <row r="9" spans="1:33" x14ac:dyDescent="0.2">
      <c r="A9" s="95" t="s">
        <v>16</v>
      </c>
      <c r="B9" s="55"/>
      <c r="C9" s="55"/>
      <c r="D9" s="263">
        <v>1</v>
      </c>
      <c r="E9" s="96"/>
      <c r="G9" s="95" t="s">
        <v>339</v>
      </c>
      <c r="H9" s="55"/>
      <c r="I9" s="267">
        <v>0.05</v>
      </c>
      <c r="J9" s="55"/>
      <c r="K9" s="96"/>
      <c r="M9" s="95" t="s">
        <v>18</v>
      </c>
      <c r="N9" s="55"/>
      <c r="O9" s="305"/>
      <c r="P9" s="98"/>
      <c r="Q9" s="55"/>
      <c r="R9" s="332">
        <v>3300</v>
      </c>
      <c r="T9" s="99" t="s">
        <v>19</v>
      </c>
      <c r="U9" s="55"/>
      <c r="V9" s="271">
        <v>0.1</v>
      </c>
      <c r="W9" s="100">
        <f>RETURNS!D15</f>
        <v>0.44239030657364675</v>
      </c>
      <c r="X9" s="101">
        <f>RETURNS!D14</f>
        <v>7863.0213481592764</v>
      </c>
      <c r="Z9" s="346"/>
      <c r="AA9" s="346"/>
      <c r="AC9" s="55"/>
      <c r="AD9" s="55"/>
      <c r="AE9" s="139"/>
      <c r="AF9" s="139"/>
      <c r="AG9" s="347"/>
    </row>
    <row r="10" spans="1:33" ht="13.5" thickBot="1" x14ac:dyDescent="0.25">
      <c r="A10" s="95" t="s">
        <v>20</v>
      </c>
      <c r="B10" s="55"/>
      <c r="C10" s="102" t="s">
        <v>21</v>
      </c>
      <c r="D10" s="264">
        <v>12500</v>
      </c>
      <c r="E10" s="361" t="s">
        <v>22</v>
      </c>
      <c r="G10" s="105" t="s">
        <v>33</v>
      </c>
      <c r="H10" s="106"/>
      <c r="I10" s="374">
        <v>0</v>
      </c>
      <c r="J10" s="106"/>
      <c r="K10" s="112"/>
      <c r="M10" s="95" t="s">
        <v>23</v>
      </c>
      <c r="N10" s="55"/>
      <c r="O10" s="169"/>
      <c r="P10" s="98"/>
      <c r="Q10" s="55"/>
      <c r="R10" s="383">
        <v>0</v>
      </c>
      <c r="T10" s="103" t="s">
        <v>24</v>
      </c>
      <c r="U10" s="55"/>
      <c r="V10" s="55"/>
      <c r="W10" s="270">
        <v>0.1</v>
      </c>
      <c r="Z10" s="346"/>
      <c r="AA10" s="346"/>
      <c r="AC10" s="55"/>
      <c r="AD10" s="55"/>
      <c r="AE10" s="139"/>
      <c r="AF10" s="139"/>
      <c r="AG10" s="347"/>
    </row>
    <row r="11" spans="1:33" ht="13.5" thickBot="1" x14ac:dyDescent="0.25">
      <c r="A11" s="95" t="s">
        <v>25</v>
      </c>
      <c r="B11" s="304"/>
      <c r="C11" s="304"/>
      <c r="D11" s="306">
        <v>1</v>
      </c>
      <c r="E11" s="96"/>
      <c r="M11" s="95" t="s">
        <v>26</v>
      </c>
      <c r="N11" s="55"/>
      <c r="O11" s="169"/>
      <c r="P11" s="98"/>
      <c r="Q11" s="55"/>
      <c r="R11" s="383">
        <v>0</v>
      </c>
      <c r="T11" s="95"/>
      <c r="U11" s="55"/>
      <c r="V11" s="55"/>
      <c r="W11" s="55"/>
      <c r="X11" s="96"/>
      <c r="AC11" s="55"/>
      <c r="AD11" s="55"/>
      <c r="AE11" s="139"/>
      <c r="AF11" s="139"/>
      <c r="AG11" s="347"/>
    </row>
    <row r="12" spans="1:33" ht="13.5" thickBot="1" x14ac:dyDescent="0.25">
      <c r="A12" s="105" t="s">
        <v>332</v>
      </c>
      <c r="B12" s="106"/>
      <c r="C12" s="106"/>
      <c r="D12" s="362">
        <v>0.03</v>
      </c>
      <c r="E12" s="112"/>
      <c r="G12" s="89" t="s">
        <v>39</v>
      </c>
      <c r="H12" s="90"/>
      <c r="I12" s="90"/>
      <c r="J12" s="90"/>
      <c r="K12" s="109"/>
      <c r="M12" s="384" t="s">
        <v>28</v>
      </c>
      <c r="N12" s="171"/>
      <c r="O12" s="171"/>
      <c r="P12" s="171"/>
      <c r="Q12" s="171"/>
      <c r="R12" s="385">
        <f>SUM(R9:R11)</f>
        <v>3300</v>
      </c>
      <c r="T12" s="95" t="s">
        <v>27</v>
      </c>
      <c r="U12" s="55"/>
      <c r="V12" s="57">
        <f>DISC</f>
        <v>0.1</v>
      </c>
      <c r="W12" s="57">
        <f>RETURNS!D28</f>
        <v>0.44239030657364675</v>
      </c>
      <c r="X12" s="104">
        <f>RETURNS!D27</f>
        <v>7863.0213481592764</v>
      </c>
      <c r="AC12" s="55"/>
      <c r="AD12" s="55"/>
      <c r="AE12" s="139"/>
      <c r="AF12" s="139"/>
      <c r="AG12" s="347"/>
    </row>
    <row r="13" spans="1:33" ht="13.5" thickBot="1" x14ac:dyDescent="0.25">
      <c r="G13" s="95" t="s">
        <v>310</v>
      </c>
      <c r="H13" s="55"/>
      <c r="I13" s="262"/>
      <c r="J13" s="209"/>
      <c r="K13" s="96"/>
      <c r="M13" s="95" t="s">
        <v>31</v>
      </c>
      <c r="N13" s="55"/>
      <c r="O13" s="305"/>
      <c r="P13" s="55"/>
      <c r="Q13" s="55"/>
      <c r="R13" s="333">
        <f>O13*(1+CPI)^($R$8-$O$8)</f>
        <v>0</v>
      </c>
      <c r="T13" s="95" t="s">
        <v>35</v>
      </c>
      <c r="U13" s="55"/>
      <c r="V13" s="57"/>
      <c r="W13" s="57"/>
      <c r="X13" s="104">
        <f>SUM(X12:X12)</f>
        <v>7863.0213481592764</v>
      </c>
      <c r="AC13" s="55"/>
      <c r="AD13" s="55"/>
      <c r="AE13" s="139"/>
      <c r="AF13" s="139"/>
      <c r="AG13" s="347"/>
    </row>
    <row r="14" spans="1:33" x14ac:dyDescent="0.2">
      <c r="A14" s="89" t="s">
        <v>30</v>
      </c>
      <c r="B14" s="90"/>
      <c r="C14" s="90"/>
      <c r="D14" s="90"/>
      <c r="E14" s="109"/>
      <c r="G14" s="95" t="s">
        <v>334</v>
      </c>
      <c r="H14" s="55"/>
      <c r="I14" s="267">
        <v>0.05</v>
      </c>
      <c r="J14" s="209"/>
      <c r="K14" s="96"/>
      <c r="M14" s="384" t="s">
        <v>34</v>
      </c>
      <c r="N14" s="171"/>
      <c r="O14" s="171"/>
      <c r="P14" s="171"/>
      <c r="Q14" s="171"/>
      <c r="R14" s="385">
        <f>SUM(R13:R13)</f>
        <v>0</v>
      </c>
      <c r="T14" s="95"/>
      <c r="U14" s="55"/>
      <c r="V14" s="57"/>
      <c r="W14" s="57"/>
      <c r="X14" s="104"/>
      <c r="AC14" s="55"/>
      <c r="AD14" s="55"/>
      <c r="AE14" s="139"/>
      <c r="AF14" s="139"/>
      <c r="AG14" s="126"/>
    </row>
    <row r="15" spans="1:33" ht="13.5" thickBot="1" x14ac:dyDescent="0.25">
      <c r="A15" s="95" t="s">
        <v>32</v>
      </c>
      <c r="B15" s="55"/>
      <c r="C15" s="55"/>
      <c r="D15" s="265">
        <f>DATE(E15-1900,12,1)</f>
        <v>36861</v>
      </c>
      <c r="E15" s="355">
        <v>2000</v>
      </c>
      <c r="G15" s="105" t="s">
        <v>43</v>
      </c>
      <c r="H15" s="106"/>
      <c r="I15" s="374">
        <v>0.35</v>
      </c>
      <c r="J15" s="106"/>
      <c r="K15" s="112"/>
      <c r="M15" s="95" t="s">
        <v>37</v>
      </c>
      <c r="N15" s="55"/>
      <c r="O15" s="305"/>
      <c r="P15" s="55"/>
      <c r="Q15" s="55"/>
      <c r="R15" s="332">
        <f>O15*(1+CPI)^($R$8-$O$8)</f>
        <v>0</v>
      </c>
      <c r="T15" s="95" t="s">
        <v>41</v>
      </c>
      <c r="U15" s="55"/>
      <c r="V15" s="57"/>
      <c r="W15" s="57"/>
      <c r="X15" s="104" t="e">
        <f>-RETURNS!#REF!-RETURNS!P35-RETURNS!P47</f>
        <v>#REF!</v>
      </c>
      <c r="AC15" s="55"/>
      <c r="AD15" s="55"/>
      <c r="AE15" s="139"/>
      <c r="AF15" s="139"/>
      <c r="AG15" s="126"/>
    </row>
    <row r="16" spans="1:33" ht="13.5" thickBot="1" x14ac:dyDescent="0.25">
      <c r="A16" s="95" t="s">
        <v>36</v>
      </c>
      <c r="B16" s="55"/>
      <c r="C16" s="55"/>
      <c r="D16" s="55"/>
      <c r="E16" s="355">
        <v>6</v>
      </c>
      <c r="M16" s="95" t="s">
        <v>40</v>
      </c>
      <c r="N16" s="55"/>
      <c r="O16" s="169"/>
      <c r="P16" s="55"/>
      <c r="Q16" s="55"/>
      <c r="R16" s="383">
        <v>8800</v>
      </c>
      <c r="T16" s="95" t="s">
        <v>47</v>
      </c>
      <c r="U16" s="55"/>
      <c r="V16" s="57"/>
      <c r="W16" s="57"/>
      <c r="X16" s="104" t="e">
        <f>-RETURNS!#REF!</f>
        <v>#REF!</v>
      </c>
      <c r="AC16" s="55"/>
      <c r="AD16" s="55"/>
      <c r="AE16" s="139"/>
      <c r="AF16" s="139"/>
      <c r="AG16" s="126"/>
    </row>
    <row r="17" spans="1:36" x14ac:dyDescent="0.2">
      <c r="A17" s="95" t="s">
        <v>38</v>
      </c>
      <c r="B17" s="55"/>
      <c r="C17" s="55"/>
      <c r="D17" s="262">
        <v>6</v>
      </c>
      <c r="E17" s="355">
        <v>2001</v>
      </c>
      <c r="G17" s="89" t="s">
        <v>48</v>
      </c>
      <c r="H17" s="90"/>
      <c r="I17" s="91" t="s">
        <v>49</v>
      </c>
      <c r="J17" s="91" t="s">
        <v>50</v>
      </c>
      <c r="K17" s="92" t="s">
        <v>51</v>
      </c>
      <c r="M17" s="95" t="s">
        <v>44</v>
      </c>
      <c r="N17" s="55"/>
      <c r="O17" s="305"/>
      <c r="P17" s="55"/>
      <c r="Q17" s="55"/>
      <c r="R17" s="333">
        <f>O17*(1+CPI)^($R$8-$O$8)</f>
        <v>0</v>
      </c>
      <c r="T17" s="95" t="s">
        <v>52</v>
      </c>
      <c r="U17" s="55"/>
      <c r="V17" s="57"/>
      <c r="W17" s="57"/>
      <c r="X17" s="182" t="e">
        <f>-RETURNS!#REF!</f>
        <v>#REF!</v>
      </c>
      <c r="AC17" s="55"/>
      <c r="AD17" s="55"/>
      <c r="AE17" s="139"/>
      <c r="AF17" s="139"/>
      <c r="AG17" s="126"/>
    </row>
    <row r="18" spans="1:36" x14ac:dyDescent="0.2">
      <c r="A18" s="95" t="s">
        <v>42</v>
      </c>
      <c r="B18" s="55"/>
      <c r="C18" s="55"/>
      <c r="D18" s="55"/>
      <c r="E18" s="356" t="s">
        <v>353</v>
      </c>
      <c r="G18" s="95"/>
      <c r="H18" s="55"/>
      <c r="I18" s="55"/>
      <c r="J18" s="55"/>
      <c r="K18" s="96"/>
      <c r="M18" s="384" t="s">
        <v>46</v>
      </c>
      <c r="N18" s="171"/>
      <c r="O18" s="171"/>
      <c r="P18" s="171"/>
      <c r="Q18" s="171"/>
      <c r="R18" s="385">
        <f>SUM(R15:R17)</f>
        <v>8800</v>
      </c>
      <c r="T18" s="95" t="s">
        <v>55</v>
      </c>
      <c r="U18" s="55"/>
      <c r="V18" s="57"/>
      <c r="W18" s="57"/>
      <c r="X18" s="104" t="e">
        <f>SUM(X15:X17)</f>
        <v>#REF!</v>
      </c>
      <c r="AC18" s="55"/>
      <c r="AD18" s="55"/>
      <c r="AE18" s="139"/>
      <c r="AF18" s="139"/>
      <c r="AG18" s="126"/>
    </row>
    <row r="19" spans="1:36" ht="13.5" thickBot="1" x14ac:dyDescent="0.25">
      <c r="A19" s="105" t="s">
        <v>45</v>
      </c>
      <c r="B19" s="106"/>
      <c r="C19" s="106"/>
      <c r="D19" s="106"/>
      <c r="E19" s="357" t="s">
        <v>353</v>
      </c>
      <c r="G19" s="95" t="s">
        <v>58</v>
      </c>
      <c r="H19" s="55" t="s">
        <v>345</v>
      </c>
      <c r="I19" s="264">
        <v>13000</v>
      </c>
      <c r="J19" s="262">
        <v>20</v>
      </c>
      <c r="K19" s="375" t="s">
        <v>314</v>
      </c>
      <c r="M19" s="95" t="s">
        <v>326</v>
      </c>
      <c r="N19" s="55"/>
      <c r="O19" s="305"/>
      <c r="P19" s="98"/>
      <c r="Q19" s="55"/>
      <c r="R19" s="332">
        <f>O19*(1+CPI)^($R$8-$O$8)</f>
        <v>0</v>
      </c>
      <c r="T19" s="95"/>
      <c r="U19" s="55"/>
      <c r="V19" s="57"/>
      <c r="W19" s="57"/>
      <c r="X19" s="104"/>
      <c r="AC19" s="55"/>
      <c r="AD19" s="55"/>
      <c r="AE19" s="139"/>
      <c r="AF19" s="139"/>
      <c r="AG19" s="126"/>
    </row>
    <row r="20" spans="1:36" ht="13.5" thickBot="1" x14ac:dyDescent="0.25">
      <c r="B20" s="83">
        <f>W12</f>
        <v>0.44239030657364675</v>
      </c>
      <c r="C20" s="144">
        <f>E20+0.01</f>
        <v>32.379999999999995</v>
      </c>
      <c r="D20" s="144">
        <f>E20-0.01</f>
        <v>32.36</v>
      </c>
      <c r="E20" s="145">
        <v>32.369999999999997</v>
      </c>
      <c r="G20" s="331"/>
      <c r="H20" s="169"/>
      <c r="I20" s="169"/>
      <c r="J20" s="169"/>
      <c r="K20" s="376"/>
      <c r="M20" s="95" t="s">
        <v>54</v>
      </c>
      <c r="N20" s="55"/>
      <c r="O20" s="171"/>
      <c r="P20" s="98"/>
      <c r="Q20" s="55"/>
      <c r="R20" s="383">
        <v>0</v>
      </c>
      <c r="T20" s="95" t="s">
        <v>62</v>
      </c>
      <c r="U20" s="55"/>
      <c r="V20" s="57"/>
      <c r="W20" s="57"/>
      <c r="X20" s="104" t="e">
        <f>X13+X18</f>
        <v>#REF!</v>
      </c>
    </row>
    <row r="21" spans="1:36" ht="13.5" thickBot="1" x14ac:dyDescent="0.25">
      <c r="A21" s="89" t="s">
        <v>53</v>
      </c>
      <c r="B21" s="90"/>
      <c r="C21" s="91">
        <v>2000</v>
      </c>
      <c r="D21" s="90"/>
      <c r="E21" s="92" t="s">
        <v>57</v>
      </c>
      <c r="G21" s="331" t="s">
        <v>70</v>
      </c>
      <c r="H21" s="55" t="s">
        <v>345</v>
      </c>
      <c r="I21" s="264">
        <v>13000</v>
      </c>
      <c r="J21" s="262">
        <v>28.5</v>
      </c>
      <c r="K21" s="376" t="s">
        <v>59</v>
      </c>
      <c r="M21" s="95" t="s">
        <v>64</v>
      </c>
      <c r="N21" s="55"/>
      <c r="O21" s="305"/>
      <c r="P21" s="55"/>
      <c r="Q21" s="55"/>
      <c r="R21" s="333">
        <f>O21*(1+CPI)^($R$8-$O$8)</f>
        <v>0</v>
      </c>
      <c r="T21" s="105" t="s">
        <v>65</v>
      </c>
      <c r="U21" s="106"/>
      <c r="V21" s="107"/>
      <c r="W21" s="107"/>
      <c r="X21" s="108" t="e">
        <f>X20-X9</f>
        <v>#REF!</v>
      </c>
    </row>
    <row r="22" spans="1:36" x14ac:dyDescent="0.2">
      <c r="A22" s="95" t="s">
        <v>335</v>
      </c>
      <c r="B22" s="55"/>
      <c r="C22" s="307" t="s">
        <v>338</v>
      </c>
      <c r="D22" s="55"/>
      <c r="E22" s="96"/>
      <c r="G22" s="331"/>
      <c r="H22" s="169"/>
      <c r="I22" s="170"/>
      <c r="J22" s="170"/>
      <c r="K22" s="376"/>
      <c r="M22" s="384" t="s">
        <v>67</v>
      </c>
      <c r="N22" s="171"/>
      <c r="O22" s="171"/>
      <c r="P22" s="171"/>
      <c r="Q22" s="171"/>
      <c r="R22" s="385">
        <f>SUM(R19:R21)</f>
        <v>0</v>
      </c>
      <c r="AB22" s="78"/>
      <c r="AC22" s="78"/>
      <c r="AD22" s="55"/>
      <c r="AE22" s="55"/>
      <c r="AF22" s="55"/>
      <c r="AI22" s="343"/>
      <c r="AJ22" s="344"/>
    </row>
    <row r="23" spans="1:36" ht="13.5" thickBot="1" x14ac:dyDescent="0.25">
      <c r="A23" s="95" t="s">
        <v>336</v>
      </c>
      <c r="B23" s="55"/>
      <c r="C23" s="307" t="s">
        <v>338</v>
      </c>
      <c r="D23" s="55"/>
      <c r="E23" s="96"/>
      <c r="G23" s="377" t="s">
        <v>75</v>
      </c>
      <c r="H23" s="106" t="s">
        <v>345</v>
      </c>
      <c r="I23" s="378">
        <v>13000</v>
      </c>
      <c r="J23" s="269">
        <v>28.5</v>
      </c>
      <c r="K23" s="379" t="s">
        <v>59</v>
      </c>
      <c r="M23" s="95" t="s">
        <v>313</v>
      </c>
      <c r="N23" s="55"/>
      <c r="O23" s="55"/>
      <c r="P23" s="55"/>
      <c r="Q23" s="55"/>
      <c r="R23" s="390">
        <v>0</v>
      </c>
      <c r="AB23" s="100"/>
      <c r="AC23" s="285"/>
      <c r="AD23" s="287"/>
      <c r="AE23" s="209"/>
      <c r="AF23" s="55"/>
      <c r="AI23" s="345"/>
      <c r="AJ23" s="344"/>
    </row>
    <row r="24" spans="1:36" ht="13.5" thickBot="1" x14ac:dyDescent="0.25">
      <c r="A24" s="95" t="s">
        <v>337</v>
      </c>
      <c r="B24" s="55"/>
      <c r="C24" s="307" t="s">
        <v>338</v>
      </c>
      <c r="D24" s="55"/>
      <c r="E24" s="96"/>
      <c r="M24" s="95" t="s">
        <v>71</v>
      </c>
      <c r="N24" s="55"/>
      <c r="O24" s="55"/>
      <c r="P24" s="55"/>
      <c r="Q24" s="55"/>
      <c r="R24" s="332">
        <f>AE9</f>
        <v>0</v>
      </c>
      <c r="T24" s="89" t="s">
        <v>358</v>
      </c>
      <c r="U24" s="330"/>
      <c r="V24" s="330"/>
      <c r="W24" s="330"/>
      <c r="X24" s="109"/>
      <c r="Y24" s="83"/>
      <c r="AB24" s="100"/>
      <c r="AC24" s="285"/>
      <c r="AD24" s="287"/>
      <c r="AE24" s="209"/>
      <c r="AF24" s="55"/>
    </row>
    <row r="25" spans="1:36" x14ac:dyDescent="0.2">
      <c r="A25" s="350" t="s">
        <v>56</v>
      </c>
      <c r="B25" s="55"/>
      <c r="C25" s="209"/>
      <c r="D25" s="55"/>
      <c r="E25" s="96"/>
      <c r="G25" s="89" t="s">
        <v>79</v>
      </c>
      <c r="H25" s="90"/>
      <c r="I25" s="380" t="s">
        <v>80</v>
      </c>
      <c r="J25" s="380" t="s">
        <v>81</v>
      </c>
      <c r="K25" s="381" t="s">
        <v>82</v>
      </c>
      <c r="M25" s="95" t="s">
        <v>73</v>
      </c>
      <c r="N25" s="55"/>
      <c r="O25" s="209"/>
      <c r="P25" s="209"/>
      <c r="Q25" s="55"/>
      <c r="R25" s="390">
        <v>0</v>
      </c>
      <c r="T25" s="331" t="s">
        <v>305</v>
      </c>
      <c r="U25" s="275" t="s">
        <v>306</v>
      </c>
      <c r="V25" s="120"/>
      <c r="W25" s="403" t="s">
        <v>307</v>
      </c>
      <c r="X25" s="404"/>
      <c r="AB25" s="100"/>
      <c r="AC25" s="285"/>
      <c r="AD25" s="287"/>
      <c r="AE25" s="209"/>
      <c r="AF25" s="55"/>
    </row>
    <row r="26" spans="1:36" x14ac:dyDescent="0.2">
      <c r="A26" s="95" t="s">
        <v>60</v>
      </c>
      <c r="B26" s="55"/>
      <c r="C26" s="281">
        <v>8.3999999999999995E-3</v>
      </c>
      <c r="D26" s="113" t="s">
        <v>61</v>
      </c>
      <c r="E26" s="351">
        <v>0.02</v>
      </c>
      <c r="G26" s="95" t="s">
        <v>84</v>
      </c>
      <c r="H26" s="55"/>
      <c r="I26" s="267">
        <v>1</v>
      </c>
      <c r="J26" s="267">
        <v>1</v>
      </c>
      <c r="K26" s="104">
        <f>I26*EQUITY</f>
        <v>13000</v>
      </c>
      <c r="M26" s="95" t="s">
        <v>74</v>
      </c>
      <c r="N26" s="55"/>
      <c r="O26" s="55"/>
      <c r="P26" s="55"/>
      <c r="Q26" s="55"/>
      <c r="R26" s="383">
        <v>0</v>
      </c>
      <c r="T26" s="95"/>
      <c r="U26" s="117"/>
      <c r="V26" s="117"/>
      <c r="W26" s="117"/>
      <c r="X26" s="96"/>
      <c r="AB26" s="100"/>
      <c r="AC26" s="285"/>
      <c r="AD26" s="287"/>
      <c r="AE26" s="209"/>
      <c r="AF26" s="55"/>
    </row>
    <row r="27" spans="1:36" ht="13.5" thickBot="1" x14ac:dyDescent="0.25">
      <c r="A27" s="352" t="s">
        <v>63</v>
      </c>
      <c r="B27" s="55"/>
      <c r="C27" s="55"/>
      <c r="D27" s="55"/>
      <c r="E27" s="96"/>
      <c r="G27" s="105" t="s">
        <v>1</v>
      </c>
      <c r="H27" s="106"/>
      <c r="I27" s="107">
        <f>SUM(I26:I26)</f>
        <v>1</v>
      </c>
      <c r="J27" s="107">
        <f>SUM(J26:J26)</f>
        <v>1</v>
      </c>
      <c r="K27" s="108">
        <f>SUM(K26:K26)</f>
        <v>13000</v>
      </c>
      <c r="M27" s="95" t="s">
        <v>76</v>
      </c>
      <c r="N27" s="55"/>
      <c r="O27" s="55"/>
      <c r="P27" s="55"/>
      <c r="Q27" s="55"/>
      <c r="R27" s="383">
        <v>0</v>
      </c>
      <c r="T27" s="95" t="s">
        <v>115</v>
      </c>
      <c r="U27" s="117"/>
      <c r="V27" s="125">
        <f>1-equityperc</f>
        <v>0</v>
      </c>
      <c r="W27" s="117"/>
      <c r="X27" s="332">
        <f>COST*DEBTPERC</f>
        <v>0</v>
      </c>
      <c r="AB27" s="100"/>
      <c r="AC27" s="285"/>
      <c r="AD27" s="209"/>
      <c r="AE27" s="209"/>
      <c r="AF27" s="55"/>
    </row>
    <row r="28" spans="1:36" x14ac:dyDescent="0.2">
      <c r="A28" s="350" t="s">
        <v>66</v>
      </c>
      <c r="B28" s="55"/>
      <c r="C28" s="55"/>
      <c r="D28" s="55"/>
      <c r="E28" s="96"/>
      <c r="K28" s="86" t="str">
        <f>IF(ABS(K27-EQUITY)&gt;0.01,"CHECK"," ")</f>
        <v xml:space="preserve"> </v>
      </c>
      <c r="M28" s="95" t="s">
        <v>77</v>
      </c>
      <c r="N28" s="55"/>
      <c r="O28" s="55"/>
      <c r="P28" s="55"/>
      <c r="Q28" s="55"/>
      <c r="R28" s="383">
        <v>0</v>
      </c>
      <c r="T28" s="95" t="s">
        <v>116</v>
      </c>
      <c r="U28" s="117"/>
      <c r="V28" s="272">
        <v>1</v>
      </c>
      <c r="W28" s="117"/>
      <c r="X28" s="333">
        <f>COST*equityperc</f>
        <v>13000</v>
      </c>
      <c r="AB28" s="55"/>
      <c r="AC28" s="209"/>
      <c r="AD28" s="209"/>
      <c r="AE28" s="209"/>
      <c r="AF28" s="55"/>
    </row>
    <row r="29" spans="1:36" x14ac:dyDescent="0.2">
      <c r="A29" s="95" t="s">
        <v>68</v>
      </c>
      <c r="B29" s="55"/>
      <c r="C29" s="114">
        <f>SUM(C56:C60)/(8760*avail*dispatch*capacity)</f>
        <v>0</v>
      </c>
      <c r="D29" s="55" t="s">
        <v>69</v>
      </c>
      <c r="E29" s="351">
        <v>0.02</v>
      </c>
      <c r="M29" s="95" t="s">
        <v>78</v>
      </c>
      <c r="N29" s="55"/>
      <c r="O29" s="55"/>
      <c r="P29" s="55"/>
      <c r="Q29" s="55"/>
      <c r="R29" s="383">
        <v>0</v>
      </c>
      <c r="T29" s="95" t="s">
        <v>117</v>
      </c>
      <c r="U29" s="117"/>
      <c r="V29" s="273">
        <f>DEBTPERC+equityperc</f>
        <v>1</v>
      </c>
      <c r="W29" s="117"/>
      <c r="X29" s="391">
        <f>SUM(X27:X28)</f>
        <v>13000</v>
      </c>
      <c r="AC29"/>
      <c r="AD29"/>
      <c r="AE29"/>
    </row>
    <row r="30" spans="1:36" x14ac:dyDescent="0.2">
      <c r="A30" s="95" t="s">
        <v>333</v>
      </c>
      <c r="B30" s="55"/>
      <c r="C30" s="114">
        <v>0</v>
      </c>
      <c r="D30" s="55" t="s">
        <v>69</v>
      </c>
      <c r="E30" s="351">
        <v>0.02</v>
      </c>
      <c r="M30" s="95" t="s">
        <v>83</v>
      </c>
      <c r="N30" s="55"/>
      <c r="O30" s="55"/>
      <c r="P30" s="55"/>
      <c r="Q30" s="55"/>
      <c r="R30" s="383">
        <v>0</v>
      </c>
      <c r="T30" s="95"/>
      <c r="U30" s="117"/>
      <c r="V30" s="273"/>
      <c r="W30" s="117"/>
      <c r="X30" s="391"/>
      <c r="Y30" s="83"/>
      <c r="AC30"/>
      <c r="AD30"/>
      <c r="AE30"/>
    </row>
    <row r="31" spans="1:36" ht="13.5" thickBot="1" x14ac:dyDescent="0.25">
      <c r="A31" s="105" t="s">
        <v>72</v>
      </c>
      <c r="B31" s="106"/>
      <c r="C31" s="353">
        <v>0</v>
      </c>
      <c r="D31" s="106" t="s">
        <v>69</v>
      </c>
      <c r="E31" s="354">
        <v>0.02</v>
      </c>
      <c r="M31" s="95" t="s">
        <v>321</v>
      </c>
      <c r="N31" s="55"/>
      <c r="O31" s="55" t="s">
        <v>5</v>
      </c>
      <c r="P31" s="139"/>
      <c r="Q31" s="55"/>
      <c r="R31" s="383">
        <v>0</v>
      </c>
      <c r="T31" s="95" t="s">
        <v>184</v>
      </c>
      <c r="U31" s="117"/>
      <c r="V31" s="273">
        <v>0</v>
      </c>
      <c r="W31" s="117"/>
      <c r="X31" s="391"/>
      <c r="AE31" s="83"/>
    </row>
    <row r="32" spans="1:36" ht="13.5" thickBot="1" x14ac:dyDescent="0.25">
      <c r="A32" s="122" t="s">
        <v>311</v>
      </c>
      <c r="B32" s="72"/>
      <c r="C32" s="348"/>
      <c r="D32" s="123" t="s">
        <v>312</v>
      </c>
      <c r="E32" s="349"/>
      <c r="M32" s="95" t="s">
        <v>85</v>
      </c>
      <c r="N32" s="55"/>
      <c r="O32" s="55" t="s">
        <v>5</v>
      </c>
      <c r="P32" s="55"/>
      <c r="Q32" s="55"/>
      <c r="R32" s="383">
        <v>0</v>
      </c>
      <c r="T32" s="105"/>
      <c r="U32" s="334"/>
      <c r="V32" s="335"/>
      <c r="W32" s="334"/>
      <c r="X32" s="336"/>
    </row>
    <row r="33" spans="1:31" ht="13.5" thickBot="1" x14ac:dyDescent="0.25">
      <c r="M33" s="95" t="s">
        <v>88</v>
      </c>
      <c r="N33" s="55"/>
      <c r="O33" s="119" t="s">
        <v>5</v>
      </c>
      <c r="P33" s="119"/>
      <c r="Q33" s="55"/>
      <c r="R33" s="386">
        <v>0</v>
      </c>
      <c r="U33" s="93"/>
      <c r="V33" s="93"/>
      <c r="W33" s="93"/>
    </row>
    <row r="34" spans="1:31" x14ac:dyDescent="0.2">
      <c r="A34" s="89" t="s">
        <v>340</v>
      </c>
      <c r="B34" s="363"/>
      <c r="C34" s="363"/>
      <c r="D34" s="359">
        <f>D7</f>
        <v>2000</v>
      </c>
      <c r="E34" s="364"/>
      <c r="M34" s="384" t="s">
        <v>90</v>
      </c>
      <c r="N34" s="171"/>
      <c r="O34" s="171"/>
      <c r="P34" s="171"/>
      <c r="Q34" s="171"/>
      <c r="R34" s="385">
        <f>SUM(R23:R33)</f>
        <v>0</v>
      </c>
      <c r="T34" s="89" t="s">
        <v>373</v>
      </c>
      <c r="U34" s="338"/>
      <c r="V34" s="338"/>
      <c r="W34" s="338"/>
      <c r="X34" s="109"/>
    </row>
    <row r="35" spans="1:31" x14ac:dyDescent="0.2">
      <c r="A35" s="331" t="s">
        <v>13</v>
      </c>
      <c r="B35" s="169"/>
      <c r="C35" s="297"/>
      <c r="D35" s="303">
        <v>500</v>
      </c>
      <c r="E35" s="360" t="s">
        <v>341</v>
      </c>
      <c r="M35" s="95" t="s">
        <v>92</v>
      </c>
      <c r="N35" s="55"/>
      <c r="O35" s="57"/>
      <c r="P35" s="267">
        <v>0.03</v>
      </c>
      <c r="Q35" s="55"/>
      <c r="R35" s="332"/>
      <c r="T35" s="95"/>
      <c r="U35" s="55" t="s">
        <v>359</v>
      </c>
      <c r="V35" s="117" t="s">
        <v>360</v>
      </c>
      <c r="W35" s="117" t="s">
        <v>361</v>
      </c>
      <c r="X35" s="96"/>
      <c r="AC35" s="40" t="s">
        <v>5</v>
      </c>
      <c r="AE35" s="40" t="s">
        <v>5</v>
      </c>
    </row>
    <row r="36" spans="1:31" x14ac:dyDescent="0.2">
      <c r="A36" s="331" t="s">
        <v>16</v>
      </c>
      <c r="B36" s="169"/>
      <c r="C36" s="298"/>
      <c r="D36" s="302">
        <v>1</v>
      </c>
      <c r="E36" s="365"/>
      <c r="M36" s="95" t="s">
        <v>94</v>
      </c>
      <c r="N36" s="55"/>
      <c r="O36" s="55"/>
      <c r="P36" s="57" t="s">
        <v>5</v>
      </c>
      <c r="Q36" s="55"/>
      <c r="R36" s="383">
        <v>0</v>
      </c>
      <c r="T36" s="95" t="s">
        <v>365</v>
      </c>
      <c r="U36" s="102">
        <v>120</v>
      </c>
      <c r="V36" s="102">
        <v>93</v>
      </c>
      <c r="W36" s="102">
        <v>80</v>
      </c>
      <c r="X36" s="96"/>
      <c r="Y36" s="83"/>
    </row>
    <row r="37" spans="1:31" ht="13.5" thickBot="1" x14ac:dyDescent="0.25">
      <c r="A37" s="105" t="s">
        <v>330</v>
      </c>
      <c r="B37" s="106"/>
      <c r="C37" s="106"/>
      <c r="D37" s="366"/>
      <c r="E37" s="367"/>
      <c r="M37" s="95" t="s">
        <v>96</v>
      </c>
      <c r="N37" s="55"/>
      <c r="O37" s="267">
        <v>0</v>
      </c>
      <c r="P37" s="55"/>
      <c r="Q37" s="55"/>
      <c r="R37" s="383">
        <v>0</v>
      </c>
      <c r="T37" s="95" t="s">
        <v>364</v>
      </c>
      <c r="U37" s="102">
        <v>20</v>
      </c>
      <c r="V37" s="102">
        <v>20</v>
      </c>
      <c r="W37" s="102">
        <v>20</v>
      </c>
      <c r="X37" s="96"/>
    </row>
    <row r="38" spans="1:31" ht="13.5" thickBot="1" x14ac:dyDescent="0.25">
      <c r="M38" s="95" t="s">
        <v>98</v>
      </c>
      <c r="N38" s="55"/>
      <c r="O38" s="55" t="s">
        <v>5</v>
      </c>
      <c r="P38" s="55"/>
      <c r="Q38" s="55"/>
      <c r="R38" s="383">
        <v>0</v>
      </c>
      <c r="T38" s="95" t="s">
        <v>363</v>
      </c>
      <c r="U38" s="102">
        <v>16</v>
      </c>
      <c r="V38" s="102">
        <v>16</v>
      </c>
      <c r="W38" s="102">
        <v>16</v>
      </c>
      <c r="X38" s="96"/>
    </row>
    <row r="39" spans="1:31" x14ac:dyDescent="0.2">
      <c r="A39" s="89" t="s">
        <v>86</v>
      </c>
      <c r="B39" s="90"/>
      <c r="C39" s="90"/>
      <c r="D39" s="368" t="s">
        <v>87</v>
      </c>
      <c r="E39" s="369">
        <v>0.02</v>
      </c>
      <c r="M39" s="95" t="s">
        <v>100</v>
      </c>
      <c r="N39" s="55"/>
      <c r="O39" s="55" t="s">
        <v>5</v>
      </c>
      <c r="P39" s="97" t="s">
        <v>5</v>
      </c>
      <c r="Q39" s="55"/>
      <c r="R39" s="386">
        <v>0</v>
      </c>
      <c r="T39" s="95" t="s">
        <v>370</v>
      </c>
      <c r="U39" s="102">
        <v>0.02</v>
      </c>
      <c r="V39" s="102">
        <v>1.4999999999999999E-2</v>
      </c>
      <c r="W39" s="102">
        <v>0.01</v>
      </c>
      <c r="X39" s="96"/>
    </row>
    <row r="40" spans="1:31" x14ac:dyDescent="0.2">
      <c r="A40" s="95"/>
      <c r="B40" s="55"/>
      <c r="C40" s="55"/>
      <c r="D40" s="55"/>
      <c r="E40" s="96"/>
      <c r="M40" s="384" t="s">
        <v>102</v>
      </c>
      <c r="N40" s="171"/>
      <c r="O40" s="171"/>
      <c r="P40" s="171"/>
      <c r="Q40" s="171"/>
      <c r="R40" s="385">
        <f>R35+R36+R37+R38+R39</f>
        <v>0</v>
      </c>
      <c r="T40" s="95" t="s">
        <v>367</v>
      </c>
      <c r="U40" s="341">
        <v>3300</v>
      </c>
      <c r="V40" s="341">
        <v>3300</v>
      </c>
      <c r="W40" s="341">
        <v>3300</v>
      </c>
      <c r="X40" s="96"/>
    </row>
    <row r="41" spans="1:31" ht="13.5" thickBot="1" x14ac:dyDescent="0.25">
      <c r="A41" s="370" t="s">
        <v>91</v>
      </c>
      <c r="B41" s="55"/>
      <c r="C41" s="62">
        <v>2000</v>
      </c>
      <c r="D41" s="55"/>
      <c r="E41" s="371" t="s">
        <v>57</v>
      </c>
      <c r="M41" s="95" t="s">
        <v>104</v>
      </c>
      <c r="N41" s="55"/>
      <c r="O41" s="55" t="s">
        <v>5</v>
      </c>
      <c r="P41" s="55"/>
      <c r="Q41" s="55"/>
      <c r="R41" s="383">
        <v>0</v>
      </c>
      <c r="T41" s="105" t="s">
        <v>366</v>
      </c>
      <c r="U41" s="342">
        <v>600</v>
      </c>
      <c r="V41" s="342">
        <v>500</v>
      </c>
      <c r="W41" s="342">
        <v>400</v>
      </c>
      <c r="X41" s="112"/>
    </row>
    <row r="42" spans="1:31" x14ac:dyDescent="0.2">
      <c r="A42" s="95" t="s">
        <v>93</v>
      </c>
      <c r="B42" s="55"/>
      <c r="C42" s="266">
        <v>48</v>
      </c>
      <c r="D42" s="55"/>
      <c r="E42" s="351">
        <f t="shared" ref="E42:E54" si="0">CPI</f>
        <v>0.02</v>
      </c>
      <c r="M42" s="95" t="s">
        <v>106</v>
      </c>
      <c r="N42" s="55"/>
      <c r="O42" s="55" t="s">
        <v>5</v>
      </c>
      <c r="P42" s="55"/>
      <c r="Q42" s="55"/>
      <c r="R42" s="386">
        <v>0</v>
      </c>
      <c r="U42" s="93"/>
      <c r="V42" s="93"/>
      <c r="Y42" s="83"/>
    </row>
    <row r="43" spans="1:31" ht="13.5" thickBot="1" x14ac:dyDescent="0.25">
      <c r="A43" s="95" t="s">
        <v>95</v>
      </c>
      <c r="B43" s="55"/>
      <c r="C43" s="266">
        <v>0</v>
      </c>
      <c r="D43" s="55"/>
      <c r="E43" s="351">
        <f t="shared" si="0"/>
        <v>0.02</v>
      </c>
      <c r="M43" s="384" t="s">
        <v>107</v>
      </c>
      <c r="N43" s="171"/>
      <c r="O43" s="171"/>
      <c r="P43" s="171"/>
      <c r="Q43" s="171"/>
      <c r="R43" s="385">
        <f>SUM(R41:R42)</f>
        <v>0</v>
      </c>
      <c r="U43" s="93"/>
      <c r="V43" s="93"/>
    </row>
    <row r="44" spans="1:31" x14ac:dyDescent="0.2">
      <c r="A44" s="95" t="s">
        <v>97</v>
      </c>
      <c r="B44" s="55"/>
      <c r="C44" s="266">
        <v>0</v>
      </c>
      <c r="D44" s="55"/>
      <c r="E44" s="351">
        <f t="shared" si="0"/>
        <v>0.02</v>
      </c>
      <c r="M44" s="95" t="s">
        <v>108</v>
      </c>
      <c r="N44" s="55"/>
      <c r="O44" s="55" t="s">
        <v>5</v>
      </c>
      <c r="P44" s="55"/>
      <c r="Q44" s="55"/>
      <c r="R44" s="383">
        <v>0</v>
      </c>
      <c r="T44" s="89" t="s">
        <v>377</v>
      </c>
      <c r="U44" s="338"/>
      <c r="V44" s="338"/>
      <c r="W44" s="90"/>
      <c r="X44" s="109"/>
    </row>
    <row r="45" spans="1:31" x14ac:dyDescent="0.2">
      <c r="A45" s="95" t="s">
        <v>99</v>
      </c>
      <c r="B45" s="55"/>
      <c r="C45" s="266">
        <v>0</v>
      </c>
      <c r="D45" s="209"/>
      <c r="E45" s="351">
        <f t="shared" si="0"/>
        <v>0.02</v>
      </c>
      <c r="M45" s="95" t="s">
        <v>286</v>
      </c>
      <c r="N45" s="55"/>
      <c r="O45" s="268">
        <v>0</v>
      </c>
      <c r="P45" s="55"/>
      <c r="Q45" s="55"/>
      <c r="R45" s="390">
        <v>0</v>
      </c>
      <c r="T45" s="95" t="s">
        <v>378</v>
      </c>
      <c r="U45" s="117" t="s">
        <v>379</v>
      </c>
      <c r="V45" s="117"/>
      <c r="W45" s="55"/>
      <c r="X45" s="96"/>
      <c r="Z45" s="40" t="s">
        <v>5</v>
      </c>
    </row>
    <row r="46" spans="1:31" x14ac:dyDescent="0.2">
      <c r="A46" s="95" t="s">
        <v>101</v>
      </c>
      <c r="B46" s="55"/>
      <c r="C46" s="266">
        <v>0</v>
      </c>
      <c r="D46" s="55"/>
      <c r="E46" s="351">
        <f t="shared" si="0"/>
        <v>0.02</v>
      </c>
      <c r="M46" s="95" t="s">
        <v>381</v>
      </c>
      <c r="N46" s="55"/>
      <c r="O46" s="268"/>
      <c r="P46" s="55"/>
      <c r="Q46" s="55"/>
      <c r="R46" s="390">
        <v>900</v>
      </c>
      <c r="T46" s="396">
        <v>36739</v>
      </c>
      <c r="U46" s="57">
        <v>3.1E-2</v>
      </c>
      <c r="V46" s="55"/>
      <c r="W46" s="55"/>
      <c r="X46" s="96"/>
    </row>
    <row r="47" spans="1:31" x14ac:dyDescent="0.2">
      <c r="A47" s="95" t="s">
        <v>103</v>
      </c>
      <c r="B47" s="55"/>
      <c r="C47" s="266">
        <v>0</v>
      </c>
      <c r="D47" s="209"/>
      <c r="E47" s="351">
        <f t="shared" si="0"/>
        <v>0.02</v>
      </c>
      <c r="M47" s="384" t="s">
        <v>110</v>
      </c>
      <c r="N47" s="171"/>
      <c r="O47" s="171"/>
      <c r="P47" s="171"/>
      <c r="Q47" s="171"/>
      <c r="R47" s="385">
        <f>SUM(R44:R46)</f>
        <v>900</v>
      </c>
      <c r="T47" s="396">
        <v>36770</v>
      </c>
      <c r="U47" s="57">
        <v>0.20499999999999999</v>
      </c>
      <c r="V47" s="55"/>
      <c r="W47" s="55"/>
      <c r="X47" s="96"/>
    </row>
    <row r="48" spans="1:31" x14ac:dyDescent="0.2">
      <c r="A48" s="95" t="s">
        <v>105</v>
      </c>
      <c r="B48" s="55"/>
      <c r="C48" s="266">
        <v>0</v>
      </c>
      <c r="D48" s="55"/>
      <c r="E48" s="351">
        <f t="shared" si="0"/>
        <v>0.02</v>
      </c>
      <c r="M48" s="95" t="s">
        <v>371</v>
      </c>
      <c r="N48" s="55"/>
      <c r="O48" s="55"/>
      <c r="P48" s="159">
        <v>776012.56952960149</v>
      </c>
      <c r="Q48" s="55"/>
      <c r="R48" s="383">
        <v>0</v>
      </c>
      <c r="T48" s="396">
        <v>36800</v>
      </c>
      <c r="U48" s="398">
        <v>0</v>
      </c>
      <c r="V48" s="55"/>
      <c r="W48" s="55"/>
      <c r="X48" s="96"/>
      <c r="Y48" s="83"/>
    </row>
    <row r="49" spans="1:25" x14ac:dyDescent="0.2">
      <c r="A49" s="95" t="s">
        <v>317</v>
      </c>
      <c r="B49" s="55"/>
      <c r="C49" s="266">
        <v>0</v>
      </c>
      <c r="D49" s="55"/>
      <c r="E49" s="351">
        <f t="shared" si="0"/>
        <v>0.02</v>
      </c>
      <c r="F49" s="40" t="s">
        <v>5</v>
      </c>
      <c r="M49" s="95" t="s">
        <v>372</v>
      </c>
      <c r="N49" s="55"/>
      <c r="O49" s="55"/>
      <c r="P49" s="55"/>
      <c r="Q49" s="55"/>
      <c r="R49" s="383">
        <v>0</v>
      </c>
      <c r="T49" s="396">
        <v>36831</v>
      </c>
      <c r="U49" s="57">
        <v>6.3E-2</v>
      </c>
      <c r="V49" s="55"/>
      <c r="W49" s="55"/>
      <c r="X49" s="96"/>
    </row>
    <row r="50" spans="1:25" x14ac:dyDescent="0.2">
      <c r="A50" s="95" t="s">
        <v>315</v>
      </c>
      <c r="B50" s="55"/>
      <c r="C50" s="266">
        <v>0</v>
      </c>
      <c r="D50" s="55"/>
      <c r="E50" s="351">
        <f t="shared" si="0"/>
        <v>0.02</v>
      </c>
      <c r="M50" s="95" t="s">
        <v>112</v>
      </c>
      <c r="N50" s="55"/>
      <c r="O50" s="55"/>
      <c r="P50" s="55"/>
      <c r="Q50" s="55"/>
      <c r="R50" s="386">
        <v>0</v>
      </c>
      <c r="T50" s="396">
        <v>36861</v>
      </c>
      <c r="U50" s="398">
        <v>0.7</v>
      </c>
      <c r="V50" s="55"/>
      <c r="W50" s="55"/>
      <c r="X50" s="96"/>
    </row>
    <row r="51" spans="1:25" x14ac:dyDescent="0.2">
      <c r="A51" s="95" t="s">
        <v>109</v>
      </c>
      <c r="B51" s="55"/>
      <c r="C51" s="266">
        <v>0</v>
      </c>
      <c r="D51" s="55"/>
      <c r="E51" s="351">
        <f t="shared" si="0"/>
        <v>0.02</v>
      </c>
      <c r="M51" s="384" t="s">
        <v>113</v>
      </c>
      <c r="N51" s="171"/>
      <c r="O51" s="171"/>
      <c r="P51" s="171"/>
      <c r="Q51" s="171"/>
      <c r="R51" s="387">
        <f>SUM(R48:R50)</f>
        <v>0</v>
      </c>
      <c r="T51" s="396">
        <v>36892</v>
      </c>
      <c r="U51" s="398">
        <v>0</v>
      </c>
      <c r="V51" s="55"/>
      <c r="W51" s="55"/>
      <c r="X51" s="96"/>
    </row>
    <row r="52" spans="1:25" ht="13.5" thickBot="1" x14ac:dyDescent="0.25">
      <c r="A52" s="95" t="s">
        <v>72</v>
      </c>
      <c r="B52" s="55"/>
      <c r="C52" s="266">
        <v>0</v>
      </c>
      <c r="D52" s="55"/>
      <c r="E52" s="351">
        <f t="shared" si="0"/>
        <v>0.02</v>
      </c>
      <c r="G52"/>
      <c r="H52"/>
      <c r="I52"/>
      <c r="J52"/>
      <c r="K52"/>
      <c r="M52" s="178" t="s">
        <v>29</v>
      </c>
      <c r="N52" s="179"/>
      <c r="O52" s="179"/>
      <c r="P52" s="179"/>
      <c r="Q52" s="106"/>
      <c r="R52" s="388">
        <f>SUM(R12+R14+R18+R22+R34+R40+R43+R47+R51)</f>
        <v>13000</v>
      </c>
      <c r="T52" s="105"/>
      <c r="U52" s="106"/>
      <c r="V52" s="106"/>
      <c r="W52" s="106"/>
      <c r="X52" s="112"/>
    </row>
    <row r="53" spans="1:25" x14ac:dyDescent="0.2">
      <c r="A53" s="95" t="s">
        <v>327</v>
      </c>
      <c r="B53" s="55"/>
      <c r="C53" s="266">
        <v>0</v>
      </c>
      <c r="D53" s="55"/>
      <c r="E53" s="351">
        <f t="shared" si="0"/>
        <v>0.02</v>
      </c>
      <c r="G53"/>
      <c r="H53"/>
      <c r="I53"/>
      <c r="J53"/>
      <c r="K53"/>
      <c r="M53" s="64"/>
      <c r="N53" s="72"/>
      <c r="O53" s="72"/>
      <c r="P53" s="72"/>
      <c r="Q53" s="72"/>
      <c r="R53" s="65"/>
    </row>
    <row r="54" spans="1:25" x14ac:dyDescent="0.2">
      <c r="A54" s="95" t="s">
        <v>132</v>
      </c>
      <c r="B54" s="55"/>
      <c r="C54" s="266">
        <f>SUM(C42:C53)</f>
        <v>48</v>
      </c>
      <c r="D54" s="55"/>
      <c r="E54" s="351">
        <f t="shared" si="0"/>
        <v>0.02</v>
      </c>
      <c r="G54"/>
      <c r="H54"/>
      <c r="I54"/>
      <c r="J54"/>
      <c r="K54"/>
      <c r="M54" s="77" t="s">
        <v>114</v>
      </c>
      <c r="N54" s="80"/>
      <c r="O54" s="80"/>
      <c r="P54" s="80"/>
      <c r="Q54" s="72"/>
      <c r="R54" s="124">
        <f>COST/capacity</f>
        <v>26</v>
      </c>
      <c r="Y54" s="83"/>
    </row>
    <row r="55" spans="1:25" x14ac:dyDescent="0.2">
      <c r="A55" s="95"/>
      <c r="B55" s="55"/>
      <c r="C55" s="55"/>
      <c r="D55" s="55"/>
      <c r="E55" s="372"/>
      <c r="G55"/>
      <c r="H55"/>
      <c r="I55"/>
      <c r="J55"/>
      <c r="K55"/>
    </row>
    <row r="56" spans="1:25" x14ac:dyDescent="0.2">
      <c r="A56" s="370" t="s">
        <v>111</v>
      </c>
      <c r="B56" s="55"/>
      <c r="C56" s="266">
        <v>0</v>
      </c>
      <c r="D56" s="55"/>
      <c r="E56" s="351">
        <f>CPI</f>
        <v>0.02</v>
      </c>
      <c r="G56"/>
      <c r="H56"/>
      <c r="I56"/>
      <c r="J56"/>
      <c r="K56"/>
    </row>
    <row r="57" spans="1:25" x14ac:dyDescent="0.2">
      <c r="A57" s="95" t="s">
        <v>331</v>
      </c>
      <c r="B57" s="55"/>
      <c r="C57" s="266">
        <v>0</v>
      </c>
      <c r="D57" s="55"/>
      <c r="E57" s="351">
        <f>CPI</f>
        <v>0.02</v>
      </c>
      <c r="G57"/>
      <c r="H57"/>
      <c r="I57"/>
      <c r="J57"/>
      <c r="K57"/>
    </row>
    <row r="58" spans="1:25" x14ac:dyDescent="0.2">
      <c r="A58" s="95" t="s">
        <v>97</v>
      </c>
      <c r="B58" s="55"/>
      <c r="C58" s="266">
        <v>0</v>
      </c>
      <c r="D58" s="55"/>
      <c r="E58" s="351">
        <f>CPI</f>
        <v>0.02</v>
      </c>
      <c r="G58"/>
      <c r="H58"/>
      <c r="I58"/>
      <c r="J58"/>
      <c r="K58"/>
    </row>
    <row r="59" spans="1:25" x14ac:dyDescent="0.2">
      <c r="A59" s="95" t="s">
        <v>316</v>
      </c>
      <c r="B59" s="55"/>
      <c r="C59" s="266">
        <v>0</v>
      </c>
      <c r="D59" s="55"/>
      <c r="E59" s="351">
        <f>CPI</f>
        <v>0.02</v>
      </c>
      <c r="G59"/>
      <c r="H59"/>
      <c r="I59"/>
      <c r="J59"/>
      <c r="K59"/>
    </row>
    <row r="60" spans="1:25" ht="13.5" thickBot="1" x14ac:dyDescent="0.25">
      <c r="A60" s="105" t="s">
        <v>72</v>
      </c>
      <c r="B60" s="106"/>
      <c r="C60" s="373">
        <v>0</v>
      </c>
      <c r="D60" s="106"/>
      <c r="E60" s="354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40" t="s">
        <v>322</v>
      </c>
      <c r="D62" s="83">
        <v>0.04</v>
      </c>
      <c r="G62"/>
      <c r="H62"/>
      <c r="I62"/>
      <c r="J62"/>
      <c r="K62"/>
      <c r="Y62" s="83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52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40" t="s">
        <v>118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40" t="s">
        <v>119</v>
      </c>
    </row>
    <row r="104" spans="1:33" x14ac:dyDescent="0.2">
      <c r="A104"/>
      <c r="B104"/>
      <c r="C104"/>
      <c r="D104"/>
      <c r="E104"/>
      <c r="F104"/>
      <c r="L104"/>
      <c r="M104"/>
      <c r="O104" s="40" t="s">
        <v>120</v>
      </c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0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0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40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40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40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40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40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25:X25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I82"/>
  <sheetViews>
    <sheetView topLeftCell="A48" workbookViewId="0">
      <selection activeCell="D67" sqref="D67"/>
    </sheetView>
  </sheetViews>
  <sheetFormatPr defaultRowHeight="12.75" x14ac:dyDescent="0.2"/>
  <cols>
    <col min="1" max="1" width="29.7109375" style="40" customWidth="1"/>
    <col min="2" max="2" width="13.7109375" style="40" customWidth="1"/>
    <col min="3" max="3" width="20.5703125" style="40" customWidth="1"/>
    <col min="4" max="7" width="10.7109375" style="40" customWidth="1"/>
    <col min="8" max="16384" width="9.140625" style="40"/>
  </cols>
  <sheetData>
    <row r="1" spans="1:7" ht="15.75" x14ac:dyDescent="0.25">
      <c r="A1" s="160" t="s">
        <v>121</v>
      </c>
      <c r="B1" s="181"/>
    </row>
    <row r="2" spans="1:7" ht="15.75" x14ac:dyDescent="0.25">
      <c r="A2" s="173">
        <f>ASS!A4</f>
        <v>0</v>
      </c>
      <c r="B2" s="121"/>
    </row>
    <row r="3" spans="1:7" x14ac:dyDescent="0.2">
      <c r="A3" s="45" t="s">
        <v>122</v>
      </c>
      <c r="B3" s="52"/>
      <c r="C3" s="52"/>
      <c r="D3" s="52">
        <v>1</v>
      </c>
      <c r="E3" s="52">
        <f>D3+1</f>
        <v>2</v>
      </c>
      <c r="F3" s="52">
        <f>E3+1</f>
        <v>3</v>
      </c>
      <c r="G3" s="41"/>
    </row>
    <row r="4" spans="1:7" x14ac:dyDescent="0.2">
      <c r="A4" s="217" t="s">
        <v>123</v>
      </c>
      <c r="B4" s="55"/>
      <c r="C4" s="55"/>
      <c r="D4" s="215">
        <f>STARTYR</f>
        <v>2001</v>
      </c>
      <c r="E4" s="215">
        <f>IF(D4+1-$D$4&gt;TERM, 0, IF(D4&gt;0, D4+1, 0))</f>
        <v>2002</v>
      </c>
      <c r="F4" s="215">
        <f>IF(E4+1-$D$4&gt;TERM, 0, IF(E4&gt;0, E4+1, 0))</f>
        <v>2003</v>
      </c>
      <c r="G4" s="42" t="s">
        <v>124</v>
      </c>
    </row>
    <row r="5" spans="1:7" x14ac:dyDescent="0.2">
      <c r="A5" s="64" t="s">
        <v>125</v>
      </c>
      <c r="B5" s="72"/>
      <c r="C5" s="72"/>
      <c r="D5" s="72">
        <f>IF(D3&lt;=TERM, 12, IF(D3=TERM+1, +MOSYR1-1,))</f>
        <v>12</v>
      </c>
      <c r="E5" s="72">
        <f>IF(E3&lt;=TERM, 12, IF(E3=TERM+1, +MOSYR1-1,))</f>
        <v>12</v>
      </c>
      <c r="F5" s="72">
        <f>IF(F3&lt;=TERM, 12, IF(F3=TERM+1, +MOSYR1-1,))</f>
        <v>12</v>
      </c>
      <c r="G5" s="85"/>
    </row>
    <row r="6" spans="1:7" x14ac:dyDescent="0.2">
      <c r="A6" s="53"/>
      <c r="B6" s="55"/>
      <c r="C6" s="55"/>
      <c r="D6" s="55"/>
      <c r="E6" s="55"/>
      <c r="F6" s="55"/>
      <c r="G6" s="54"/>
    </row>
    <row r="7" spans="1:7" x14ac:dyDescent="0.2">
      <c r="A7" s="45" t="s">
        <v>126</v>
      </c>
      <c r="B7" s="52"/>
      <c r="C7" s="52"/>
      <c r="D7" s="52">
        <f>IF(D3&gt;TERM,0,capacity)</f>
        <v>500</v>
      </c>
      <c r="E7" s="52">
        <f>IF(E3&gt;TERM,0,capacity)</f>
        <v>500</v>
      </c>
      <c r="F7" s="52">
        <f>IF(F3&gt;TERM,0,capacity)</f>
        <v>500</v>
      </c>
      <c r="G7" s="41"/>
    </row>
    <row r="8" spans="1:7" x14ac:dyDescent="0.2">
      <c r="A8" s="55" t="s">
        <v>127</v>
      </c>
      <c r="B8" s="55"/>
      <c r="C8" s="55"/>
      <c r="D8" s="116">
        <f>20*16*D7*avail*dispatch*D5/12</f>
        <v>160000</v>
      </c>
      <c r="E8" s="116">
        <f>20*16*E7*avail*dispatch*E5/12</f>
        <v>160000</v>
      </c>
      <c r="F8" s="116">
        <f>20*16*F7*avail*dispatch*F5/12</f>
        <v>160000</v>
      </c>
      <c r="G8" s="43"/>
    </row>
    <row r="9" spans="1:7" x14ac:dyDescent="0.2">
      <c r="A9" s="94" t="s">
        <v>369</v>
      </c>
      <c r="B9" s="55"/>
      <c r="C9" s="55"/>
      <c r="D9" s="55"/>
      <c r="E9" s="55"/>
      <c r="F9" s="55"/>
      <c r="G9" s="43"/>
    </row>
    <row r="10" spans="1:7" x14ac:dyDescent="0.2">
      <c r="A10" s="94" t="s">
        <v>128</v>
      </c>
      <c r="B10" s="55"/>
      <c r="C10" s="55"/>
      <c r="D10" s="55"/>
      <c r="E10" s="55"/>
      <c r="F10" s="55"/>
      <c r="G10" s="43"/>
    </row>
    <row r="11" spans="1:7" x14ac:dyDescent="0.2">
      <c r="A11" s="53" t="s">
        <v>356</v>
      </c>
      <c r="B11" s="55"/>
      <c r="C11" s="55"/>
      <c r="D11" s="389">
        <f>ASS!U37*ASS!U38*capacity*ASS!U39</f>
        <v>3200</v>
      </c>
      <c r="E11" s="389">
        <f>ASS!V37*ASS!V38*capacity*ASS!V39</f>
        <v>2400</v>
      </c>
      <c r="F11" s="389">
        <f>ASS!W37*ASS!W38*capacity*ASS!W39</f>
        <v>1600</v>
      </c>
      <c r="G11" s="43"/>
    </row>
    <row r="12" spans="1:7" x14ac:dyDescent="0.2">
      <c r="A12" s="53" t="s">
        <v>342</v>
      </c>
      <c r="B12" s="55"/>
      <c r="C12" s="55"/>
      <c r="D12" s="339">
        <f>ASS!U40</f>
        <v>3300</v>
      </c>
      <c r="E12" s="339">
        <f>ASS!V40</f>
        <v>3300</v>
      </c>
      <c r="F12" s="339">
        <f>ASS!W40</f>
        <v>3300</v>
      </c>
      <c r="G12" s="43"/>
    </row>
    <row r="13" spans="1:7" x14ac:dyDescent="0.2">
      <c r="A13" s="53" t="s">
        <v>357</v>
      </c>
      <c r="B13" s="55"/>
      <c r="C13" s="55"/>
      <c r="D13" s="340">
        <f>ASS!U41</f>
        <v>600</v>
      </c>
      <c r="E13" s="340">
        <f>ASS!V41</f>
        <v>500</v>
      </c>
      <c r="F13" s="340">
        <f>ASS!W41</f>
        <v>400</v>
      </c>
      <c r="G13" s="43"/>
    </row>
    <row r="14" spans="1:7" x14ac:dyDescent="0.2">
      <c r="A14" s="53" t="s">
        <v>343</v>
      </c>
      <c r="B14" s="55"/>
      <c r="C14" s="55"/>
      <c r="D14" s="339">
        <f>SUM(D11:D13)</f>
        <v>7100</v>
      </c>
      <c r="E14" s="339">
        <f>SUM(E11:E13)</f>
        <v>6200</v>
      </c>
      <c r="F14" s="339">
        <f>SUM(F11:F13)</f>
        <v>5300</v>
      </c>
      <c r="G14" s="43"/>
    </row>
    <row r="15" spans="1:7" x14ac:dyDescent="0.2">
      <c r="A15" s="94"/>
      <c r="B15" s="55"/>
      <c r="C15" s="55"/>
      <c r="D15" s="55"/>
      <c r="E15" s="55"/>
      <c r="F15" s="55"/>
      <c r="G15" s="43"/>
    </row>
    <row r="16" spans="1:7" x14ac:dyDescent="0.2">
      <c r="A16" s="53" t="s">
        <v>324</v>
      </c>
      <c r="B16" s="55"/>
      <c r="C16" s="55"/>
      <c r="D16" s="126">
        <f>ASS!$D$62*BS_IS!F7*D5/12</f>
        <v>0</v>
      </c>
      <c r="E16" s="126">
        <f>ASS!$D$62*BS_IS!G7*E5/12</f>
        <v>0</v>
      </c>
      <c r="F16" s="126">
        <f>ASS!$D$62*BS_IS!H7*F5/12</f>
        <v>0</v>
      </c>
      <c r="G16" s="75"/>
    </row>
    <row r="17" spans="1:7" x14ac:dyDescent="0.2">
      <c r="A17" s="53"/>
      <c r="B17" s="55"/>
      <c r="C17" s="55"/>
      <c r="D17" s="126"/>
      <c r="E17" s="126"/>
      <c r="F17" s="126"/>
      <c r="G17" s="75"/>
    </row>
    <row r="18" spans="1:7" x14ac:dyDescent="0.2">
      <c r="A18" s="94" t="s">
        <v>323</v>
      </c>
      <c r="B18" s="55"/>
      <c r="C18" s="55"/>
      <c r="D18" s="155">
        <f>D14+D16</f>
        <v>7100</v>
      </c>
      <c r="E18" s="155">
        <f>E14+E16</f>
        <v>6200</v>
      </c>
      <c r="F18" s="155">
        <f>F14+F16</f>
        <v>5300</v>
      </c>
      <c r="G18" s="76">
        <f>SUM(D18:F18)</f>
        <v>18600</v>
      </c>
    </row>
    <row r="19" spans="1:7" x14ac:dyDescent="0.2">
      <c r="A19" s="53"/>
      <c r="B19" s="55"/>
      <c r="C19" s="55"/>
      <c r="D19" s="291"/>
      <c r="E19" s="55"/>
      <c r="F19" s="55"/>
      <c r="G19" s="43"/>
    </row>
    <row r="20" spans="1:7" x14ac:dyDescent="0.2">
      <c r="A20" s="53"/>
      <c r="B20" s="55"/>
      <c r="C20" s="55"/>
      <c r="D20" s="291"/>
      <c r="E20" s="284"/>
      <c r="F20" s="284"/>
      <c r="G20" s="43"/>
    </row>
    <row r="21" spans="1:7" x14ac:dyDescent="0.2">
      <c r="A21" s="94" t="s">
        <v>129</v>
      </c>
      <c r="B21" s="55"/>
      <c r="C21" s="55"/>
      <c r="D21" s="284"/>
      <c r="E21" s="292"/>
      <c r="F21" s="55"/>
      <c r="G21" s="43"/>
    </row>
    <row r="22" spans="1:7" x14ac:dyDescent="0.2">
      <c r="A22" s="53"/>
      <c r="B22" s="55"/>
      <c r="C22" s="55"/>
      <c r="D22" s="126"/>
      <c r="E22" s="126"/>
      <c r="F22" s="126"/>
      <c r="G22" s="75"/>
    </row>
    <row r="23" spans="1:7" x14ac:dyDescent="0.2">
      <c r="A23" s="111" t="s">
        <v>130</v>
      </c>
      <c r="B23" s="55"/>
      <c r="C23" s="55"/>
      <c r="D23" s="126"/>
      <c r="E23" s="126"/>
      <c r="F23" s="126"/>
      <c r="G23" s="75"/>
    </row>
    <row r="24" spans="1:7" x14ac:dyDescent="0.2">
      <c r="A24" s="111" t="s">
        <v>131</v>
      </c>
      <c r="B24" s="55"/>
      <c r="C24" s="55"/>
      <c r="D24" s="126"/>
      <c r="E24" s="126"/>
      <c r="F24" s="126"/>
      <c r="G24" s="75"/>
    </row>
    <row r="25" spans="1:7" x14ac:dyDescent="0.2">
      <c r="A25" s="53" t="str">
        <f>ASS!A42</f>
        <v>Miscellaneous O&amp;M</v>
      </c>
      <c r="B25" s="55"/>
      <c r="C25" s="55"/>
      <c r="D25" s="126">
        <f>ASS!$C$42*(1+ASS!$E$42)^(D4-ASS!$C$41)*D5/12</f>
        <v>48.96</v>
      </c>
      <c r="E25" s="126">
        <f>ASS!$C$42*(1+ASS!$E$42)^(E4-ASS!$C$41)*E5/12</f>
        <v>49.9392</v>
      </c>
      <c r="F25" s="126">
        <f>ASS!$C$42*(1+ASS!$E$42)^(F4-ASS!$C$41)*F5/12</f>
        <v>50.937984</v>
      </c>
      <c r="G25" s="75">
        <f t="shared" ref="G25:G37" si="0">SUM(D25:F25)</f>
        <v>149.83718400000001</v>
      </c>
    </row>
    <row r="26" spans="1:7" x14ac:dyDescent="0.2">
      <c r="A26" s="53" t="str">
        <f>ASS!A43</f>
        <v>Miscellaneous G&amp;A</v>
      </c>
      <c r="B26" s="55"/>
      <c r="C26" s="55"/>
      <c r="D26" s="126">
        <f>ASS!$C$43*(1+ASS!$E$43)^(D4-ASS!$C$41)*D5/12</f>
        <v>0</v>
      </c>
      <c r="E26" s="126">
        <f>ASS!$C$43*(1+ASS!$E$43)^(E4-ASS!$C$41)*E5/12</f>
        <v>0</v>
      </c>
      <c r="F26" s="126">
        <f>ASS!$C$43*(1+ASS!$E$43)^(F4-ASS!$C$41)*F5/12</f>
        <v>0</v>
      </c>
      <c r="G26" s="75">
        <f t="shared" si="0"/>
        <v>0</v>
      </c>
    </row>
    <row r="27" spans="1:7" x14ac:dyDescent="0.2">
      <c r="A27" s="53" t="str">
        <f>ASS!A44</f>
        <v>Maintenance Reserve</v>
      </c>
      <c r="B27" s="55"/>
      <c r="C27" s="55"/>
      <c r="D27" s="126">
        <f>ASS!$C$44*(1+ASS!$E$44)^(D4-ASS!$C$41)*D5/12</f>
        <v>0</v>
      </c>
      <c r="E27" s="126">
        <f>ASS!$C$44*(1+ASS!$E$44)^(E4-ASS!$C$41)*E5/12</f>
        <v>0</v>
      </c>
      <c r="F27" s="126">
        <f>ASS!$C$44*(1+ASS!$E$44)^(F4-ASS!$C$41)*F5/12</f>
        <v>0</v>
      </c>
      <c r="G27" s="75">
        <f t="shared" si="0"/>
        <v>0</v>
      </c>
    </row>
    <row r="28" spans="1:7" x14ac:dyDescent="0.2">
      <c r="A28" s="53" t="str">
        <f>ASS!A45</f>
        <v>Plant Insurance</v>
      </c>
      <c r="B28" s="55"/>
      <c r="C28" s="55"/>
      <c r="D28" s="126">
        <f>ASS!$C$45*(1+ASS!$E$45)^(D4-ASS!$C$41)*D5/12</f>
        <v>0</v>
      </c>
      <c r="E28" s="126">
        <f>ASS!$C$45*(1+ASS!$E$45)^(E4-ASS!$C$41)*E5/12</f>
        <v>0</v>
      </c>
      <c r="F28" s="126">
        <f>ASS!$C$45*(1+ASS!$E$45)^(F4-ASS!$C$41)*F5/12</f>
        <v>0</v>
      </c>
      <c r="G28" s="75">
        <f t="shared" si="0"/>
        <v>0</v>
      </c>
    </row>
    <row r="29" spans="1:7" x14ac:dyDescent="0.2">
      <c r="A29" s="53" t="str">
        <f>ASS!A46</f>
        <v>Payroll</v>
      </c>
      <c r="B29" s="55"/>
      <c r="C29" s="55"/>
      <c r="D29" s="126">
        <f>ASS!$C$46*(1+ASS!$E$46)^(D4-ASS!$C$41)*D5/12</f>
        <v>0</v>
      </c>
      <c r="E29" s="126">
        <f>ASS!$C$46*(1+ASS!$E$46)^(E4-ASS!$C$41)*E5/12</f>
        <v>0</v>
      </c>
      <c r="F29" s="126">
        <f>ASS!$C$46*(1+ASS!$E$46)^(F4-ASS!$C$41)*F5/12</f>
        <v>0</v>
      </c>
      <c r="G29" s="75">
        <f t="shared" si="0"/>
        <v>0</v>
      </c>
    </row>
    <row r="30" spans="1:7" x14ac:dyDescent="0.2">
      <c r="A30" s="53" t="str">
        <f>ASS!A47</f>
        <v xml:space="preserve">Spare Parts </v>
      </c>
      <c r="B30" s="55"/>
      <c r="C30" s="55"/>
      <c r="D30" s="126">
        <f>ASS!$C$47*(1+ASS!$E$47)^(D4-ASS!$C$41)*D5/12</f>
        <v>0</v>
      </c>
      <c r="E30" s="126">
        <f>ASS!$C$47*(1+ASS!$E$47)^(E4-ASS!$C$41)*E5/12</f>
        <v>0</v>
      </c>
      <c r="F30" s="126">
        <f>ASS!$C$47*(1+ASS!$E$47)^(F4-ASS!$C$41)*F5/12</f>
        <v>0</v>
      </c>
      <c r="G30" s="75">
        <f t="shared" si="0"/>
        <v>0</v>
      </c>
    </row>
    <row r="31" spans="1:7" x14ac:dyDescent="0.2">
      <c r="A31" s="53" t="str">
        <f>ASS!A48</f>
        <v>Water &amp; Chemicals</v>
      </c>
      <c r="B31" s="55"/>
      <c r="C31" s="55"/>
      <c r="D31" s="126">
        <f>ASS!$C$48*(1+ASS!$E$48)^(D4-ASS!$C$41)*D5/12</f>
        <v>0</v>
      </c>
      <c r="E31" s="126">
        <f>ASS!$C$48*(1+ASS!$E$48)^(E4-ASS!$C$41)*E5/12</f>
        <v>0</v>
      </c>
      <c r="F31" s="126">
        <f>ASS!$C$48*(1+ASS!$E$48)^(F4-ASS!$C$41)*F5/12</f>
        <v>0</v>
      </c>
      <c r="G31" s="75">
        <f t="shared" si="0"/>
        <v>0</v>
      </c>
    </row>
    <row r="32" spans="1:7" x14ac:dyDescent="0.2">
      <c r="A32" s="53" t="str">
        <f>ASS!A49</f>
        <v>Plant Operations (O&amp;M Fee)</v>
      </c>
      <c r="B32" s="55"/>
      <c r="C32" s="55"/>
      <c r="D32" s="126">
        <f>ASS!$C$49*(1+ASS!$E$49)^(D4-ASS!$C$41)*D5/12</f>
        <v>0</v>
      </c>
      <c r="E32" s="126">
        <f>ASS!$C$49*(1+ASS!$E$49)^(E4-ASS!$C$41)*E5/12</f>
        <v>0</v>
      </c>
      <c r="F32" s="126">
        <f>ASS!$C$49*(1+ASS!$E$49)^(F4-ASS!$C$41)*F5/12</f>
        <v>0</v>
      </c>
      <c r="G32" s="75">
        <f t="shared" si="0"/>
        <v>0</v>
      </c>
    </row>
    <row r="33" spans="1:7" x14ac:dyDescent="0.2">
      <c r="A33" s="53" t="str">
        <f>ASS!A50</f>
        <v>Transmission Capacity Pmt.</v>
      </c>
      <c r="B33" s="55"/>
      <c r="C33" s="225"/>
      <c r="D33" s="225">
        <f>ASS!$C$50*(1+ASS!$E$50)^(D4-ASS!$C$41)*D5/12</f>
        <v>0</v>
      </c>
      <c r="E33" s="126">
        <f>ASS!$C$50*(1+ASS!$E$50)^(E4-ASS!$C$41)*E5/12</f>
        <v>0</v>
      </c>
      <c r="F33" s="126">
        <f>ASS!$C$50*(1+ASS!$E$50)^(F4-ASS!$C$41)*F5/12</f>
        <v>0</v>
      </c>
      <c r="G33" s="75">
        <f t="shared" si="0"/>
        <v>0</v>
      </c>
    </row>
    <row r="34" spans="1:7" x14ac:dyDescent="0.2">
      <c r="A34" s="53" t="str">
        <f>ASS!A51</f>
        <v>Pipeline Operations</v>
      </c>
      <c r="B34" s="55"/>
      <c r="C34" s="55"/>
      <c r="D34" s="126">
        <f>ASS!$C$51*(1+ASS!$E$51)^(D4-ASS!$C$41)*D5/12</f>
        <v>0</v>
      </c>
      <c r="E34" s="126">
        <f>ASS!$C$51*(1+ASS!$E$51)^(E4-ASS!$C$41)*E5/12</f>
        <v>0</v>
      </c>
      <c r="F34" s="126">
        <f>ASS!$C$51*(1+ASS!$E$51)^(F4-ASS!$C$41)*F5/12</f>
        <v>0</v>
      </c>
      <c r="G34" s="75">
        <f t="shared" si="0"/>
        <v>0</v>
      </c>
    </row>
    <row r="35" spans="1:7" x14ac:dyDescent="0.2">
      <c r="A35" s="53" t="str">
        <f>ASS!A52</f>
        <v>Other</v>
      </c>
      <c r="B35" s="55"/>
      <c r="C35" s="55"/>
      <c r="D35" s="126">
        <f>ASS!$C$52*(1+ASS!$E$52)^(D4-ASS!$C$41)*D5/12</f>
        <v>0</v>
      </c>
      <c r="E35" s="126">
        <f>ASS!$C$52*(1+ASS!$E$52)^(E4-ASS!$C$41)*E5/12</f>
        <v>0</v>
      </c>
      <c r="F35" s="126">
        <f>ASS!$C$52*(1+ASS!$E$52)^(F4-ASS!$C$41)*F5/12</f>
        <v>0</v>
      </c>
      <c r="G35" s="75">
        <f t="shared" si="0"/>
        <v>0</v>
      </c>
    </row>
    <row r="36" spans="1:7" x14ac:dyDescent="0.2">
      <c r="A36" s="53" t="str">
        <f>ASS!A53</f>
        <v>Property Tax</v>
      </c>
      <c r="B36" s="55"/>
      <c r="C36" s="55"/>
      <c r="D36" s="127">
        <f>ASS!$C$53*(1+ASS!$E$53)^(D4-ASS!$C$41)*D5/12</f>
        <v>0</v>
      </c>
      <c r="E36" s="127">
        <f>ASS!$C$53*(1+ASS!$E$53)^(E4-ASS!$C$41)*E5/12</f>
        <v>0</v>
      </c>
      <c r="F36" s="127">
        <f>ASS!$C$53*(1+ASS!$E$53)^(F4-ASS!$C$41)*F5/12</f>
        <v>0</v>
      </c>
      <c r="G36" s="81">
        <f t="shared" si="0"/>
        <v>0</v>
      </c>
    </row>
    <row r="37" spans="1:7" x14ac:dyDescent="0.2">
      <c r="A37" s="53" t="s">
        <v>132</v>
      </c>
      <c r="B37" s="55"/>
      <c r="C37" s="55"/>
      <c r="D37" s="126">
        <f>SUM(D25:D36)</f>
        <v>48.96</v>
      </c>
      <c r="E37" s="126">
        <f>SUM(E25:E36)</f>
        <v>49.9392</v>
      </c>
      <c r="F37" s="126">
        <f>SUM(F25:F36)</f>
        <v>50.937984</v>
      </c>
      <c r="G37" s="75">
        <f t="shared" si="0"/>
        <v>149.83718400000001</v>
      </c>
    </row>
    <row r="38" spans="1:7" x14ac:dyDescent="0.2">
      <c r="A38" s="53"/>
      <c r="B38" s="55"/>
      <c r="C38" s="55"/>
      <c r="D38" s="126"/>
      <c r="E38" s="126"/>
      <c r="F38" s="126"/>
      <c r="G38" s="75"/>
    </row>
    <row r="39" spans="1:7" x14ac:dyDescent="0.2">
      <c r="A39" s="111" t="s">
        <v>133</v>
      </c>
      <c r="B39" s="55"/>
      <c r="C39" s="55"/>
      <c r="D39" s="126"/>
      <c r="E39" s="126"/>
      <c r="F39" s="126"/>
      <c r="G39" s="75"/>
    </row>
    <row r="40" spans="1:7" x14ac:dyDescent="0.2">
      <c r="A40" s="53" t="str">
        <f>ASS!A58</f>
        <v>Maintenance Reserve</v>
      </c>
      <c r="B40" s="55"/>
      <c r="C40" s="225"/>
      <c r="D40" s="225">
        <f>ASS!$C$57*(1+ASS!$E$57)^(D4-ASS!$C$41)*D5/12</f>
        <v>0</v>
      </c>
      <c r="E40" s="126">
        <f>ASS!$C$57*(1+ASS!$E$57)^(E4-ASS!$C$41)*E5/12</f>
        <v>0</v>
      </c>
      <c r="F40" s="126">
        <f>ASS!$C$57*(1+ASS!$E$57)^(F4-ASS!$C$41)*F5/12</f>
        <v>0</v>
      </c>
      <c r="G40" s="75">
        <f>SUM(D40:F40)</f>
        <v>0</v>
      </c>
    </row>
    <row r="41" spans="1:7" x14ac:dyDescent="0.2">
      <c r="A41" s="53" t="str">
        <f>ASS!A59</f>
        <v>Maintenance Excluding (Major Maint)</v>
      </c>
      <c r="B41" s="55"/>
      <c r="C41" s="55"/>
      <c r="D41" s="126">
        <f>ASS!$C$58*(1+ASS!$E$58)^(D4-ASS!$C$41)*D5/12</f>
        <v>0</v>
      </c>
      <c r="E41" s="126">
        <f>ASS!$C$58*(1+ASS!$E$58)^(E4-ASS!$C$41)*E5/12</f>
        <v>0</v>
      </c>
      <c r="F41" s="126">
        <f>ASS!$C$58*(1+ASS!$E$58)^(F4-ASS!$C$41)*F5/12</f>
        <v>0</v>
      </c>
      <c r="G41" s="75">
        <f>SUM(D41:F41)</f>
        <v>0</v>
      </c>
    </row>
    <row r="42" spans="1:7" x14ac:dyDescent="0.2">
      <c r="A42" s="53" t="str">
        <f>ASS!A60</f>
        <v>Other</v>
      </c>
      <c r="B42" s="55"/>
      <c r="C42" s="55"/>
      <c r="D42" s="126">
        <f>ASS!$C$59*(1+ASS!$E$59)^(D4-ASS!$C$41)*D5/12</f>
        <v>0</v>
      </c>
      <c r="E42" s="126">
        <f>ASS!$C$59*(1+ASS!$E$59)^(E4-ASS!$C$41)*E5/12</f>
        <v>0</v>
      </c>
      <c r="F42" s="126">
        <f>ASS!$C$59*(1+ASS!$E$59)^(F4-ASS!$C$41)*F5/12</f>
        <v>0</v>
      </c>
      <c r="G42" s="75">
        <f>SUM(D42:F42)</f>
        <v>0</v>
      </c>
    </row>
    <row r="43" spans="1:7" x14ac:dyDescent="0.2">
      <c r="A43" s="53" t="s">
        <v>134</v>
      </c>
      <c r="B43" s="55"/>
      <c r="C43" s="55"/>
      <c r="D43" s="126">
        <f>SUM(D40:D42)</f>
        <v>0</v>
      </c>
      <c r="E43" s="126">
        <f>SUM(E40:E42)</f>
        <v>0</v>
      </c>
      <c r="F43" s="126">
        <f>SUM(F40:F42)</f>
        <v>0</v>
      </c>
      <c r="G43" s="75">
        <f>SUM(D43:F43)</f>
        <v>0</v>
      </c>
    </row>
    <row r="44" spans="1:7" x14ac:dyDescent="0.2">
      <c r="A44" s="53"/>
      <c r="B44" s="55"/>
      <c r="C44" s="55"/>
      <c r="D44" s="126"/>
      <c r="E44" s="126"/>
      <c r="F44" s="126"/>
      <c r="G44" s="75"/>
    </row>
    <row r="45" spans="1:7" x14ac:dyDescent="0.2">
      <c r="A45" s="53" t="s">
        <v>135</v>
      </c>
      <c r="B45" s="55"/>
      <c r="C45" s="55"/>
      <c r="D45" s="126">
        <f>D37+D43</f>
        <v>48.96</v>
      </c>
      <c r="E45" s="126">
        <f>E37+E43</f>
        <v>49.9392</v>
      </c>
      <c r="F45" s="126">
        <f>F37+F43</f>
        <v>50.937984</v>
      </c>
      <c r="G45" s="75">
        <f>SUM(D45:F45)</f>
        <v>149.83718400000001</v>
      </c>
    </row>
    <row r="46" spans="1:7" x14ac:dyDescent="0.2">
      <c r="A46" s="53"/>
      <c r="B46" s="55"/>
      <c r="C46" s="55"/>
      <c r="D46" s="126"/>
      <c r="E46" s="126"/>
      <c r="F46" s="126"/>
      <c r="G46" s="75"/>
    </row>
    <row r="47" spans="1:7" s="44" customFormat="1" x14ac:dyDescent="0.2">
      <c r="A47" s="94" t="s">
        <v>136</v>
      </c>
      <c r="B47" s="78"/>
      <c r="C47" s="78"/>
      <c r="D47" s="155">
        <f>D45</f>
        <v>48.96</v>
      </c>
      <c r="E47" s="155">
        <f>E45</f>
        <v>49.9392</v>
      </c>
      <c r="F47" s="155">
        <f>F45</f>
        <v>50.937984</v>
      </c>
      <c r="G47" s="76">
        <f>G45</f>
        <v>149.83718400000001</v>
      </c>
    </row>
    <row r="48" spans="1:7" x14ac:dyDescent="0.2">
      <c r="A48" s="53"/>
      <c r="B48" s="55"/>
      <c r="C48" s="55"/>
      <c r="D48" s="55"/>
      <c r="E48" s="55"/>
      <c r="F48" s="55"/>
      <c r="G48" s="43"/>
    </row>
    <row r="49" spans="1:9" s="44" customFormat="1" x14ac:dyDescent="0.2">
      <c r="A49" s="94" t="s">
        <v>308</v>
      </c>
      <c r="B49" s="78"/>
      <c r="C49" s="286" t="s">
        <v>344</v>
      </c>
      <c r="D49" s="286">
        <f>D18-D47</f>
        <v>7051.04</v>
      </c>
      <c r="E49" s="155">
        <f>E18-E47</f>
        <v>6150.0608000000002</v>
      </c>
      <c r="F49" s="155">
        <f>F18-F47</f>
        <v>5249.0620159999999</v>
      </c>
      <c r="G49" s="76">
        <f>SUM(D49:F49)</f>
        <v>18450.162816</v>
      </c>
    </row>
    <row r="50" spans="1:9" x14ac:dyDescent="0.2">
      <c r="A50" s="53" t="s">
        <v>137</v>
      </c>
      <c r="B50" s="55"/>
      <c r="C50" s="55"/>
      <c r="D50" s="127">
        <f>(DEPR!F27)</f>
        <v>456.14035087719299</v>
      </c>
      <c r="E50" s="127">
        <f>DEPR!G27</f>
        <v>456.14035087719299</v>
      </c>
      <c r="F50" s="127">
        <f>DEPR!H27</f>
        <v>456.14035087719299</v>
      </c>
      <c r="G50" s="81">
        <f>SUM(D50:F50)</f>
        <v>1368.421052631579</v>
      </c>
      <c r="H50" s="322" t="str">
        <f>IF(ABS(-$G$50-ASS!$I$21)&lt;0.1," ","WARNING:  CHECK DEPRECIATION")</f>
        <v>WARNING:  CHECK DEPRECIATION</v>
      </c>
    </row>
    <row r="51" spans="1:9" x14ac:dyDescent="0.2">
      <c r="A51" s="53"/>
      <c r="B51" s="55"/>
      <c r="C51" s="55"/>
      <c r="D51" s="126"/>
      <c r="E51" s="126"/>
      <c r="F51" s="126"/>
      <c r="G51" s="75"/>
      <c r="H51"/>
      <c r="I51"/>
    </row>
    <row r="52" spans="1:9" s="44" customFormat="1" x14ac:dyDescent="0.2">
      <c r="A52" s="94" t="s">
        <v>138</v>
      </c>
      <c r="B52" s="78"/>
      <c r="C52" s="78"/>
      <c r="D52" s="155">
        <f>D49-D50</f>
        <v>6594.8996491228072</v>
      </c>
      <c r="E52" s="155">
        <f>E49-E50</f>
        <v>5693.9204491228074</v>
      </c>
      <c r="F52" s="155">
        <f>F49-F50</f>
        <v>4792.9216651228071</v>
      </c>
      <c r="G52" s="76">
        <f>SUM(D52:F52)</f>
        <v>17081.741763368424</v>
      </c>
    </row>
    <row r="53" spans="1:9" x14ac:dyDescent="0.2">
      <c r="A53" s="53" t="s">
        <v>139</v>
      </c>
      <c r="B53" s="55"/>
      <c r="C53" s="55"/>
      <c r="D53" s="319">
        <f>D52*ASS!V31</f>
        <v>0</v>
      </c>
      <c r="E53" s="319">
        <f>E52*ASS!V31</f>
        <v>0</v>
      </c>
      <c r="F53" s="319">
        <f>F52*ASS!V31</f>
        <v>0</v>
      </c>
      <c r="G53" s="75">
        <f>SUM(D53:F53)</f>
        <v>0</v>
      </c>
      <c r="H53" s="86"/>
    </row>
    <row r="54" spans="1:9" x14ac:dyDescent="0.2">
      <c r="A54" s="53"/>
      <c r="B54" s="55"/>
      <c r="C54" s="55"/>
      <c r="D54" s="127"/>
      <c r="E54" s="127"/>
      <c r="F54" s="127"/>
      <c r="G54" s="81"/>
    </row>
    <row r="55" spans="1:9" s="44" customFormat="1" x14ac:dyDescent="0.2">
      <c r="A55" s="94" t="s">
        <v>140</v>
      </c>
      <c r="B55" s="78"/>
      <c r="C55" s="78"/>
      <c r="D55" s="155">
        <f>SUM(D52:D53)</f>
        <v>6594.8996491228072</v>
      </c>
      <c r="E55" s="155">
        <f>SUM(E52:E53)</f>
        <v>5693.9204491228074</v>
      </c>
      <c r="F55" s="155">
        <f>SUM(F52:F53)</f>
        <v>4792.9216651228071</v>
      </c>
      <c r="G55" s="76">
        <f>SUM(D55:F55)</f>
        <v>17081.741763368424</v>
      </c>
    </row>
    <row r="56" spans="1:9" x14ac:dyDescent="0.2">
      <c r="A56" s="53" t="s">
        <v>141</v>
      </c>
      <c r="B56" s="209"/>
      <c r="C56" s="55"/>
      <c r="D56" s="127">
        <f>TAXES_FEES!D14</f>
        <v>2625.4159999999997</v>
      </c>
      <c r="E56" s="127">
        <f>TAXES_FEES!E14</f>
        <v>2084.6363199999996</v>
      </c>
      <c r="F56" s="127">
        <f>TAXES_FEES!F14</f>
        <v>1752.9408063999997</v>
      </c>
      <c r="G56" s="82">
        <f>SUM(D56:F56)</f>
        <v>6462.9931263999988</v>
      </c>
    </row>
    <row r="57" spans="1:9" x14ac:dyDescent="0.2">
      <c r="A57" s="53"/>
      <c r="B57" s="55"/>
      <c r="C57" s="55"/>
      <c r="D57" s="126"/>
      <c r="E57" s="126"/>
      <c r="F57" s="126"/>
      <c r="G57" s="75"/>
    </row>
    <row r="58" spans="1:9" s="44" customFormat="1" x14ac:dyDescent="0.2">
      <c r="A58" s="183" t="s">
        <v>142</v>
      </c>
      <c r="B58" s="184"/>
      <c r="C58" s="184"/>
      <c r="D58" s="185">
        <f>SUM(D55:D56)</f>
        <v>9220.3156491228074</v>
      </c>
      <c r="E58" s="185">
        <f>SUM(E55:E56)</f>
        <v>7778.5567691228071</v>
      </c>
      <c r="F58" s="185">
        <f>SUM(F55:F56)</f>
        <v>6545.862471522807</v>
      </c>
      <c r="G58" s="186">
        <f t="shared" ref="G58:G66" si="1">SUM(D58:F58)</f>
        <v>23544.734889768421</v>
      </c>
    </row>
    <row r="59" spans="1:9" x14ac:dyDescent="0.2">
      <c r="A59" s="53" t="s">
        <v>143</v>
      </c>
      <c r="B59" s="55"/>
      <c r="C59" s="55"/>
      <c r="D59" s="126">
        <f>DEPR!F27</f>
        <v>456.14035087719299</v>
      </c>
      <c r="E59" s="126">
        <f>DEPR!G26</f>
        <v>456.14035087719299</v>
      </c>
      <c r="F59" s="126">
        <f>DEPR!H26</f>
        <v>456.14035087719299</v>
      </c>
      <c r="G59" s="75">
        <f t="shared" si="1"/>
        <v>1368.421052631579</v>
      </c>
    </row>
    <row r="60" spans="1:9" x14ac:dyDescent="0.2">
      <c r="A60" s="53" t="s">
        <v>144</v>
      </c>
      <c r="B60" s="55"/>
      <c r="C60" s="55"/>
      <c r="D60" s="126">
        <f>IF(D3=TERM,SPARES,0)</f>
        <v>0</v>
      </c>
      <c r="E60" s="126">
        <f>IF(E3=TERM,SPARES,0)</f>
        <v>0</v>
      </c>
      <c r="F60" s="126">
        <f>IF(F3=TERM,SPARES,0)</f>
        <v>0</v>
      </c>
      <c r="G60" s="75">
        <f t="shared" si="1"/>
        <v>0</v>
      </c>
    </row>
    <row r="61" spans="1:9" x14ac:dyDescent="0.2">
      <c r="A61" s="53" t="s">
        <v>145</v>
      </c>
      <c r="B61" s="55" t="s">
        <v>146</v>
      </c>
      <c r="C61" s="55"/>
      <c r="D61" s="126">
        <f>IF(D3=TERM,WCAP,0)</f>
        <v>0</v>
      </c>
      <c r="E61" s="126">
        <f>IF(E3=TERM,WCAP,0)</f>
        <v>0</v>
      </c>
      <c r="F61" s="126">
        <f>IF(F3=TERM,WCAP,0)</f>
        <v>0</v>
      </c>
      <c r="G61" s="75">
        <f t="shared" si="1"/>
        <v>0</v>
      </c>
    </row>
    <row r="62" spans="1:9" x14ac:dyDescent="0.2">
      <c r="A62" s="53" t="s">
        <v>147</v>
      </c>
      <c r="B62" s="55"/>
      <c r="C62" s="282"/>
      <c r="D62" s="225">
        <f>-D56</f>
        <v>-2625.4159999999997</v>
      </c>
      <c r="E62" s="225">
        <f>-E56</f>
        <v>-2084.6363199999996</v>
      </c>
      <c r="F62" s="225">
        <f>-F56</f>
        <v>-1752.9408063999997</v>
      </c>
      <c r="G62" s="75">
        <f t="shared" si="1"/>
        <v>-6462.9931263999988</v>
      </c>
    </row>
    <row r="63" spans="1:9" x14ac:dyDescent="0.2">
      <c r="A63" s="53" t="s">
        <v>318</v>
      </c>
      <c r="B63" s="55"/>
      <c r="C63" s="282"/>
      <c r="D63" s="225">
        <f>-ASS!$C$57*(1+ASS!$E$57)^(D4-ASS!$C$41)*D5/12</f>
        <v>0</v>
      </c>
      <c r="E63" s="225">
        <f>-ASS!$C$57*(1+ASS!$E$57)^(E4-ASS!$C$41)*E5/12</f>
        <v>0</v>
      </c>
      <c r="F63" s="225">
        <f>-ASS!$C$57*(1+ASS!$E$57)^(F4-ASS!$C$41)*F5/12</f>
        <v>0</v>
      </c>
      <c r="G63" s="75">
        <f t="shared" si="1"/>
        <v>0</v>
      </c>
    </row>
    <row r="64" spans="1:9" x14ac:dyDescent="0.2">
      <c r="A64" s="53" t="s">
        <v>319</v>
      </c>
      <c r="B64" s="55"/>
      <c r="C64" s="282"/>
      <c r="D64" s="225">
        <f>IF(-D63&gt;D40,D40,IF(D40&gt;(BS_IS!F7+(-D63)),BS_IS!F7+(-D63),D40))</f>
        <v>0</v>
      </c>
      <c r="E64" s="225">
        <f>IF(-E63&gt;E40,E40,IF(E40&gt;(BS_IS!G7+(-E63)),BS_IS!G7+(-E63),E40))</f>
        <v>0</v>
      </c>
      <c r="F64" s="225">
        <f>IF(-F63&gt;F40,F40,IF(F40&gt;(BS_IS!H7+(-F63)),BS_IS!H7+(-F63),F40))</f>
        <v>0</v>
      </c>
      <c r="G64" s="75">
        <f t="shared" si="1"/>
        <v>0</v>
      </c>
    </row>
    <row r="65" spans="1:9" x14ac:dyDescent="0.2">
      <c r="A65" s="53" t="s">
        <v>148</v>
      </c>
      <c r="B65" s="55"/>
      <c r="C65" s="55"/>
      <c r="D65" s="282">
        <f>TAXES_FEES!D14</f>
        <v>2625.4159999999997</v>
      </c>
      <c r="E65" s="282">
        <f>0+TAXES_FEES!E14</f>
        <v>2084.6363199999996</v>
      </c>
      <c r="F65" s="282">
        <f>0+TAXES_FEES!F14</f>
        <v>1752.9408063999997</v>
      </c>
      <c r="G65" s="75">
        <f t="shared" si="1"/>
        <v>6462.9931263999988</v>
      </c>
      <c r="H65" s="323" t="str">
        <f>IF(ABS(-G65-TAXES_FEES!$G$14)&lt;0.01," ","CHECK:  TOTAL CASH TAXES DOES NOT MATCH TOTAL CASH TAXES CALCD")</f>
        <v>CHECK:  TOTAL CASH TAXES DOES NOT MATCH TOTAL CASH TAXES CALCD</v>
      </c>
      <c r="I65" s="84"/>
    </row>
    <row r="66" spans="1:9" x14ac:dyDescent="0.2">
      <c r="A66" s="53" t="s">
        <v>149</v>
      </c>
      <c r="B66" s="55"/>
      <c r="C66" s="55"/>
      <c r="D66" s="282">
        <f>ASS!V31*CF!D65</f>
        <v>0</v>
      </c>
      <c r="E66" s="282">
        <f>ASS!W31*CF!E65</f>
        <v>0</v>
      </c>
      <c r="F66" s="282">
        <f>ASS!X31*CF!F65</f>
        <v>0</v>
      </c>
      <c r="G66" s="187">
        <f t="shared" si="1"/>
        <v>0</v>
      </c>
      <c r="H66" s="148"/>
      <c r="I66" s="84"/>
    </row>
    <row r="67" spans="1:9" x14ac:dyDescent="0.2">
      <c r="A67" s="188" t="s">
        <v>150</v>
      </c>
      <c r="B67" s="189"/>
      <c r="C67" s="189"/>
      <c r="D67" s="190">
        <f>SUM(D58:D66)</f>
        <v>9676.4560000000001</v>
      </c>
      <c r="E67" s="190">
        <f>SUM(E58:E66)</f>
        <v>8234.6971200000007</v>
      </c>
      <c r="F67" s="190">
        <f>SUM(F58:F66)</f>
        <v>7002.0028223999998</v>
      </c>
      <c r="G67" s="191">
        <f>SUM(G58:G66)</f>
        <v>24913.155942400001</v>
      </c>
    </row>
    <row r="68" spans="1:9" x14ac:dyDescent="0.2">
      <c r="A68" s="53"/>
      <c r="B68" s="55"/>
      <c r="C68" s="55"/>
      <c r="D68" s="55"/>
      <c r="E68" s="55"/>
      <c r="F68" s="55"/>
      <c r="G68" s="43"/>
    </row>
    <row r="69" spans="1:9" x14ac:dyDescent="0.2">
      <c r="A69" s="79" t="s">
        <v>151</v>
      </c>
      <c r="B69" s="80" t="s">
        <v>152</v>
      </c>
      <c r="C69" s="80"/>
      <c r="D69" s="279">
        <f>IF(equityperc&gt;0.99,0,IF(D3&gt;MAX(ASS!#REF!,ASS!#REF!,ASS!#REF!,ASS!#REF!,ASS!#REF!,ASS!#REF!),"n/a",(D49+D40)/(FIN!D10-TAXES_FEES!#REF!)))</f>
        <v>0</v>
      </c>
      <c r="E69" s="279">
        <f>IF(equityperc&gt;0.99,0,IF(E3&gt;MAX(ASS!#REF!,ASS!#REF!,ASS!#REF!,ASS!#REF!,ASS!#REF!,ASS!#REF!),"n/a",(E49+E40)/(FIN!E10-TAXES_FEES!#REF!)))</f>
        <v>0</v>
      </c>
      <c r="F69" s="279">
        <f>IF(equityperc&gt;0.99,0,IF(F3&gt;MAX(ASS!#REF!,ASS!#REF!,ASS!#REF!,ASS!#REF!,ASS!#REF!,ASS!#REF!),"n/a",(F49+F40)/(FIN!F10-TAXES_FEES!#REF!)))</f>
        <v>0</v>
      </c>
      <c r="G69" s="43"/>
    </row>
    <row r="70" spans="1:9" x14ac:dyDescent="0.2">
      <c r="A70" s="64" t="s">
        <v>153</v>
      </c>
      <c r="B70" s="72" t="s">
        <v>154</v>
      </c>
      <c r="C70" s="72"/>
      <c r="D70" s="280">
        <f>IF(equityperc&gt;0.99,0,IF(D3&gt;MAX(ASS!#REF!,ASS!#REF!,ASS!#REF!,ASS!#REF!,ASS!#REF!,ASS!#REF!),"n/a",(D49+D65+D40)/(FIN!D10-TAXES_FEES!#REF!)))</f>
        <v>0</v>
      </c>
      <c r="E70" s="280">
        <f>IF(equityperc&gt;0.99,0,IF(E3&gt;MAX(ASS!#REF!,ASS!#REF!,ASS!#REF!,ASS!#REF!,ASS!#REF!,ASS!#REF!),"n/a",(E49+E65+E40)/(FIN!E10-TAXES_FEES!#REF!)))</f>
        <v>0</v>
      </c>
      <c r="F70" s="280">
        <f>IF(equityperc&gt;0.99,0,IF(F3&gt;MAX(ASS!#REF!,ASS!#REF!,ASS!#REF!,ASS!#REF!,ASS!#REF!,ASS!#REF!),"n/a",(F49+F65+F40)/(FIN!F10-TAXES_FEES!#REF!)))</f>
        <v>0</v>
      </c>
      <c r="G70" s="85"/>
    </row>
    <row r="73" spans="1:9" x14ac:dyDescent="0.2">
      <c r="A73" s="289"/>
      <c r="B73" s="289"/>
      <c r="C73" s="289"/>
      <c r="D73" s="289"/>
      <c r="E73" s="289"/>
      <c r="F73" s="289"/>
    </row>
    <row r="74" spans="1:9" x14ac:dyDescent="0.2">
      <c r="B74" s="278"/>
      <c r="C74" s="278"/>
      <c r="D74" s="278"/>
      <c r="E74" s="278"/>
      <c r="F74" s="278"/>
    </row>
    <row r="80" spans="1:9" x14ac:dyDescent="0.2">
      <c r="A80" s="290"/>
    </row>
    <row r="81" spans="1:1" x14ac:dyDescent="0.2">
      <c r="A81" s="290"/>
    </row>
    <row r="82" spans="1:1" x14ac:dyDescent="0.2">
      <c r="A82" s="290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53"/>
  <sheetViews>
    <sheetView topLeftCell="A3" workbookViewId="0">
      <selection activeCell="B35" sqref="B35"/>
    </sheetView>
  </sheetViews>
  <sheetFormatPr defaultRowHeight="12.75" x14ac:dyDescent="0.2"/>
  <cols>
    <col min="1" max="1" width="18" style="40" bestFit="1" customWidth="1"/>
    <col min="2" max="2" width="32" style="40" customWidth="1"/>
    <col min="3" max="3" width="3.7109375" style="40" customWidth="1"/>
    <col min="4" max="7" width="9.140625" style="40"/>
    <col min="8" max="8" width="9.85546875" style="40" bestFit="1" customWidth="1"/>
    <col min="9" max="16384" width="9.140625" style="40"/>
  </cols>
  <sheetData>
    <row r="1" spans="1:10" ht="15.75" x14ac:dyDescent="0.25">
      <c r="A1" s="160" t="s">
        <v>155</v>
      </c>
      <c r="B1" s="172"/>
    </row>
    <row r="2" spans="1:10" ht="15.75" x14ac:dyDescent="0.25">
      <c r="A2" s="173">
        <f>ASS!A4</f>
        <v>0</v>
      </c>
      <c r="B2" s="174"/>
    </row>
    <row r="3" spans="1:10" x14ac:dyDescent="0.2">
      <c r="A3" s="45" t="s">
        <v>156</v>
      </c>
      <c r="B3" s="52"/>
      <c r="C3" s="52"/>
      <c r="D3" s="52">
        <f>IF(D4&lt;STARTYR,0,#REF!+1)</f>
        <v>0</v>
      </c>
      <c r="E3" s="52">
        <f>IF(E4&lt;STARTYR,0,D3+1)</f>
        <v>1</v>
      </c>
      <c r="F3" s="52">
        <f>IF(F4&lt;STARTYR,0,E3+1)</f>
        <v>2</v>
      </c>
      <c r="G3" s="52">
        <f>IF(G4&lt;STARTYR,0,F3+1)</f>
        <v>3</v>
      </c>
      <c r="H3" s="41"/>
    </row>
    <row r="4" spans="1:10" x14ac:dyDescent="0.2">
      <c r="A4" s="226" t="s">
        <v>123</v>
      </c>
      <c r="B4" s="72"/>
      <c r="C4" s="72"/>
      <c r="D4" s="123">
        <f>E4-1</f>
        <v>2000</v>
      </c>
      <c r="E4" s="123">
        <f>CF!D4</f>
        <v>2001</v>
      </c>
      <c r="F4" s="123">
        <f>CF!E4</f>
        <v>2002</v>
      </c>
      <c r="G4" s="123">
        <f>CF!F4</f>
        <v>2003</v>
      </c>
      <c r="H4" s="176" t="s">
        <v>124</v>
      </c>
    </row>
    <row r="5" spans="1:10" x14ac:dyDescent="0.2">
      <c r="A5" s="53"/>
      <c r="B5" s="55"/>
      <c r="C5" s="55"/>
      <c r="D5" s="55"/>
      <c r="E5" s="55"/>
      <c r="F5" s="55"/>
      <c r="G5" s="55"/>
      <c r="H5" s="54"/>
    </row>
    <row r="6" spans="1:10" x14ac:dyDescent="0.2">
      <c r="A6" s="87" t="s">
        <v>157</v>
      </c>
      <c r="B6" s="52"/>
      <c r="C6" s="52"/>
      <c r="D6" s="52"/>
      <c r="E6" s="52"/>
      <c r="F6" s="52"/>
      <c r="G6" s="52"/>
      <c r="H6" s="41"/>
    </row>
    <row r="7" spans="1:10" x14ac:dyDescent="0.2">
      <c r="A7" s="53"/>
      <c r="B7" s="55" t="s">
        <v>158</v>
      </c>
      <c r="C7" s="55"/>
      <c r="D7" s="319">
        <f>-EQUITY</f>
        <v>-13000</v>
      </c>
      <c r="E7" s="318">
        <v>0</v>
      </c>
      <c r="F7" s="319">
        <f>E7</f>
        <v>0</v>
      </c>
      <c r="G7" s="319">
        <f>F7</f>
        <v>0</v>
      </c>
      <c r="H7" s="75">
        <f>SUM(D7:G7)</f>
        <v>-13000</v>
      </c>
      <c r="I7" s="86" t="str">
        <f>IF(ABS(H7+EQUITY)&lt;0.1," ", "CHECK")</f>
        <v xml:space="preserve"> </v>
      </c>
    </row>
    <row r="8" spans="1:10" x14ac:dyDescent="0.2">
      <c r="A8" s="53"/>
      <c r="B8" s="55" t="s">
        <v>159</v>
      </c>
      <c r="C8" s="55"/>
      <c r="D8" s="317">
        <f>CF!C67</f>
        <v>0</v>
      </c>
      <c r="E8" s="317">
        <f>CF!D67</f>
        <v>9676.4560000000001</v>
      </c>
      <c r="F8" s="317">
        <f>CF!E67</f>
        <v>8234.6971200000007</v>
      </c>
      <c r="G8" s="317">
        <f>CF!F67</f>
        <v>7002.0028223999998</v>
      </c>
      <c r="H8" s="81">
        <f>SUM(D8:G8)</f>
        <v>24913.155942400001</v>
      </c>
      <c r="I8" s="86" t="str">
        <f>IF(ABS($H$8-CF!$G$67)&lt;0.01," ","CHECK:  DOES NOT EQUAL TOTAL CF DISTRIBUTED")</f>
        <v xml:space="preserve"> </v>
      </c>
    </row>
    <row r="9" spans="1:10" s="73" customFormat="1" x14ac:dyDescent="0.2">
      <c r="A9" s="111"/>
      <c r="B9" s="55" t="s">
        <v>160</v>
      </c>
      <c r="C9" s="55"/>
      <c r="D9" s="128">
        <f>SUM(D7:D8)</f>
        <v>-13000</v>
      </c>
      <c r="E9" s="128">
        <f>SUM(E7:E8)</f>
        <v>9676.4560000000001</v>
      </c>
      <c r="F9" s="128">
        <f>SUM(F7:F8)</f>
        <v>8234.6971200000007</v>
      </c>
      <c r="G9" s="128">
        <f>SUM(G7:G8)</f>
        <v>7002.0028223999998</v>
      </c>
      <c r="H9" s="129">
        <f>SUM(H7:H8)</f>
        <v>11913.155942400001</v>
      </c>
      <c r="J9" s="40"/>
    </row>
    <row r="10" spans="1:10" x14ac:dyDescent="0.2">
      <c r="A10" s="53"/>
      <c r="B10" s="55" t="s">
        <v>161</v>
      </c>
      <c r="C10" s="55"/>
      <c r="D10" s="126">
        <f>D9</f>
        <v>-13000</v>
      </c>
      <c r="E10" s="126">
        <f>$D$9+NPV(DISC, $E$9:E9)</f>
        <v>-4203.2218181818189</v>
      </c>
      <c r="F10" s="126">
        <f>$D$9+NPV(DISC, $E$9:F9)</f>
        <v>2602.3129917355382</v>
      </c>
      <c r="G10" s="126">
        <f>$D$9+NPV(DISC, $E$9:G9)</f>
        <v>7863.0213481592764</v>
      </c>
      <c r="H10" s="75">
        <f>SUM(D10:G10)</f>
        <v>-6737.8874782870025</v>
      </c>
    </row>
    <row r="11" spans="1:10" x14ac:dyDescent="0.2">
      <c r="A11" s="53"/>
      <c r="B11" s="55" t="s">
        <v>162</v>
      </c>
      <c r="C11" s="55"/>
      <c r="D11" s="57" t="e">
        <f>IRR($D$9:D9, D13)</f>
        <v>#NUM!</v>
      </c>
      <c r="E11" s="57">
        <f>IRR($D$9:E9, D13)</f>
        <v>-0.25565723076923069</v>
      </c>
      <c r="F11" s="57">
        <f>IRR($D$9:F9, D13)</f>
        <v>0.25077811093070967</v>
      </c>
      <c r="G11" s="57">
        <f>IRR($D$9:G9, D13)</f>
        <v>0.44239030657364675</v>
      </c>
      <c r="H11" s="43"/>
    </row>
    <row r="12" spans="1:10" ht="13.5" thickBot="1" x14ac:dyDescent="0.25">
      <c r="A12" s="53"/>
      <c r="B12" s="55"/>
      <c r="C12" s="55"/>
      <c r="D12" s="57"/>
      <c r="E12" s="57"/>
      <c r="F12" s="57"/>
      <c r="G12" s="57"/>
      <c r="H12" s="43"/>
    </row>
    <row r="13" spans="1:10" x14ac:dyDescent="0.2">
      <c r="A13" s="53"/>
      <c r="B13" s="89" t="s">
        <v>374</v>
      </c>
      <c r="C13" s="358"/>
      <c r="D13" s="392">
        <f>DISC</f>
        <v>0.1</v>
      </c>
      <c r="E13" s="130"/>
      <c r="F13" s="130"/>
      <c r="G13" s="130"/>
      <c r="H13" s="320"/>
      <c r="I13" s="130"/>
      <c r="J13" s="55"/>
    </row>
    <row r="14" spans="1:10" x14ac:dyDescent="0.2">
      <c r="A14" s="53"/>
      <c r="B14" s="99" t="s">
        <v>375</v>
      </c>
      <c r="C14" s="308"/>
      <c r="D14" s="393">
        <f>$D$9+NPV(DISC,$E$9:G9)</f>
        <v>7863.0213481592764</v>
      </c>
      <c r="E14" s="155"/>
      <c r="F14" s="276"/>
      <c r="G14" s="277"/>
      <c r="H14" s="320"/>
      <c r="I14" s="130"/>
      <c r="J14" s="55"/>
    </row>
    <row r="15" spans="1:10" x14ac:dyDescent="0.2">
      <c r="A15" s="53"/>
      <c r="B15" s="99" t="s">
        <v>2</v>
      </c>
      <c r="C15" s="55"/>
      <c r="D15" s="177">
        <f>IRR($D$9:G9,D13)</f>
        <v>0.44239030657364675</v>
      </c>
      <c r="E15" s="299"/>
      <c r="F15" s="130"/>
      <c r="G15" s="130"/>
      <c r="H15" s="320"/>
      <c r="I15" s="130"/>
      <c r="J15" s="55"/>
    </row>
    <row r="16" spans="1:10" ht="13.5" thickBot="1" x14ac:dyDescent="0.25">
      <c r="A16" s="64"/>
      <c r="B16" s="178" t="s">
        <v>163</v>
      </c>
      <c r="C16" s="106"/>
      <c r="D16" s="394">
        <f>MAX(F16:I16)</f>
        <v>1</v>
      </c>
      <c r="E16" s="175">
        <f>IF(AND(E10&gt;0,D10&lt;0),D3,0)</f>
        <v>0</v>
      </c>
      <c r="F16" s="175">
        <f>IF(AND(F10&gt;0,E10&lt;0),E3,0)</f>
        <v>1</v>
      </c>
      <c r="G16" s="175">
        <f>IF(AND(G10&gt;0,F10&lt;0),F3,0)</f>
        <v>0</v>
      </c>
      <c r="H16" s="321">
        <f>SUM(E16:G16)</f>
        <v>1</v>
      </c>
      <c r="I16" s="316"/>
      <c r="J16" s="55"/>
    </row>
    <row r="17" spans="1:11" x14ac:dyDescent="0.2">
      <c r="A17" s="55"/>
      <c r="B17" s="55"/>
      <c r="C17" s="55"/>
      <c r="D17" s="130"/>
      <c r="E17" s="130"/>
      <c r="F17" s="130"/>
      <c r="G17" s="130"/>
      <c r="H17" s="130"/>
      <c r="I17" s="130"/>
      <c r="J17" s="130"/>
      <c r="K17" s="55"/>
    </row>
    <row r="18" spans="1:11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spans="1:11" x14ac:dyDescent="0.2">
      <c r="A19" s="87" t="s">
        <v>164</v>
      </c>
      <c r="B19" s="52"/>
      <c r="C19" s="88"/>
      <c r="D19" s="52"/>
      <c r="E19" s="52"/>
      <c r="F19" s="52"/>
      <c r="G19" s="52"/>
      <c r="H19" s="41"/>
    </row>
    <row r="20" spans="1:11" x14ac:dyDescent="0.2">
      <c r="A20" s="131">
        <f>ASS!$I$26</f>
        <v>1</v>
      </c>
      <c r="B20" s="55" t="s">
        <v>158</v>
      </c>
      <c r="C20" s="55"/>
      <c r="D20" s="319">
        <f>-EQUITY</f>
        <v>-13000</v>
      </c>
      <c r="E20" s="327">
        <v>0</v>
      </c>
      <c r="F20" s="319">
        <f>E20</f>
        <v>0</v>
      </c>
      <c r="G20" s="126">
        <f>G7*$A$20</f>
        <v>0</v>
      </c>
      <c r="H20" s="75">
        <f>SUM(D20:G20)</f>
        <v>-13000</v>
      </c>
    </row>
    <row r="21" spans="1:11" x14ac:dyDescent="0.2">
      <c r="A21" s="131">
        <f>ASS!$J$26</f>
        <v>1</v>
      </c>
      <c r="B21" s="55" t="s">
        <v>159</v>
      </c>
      <c r="C21" s="55"/>
      <c r="D21" s="317">
        <f>CF!C79</f>
        <v>0</v>
      </c>
      <c r="E21" s="317">
        <f>CF!D67</f>
        <v>9676.4560000000001</v>
      </c>
      <c r="F21" s="317">
        <f>CF!E67</f>
        <v>8234.6971200000007</v>
      </c>
      <c r="G21" s="126">
        <f>G8*$A$21</f>
        <v>7002.0028223999998</v>
      </c>
      <c r="H21" s="75">
        <f>SUM(D21:G21)</f>
        <v>24913.155942400001</v>
      </c>
    </row>
    <row r="22" spans="1:11" s="133" customFormat="1" x14ac:dyDescent="0.2">
      <c r="A22" s="132"/>
      <c r="B22" s="55" t="s">
        <v>160</v>
      </c>
      <c r="C22" s="55"/>
      <c r="D22" s="128">
        <f>SUM(D20:D21)</f>
        <v>-13000</v>
      </c>
      <c r="E22" s="128">
        <f>SUM(E20:E21)</f>
        <v>9676.4560000000001</v>
      </c>
      <c r="F22" s="128">
        <f>SUM(F20:F21)</f>
        <v>8234.6971200000007</v>
      </c>
      <c r="G22" s="128">
        <f>SUM(G21:G21)</f>
        <v>7002.0028223999998</v>
      </c>
      <c r="H22" s="129">
        <f>SUM(D22:G22)</f>
        <v>11913.155942400001</v>
      </c>
      <c r="J22" s="40"/>
    </row>
    <row r="23" spans="1:11" x14ac:dyDescent="0.2">
      <c r="A23" s="53"/>
      <c r="B23" s="55" t="s">
        <v>161</v>
      </c>
      <c r="C23" s="55"/>
      <c r="D23" s="126">
        <f>D22</f>
        <v>-13000</v>
      </c>
      <c r="E23" s="126">
        <f>$D$22+NPV(DISC, E$22:$E22)</f>
        <v>-4203.2218181818189</v>
      </c>
      <c r="F23" s="126">
        <f>$D$9+NPV(DISC, $E$22:F22)</f>
        <v>2602.3129917355382</v>
      </c>
      <c r="G23" s="126">
        <f>$D$22+NPV(DISC, $E$22:G22)</f>
        <v>7863.0213481592764</v>
      </c>
      <c r="H23" s="75">
        <f>SUM(D23:G23)</f>
        <v>-6737.8874782870025</v>
      </c>
    </row>
    <row r="24" spans="1:11" x14ac:dyDescent="0.2">
      <c r="A24" s="53"/>
      <c r="B24" s="55" t="s">
        <v>162</v>
      </c>
      <c r="C24" s="55"/>
      <c r="D24" s="57" t="e">
        <f>IF(D22=0, 0, IRR($D$22:D22))</f>
        <v>#NUM!</v>
      </c>
      <c r="E24" s="57">
        <f>IRR($D$22:E22, D26)</f>
        <v>-0.25565723076923069</v>
      </c>
      <c r="F24" s="57">
        <f>IRR($D$22:F22, D26)</f>
        <v>0.25077811093070967</v>
      </c>
      <c r="G24" s="57">
        <f>IRR($D$9:G9,D26)</f>
        <v>0.44239030657364675</v>
      </c>
      <c r="H24" s="43"/>
    </row>
    <row r="25" spans="1:11" ht="13.5" thickBot="1" x14ac:dyDescent="0.25">
      <c r="A25" s="53"/>
      <c r="B25" s="55"/>
      <c r="C25" s="55"/>
      <c r="D25" s="57"/>
      <c r="E25" s="57"/>
      <c r="F25" s="57"/>
      <c r="G25" s="57"/>
      <c r="H25" s="43"/>
    </row>
    <row r="26" spans="1:11" x14ac:dyDescent="0.2">
      <c r="A26" s="53"/>
      <c r="B26" s="89" t="s">
        <v>374</v>
      </c>
      <c r="C26" s="358"/>
      <c r="D26" s="392">
        <f>DISC</f>
        <v>0.1</v>
      </c>
      <c r="E26" s="130"/>
      <c r="F26" s="130"/>
      <c r="G26" s="130"/>
      <c r="H26" s="43"/>
    </row>
    <row r="27" spans="1:11" x14ac:dyDescent="0.2">
      <c r="A27" s="53"/>
      <c r="B27" s="99" t="s">
        <v>376</v>
      </c>
      <c r="C27" s="308"/>
      <c r="D27" s="393">
        <f>$D$22+NPV(DISC,$E$22:G22)</f>
        <v>7863.0213481592764</v>
      </c>
      <c r="E27" s="155"/>
      <c r="F27" s="130"/>
      <c r="G27" s="130"/>
      <c r="H27" s="43"/>
    </row>
    <row r="28" spans="1:11" x14ac:dyDescent="0.2">
      <c r="A28" s="53"/>
      <c r="B28" s="99" t="s">
        <v>3</v>
      </c>
      <c r="C28" s="78"/>
      <c r="D28" s="177">
        <f>IRR($D$9:G9,D13)</f>
        <v>0.44239030657364675</v>
      </c>
      <c r="E28" s="299"/>
      <c r="F28" s="130"/>
      <c r="G28" s="130"/>
      <c r="H28" s="43"/>
    </row>
    <row r="29" spans="1:11" ht="13.5" thickBot="1" x14ac:dyDescent="0.25">
      <c r="A29" s="64"/>
      <c r="B29" s="178" t="s">
        <v>163</v>
      </c>
      <c r="C29" s="179"/>
      <c r="D29" s="180">
        <f>MAX(F29:G29)</f>
        <v>1</v>
      </c>
      <c r="E29" s="395">
        <f>IF(AND(E23&gt;0,C23&lt;0),D3,0)</f>
        <v>0</v>
      </c>
      <c r="F29" s="158">
        <f>IF(AND(F23&gt;0,D23&lt;0),E3,0)</f>
        <v>1</v>
      </c>
      <c r="G29" s="175">
        <f>IF(AND(G23&gt;0,F23&lt;0),F3,0)</f>
        <v>0</v>
      </c>
      <c r="H29" s="321">
        <f>SUM(E29:G29)</f>
        <v>1</v>
      </c>
    </row>
    <row r="30" spans="1:1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spans="1:11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spans="1:11" x14ac:dyDescent="0.2">
      <c r="A32" s="310"/>
      <c r="B32" s="55"/>
      <c r="C32" s="78"/>
      <c r="D32" s="55"/>
      <c r="E32" s="55"/>
      <c r="F32" s="55"/>
      <c r="G32" s="55"/>
      <c r="H32" s="55"/>
      <c r="I32" s="55"/>
      <c r="J32" s="55"/>
      <c r="K32" s="55"/>
    </row>
    <row r="33" spans="1:16" x14ac:dyDescent="0.2">
      <c r="A33" s="100"/>
      <c r="B33" s="55"/>
      <c r="C33" s="55"/>
      <c r="D33" s="126"/>
      <c r="E33" s="126"/>
      <c r="F33" s="126"/>
      <c r="G33" s="126"/>
      <c r="H33" s="126"/>
      <c r="I33" s="126"/>
      <c r="J33" s="126"/>
      <c r="K33" s="126"/>
    </row>
    <row r="34" spans="1:16" x14ac:dyDescent="0.2">
      <c r="A34" s="100"/>
      <c r="B34" s="55"/>
      <c r="C34" s="55"/>
      <c r="D34" s="126"/>
      <c r="E34" s="126"/>
      <c r="F34" s="126"/>
      <c r="G34" s="126"/>
      <c r="H34" s="126"/>
      <c r="I34" s="126"/>
      <c r="J34" s="126"/>
      <c r="K34" s="126"/>
    </row>
    <row r="35" spans="1:16" s="73" customFormat="1" x14ac:dyDescent="0.2">
      <c r="A35" s="311"/>
      <c r="B35" s="55"/>
      <c r="C35" s="55"/>
      <c r="D35" s="127"/>
      <c r="E35" s="127"/>
      <c r="F35" s="127"/>
      <c r="G35" s="127"/>
      <c r="H35" s="127"/>
      <c r="I35" s="127"/>
      <c r="J35" s="127"/>
      <c r="K35" s="127"/>
      <c r="M35" s="40"/>
      <c r="P35" s="74"/>
    </row>
    <row r="36" spans="1:16" s="133" customFormat="1" x14ac:dyDescent="0.2">
      <c r="A36" s="312"/>
      <c r="B36" s="55"/>
      <c r="C36" s="55"/>
      <c r="D36" s="128"/>
      <c r="E36" s="128"/>
      <c r="F36" s="128"/>
      <c r="G36" s="128"/>
      <c r="H36" s="128"/>
      <c r="I36" s="128"/>
      <c r="J36" s="128"/>
      <c r="K36" s="128"/>
      <c r="M36" s="40"/>
    </row>
    <row r="37" spans="1:16" x14ac:dyDescent="0.2">
      <c r="A37" s="102"/>
      <c r="B37" s="55"/>
      <c r="C37" s="55"/>
      <c r="D37" s="126"/>
      <c r="E37" s="126"/>
      <c r="F37" s="126"/>
      <c r="G37" s="126"/>
      <c r="H37" s="126"/>
      <c r="I37" s="126"/>
      <c r="J37" s="126"/>
      <c r="K37" s="126"/>
    </row>
    <row r="38" spans="1:16" x14ac:dyDescent="0.2">
      <c r="A38" s="102"/>
      <c r="B38" s="55"/>
      <c r="C38" s="55"/>
      <c r="D38" s="57"/>
      <c r="E38" s="57"/>
      <c r="F38" s="57"/>
      <c r="G38" s="57"/>
      <c r="H38" s="57"/>
      <c r="I38" s="57"/>
      <c r="J38" s="57"/>
      <c r="K38" s="55"/>
    </row>
    <row r="39" spans="1:16" x14ac:dyDescent="0.2">
      <c r="A39" s="102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spans="1:16" x14ac:dyDescent="0.2">
      <c r="A40" s="102"/>
      <c r="B40" s="78"/>
      <c r="C40" s="308"/>
      <c r="D40" s="155"/>
      <c r="E40" s="155"/>
      <c r="F40" s="55"/>
      <c r="G40" s="55"/>
      <c r="H40" s="55"/>
      <c r="I40" s="55"/>
      <c r="J40" s="55"/>
      <c r="K40" s="55"/>
    </row>
    <row r="41" spans="1:16" x14ac:dyDescent="0.2">
      <c r="A41" s="102"/>
      <c r="B41" s="78"/>
      <c r="C41" s="78"/>
      <c r="D41" s="299"/>
      <c r="E41" s="299"/>
      <c r="F41" s="55"/>
      <c r="G41" s="55"/>
      <c r="H41" s="55"/>
      <c r="I41" s="55"/>
      <c r="J41" s="55"/>
      <c r="K41" s="55"/>
    </row>
    <row r="42" spans="1:16" x14ac:dyDescent="0.2">
      <c r="A42" s="102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spans="1:16" x14ac:dyDescent="0.2">
      <c r="A43" s="102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spans="1:16" x14ac:dyDescent="0.2">
      <c r="A44" s="310"/>
      <c r="B44" s="55"/>
      <c r="C44" s="78"/>
      <c r="D44" s="55"/>
      <c r="E44" s="55"/>
      <c r="F44" s="55"/>
      <c r="G44" s="55"/>
      <c r="H44" s="55"/>
      <c r="I44" s="55"/>
      <c r="J44" s="55"/>
      <c r="K44" s="55"/>
    </row>
    <row r="45" spans="1:16" x14ac:dyDescent="0.2">
      <c r="A45" s="100"/>
      <c r="B45" s="55"/>
      <c r="C45" s="55"/>
      <c r="D45" s="126"/>
      <c r="E45" s="126"/>
      <c r="F45" s="126"/>
      <c r="G45" s="126"/>
      <c r="H45" s="126"/>
      <c r="I45" s="126"/>
      <c r="J45" s="126"/>
      <c r="K45" s="126"/>
    </row>
    <row r="46" spans="1:16" x14ac:dyDescent="0.2">
      <c r="A46" s="100"/>
      <c r="B46" s="55"/>
      <c r="C46" s="55"/>
      <c r="D46" s="126"/>
      <c r="E46" s="126"/>
      <c r="F46" s="126"/>
      <c r="G46" s="126"/>
      <c r="H46" s="126"/>
      <c r="I46" s="126"/>
      <c r="J46" s="126"/>
      <c r="K46" s="126"/>
    </row>
    <row r="47" spans="1:16" s="73" customFormat="1" x14ac:dyDescent="0.2">
      <c r="A47" s="311"/>
      <c r="B47" s="55"/>
      <c r="C47" s="55"/>
      <c r="D47" s="127"/>
      <c r="E47" s="127"/>
      <c r="F47" s="127"/>
      <c r="G47" s="127"/>
      <c r="H47" s="127"/>
      <c r="I47" s="127"/>
      <c r="J47" s="127"/>
      <c r="K47" s="127"/>
      <c r="M47" s="40"/>
      <c r="P47" s="74"/>
    </row>
    <row r="48" spans="1:16" s="133" customFormat="1" x14ac:dyDescent="0.2">
      <c r="A48" s="312"/>
      <c r="B48" s="55"/>
      <c r="C48" s="55"/>
      <c r="D48" s="128"/>
      <c r="E48" s="128"/>
      <c r="F48" s="128"/>
      <c r="G48" s="128"/>
      <c r="H48" s="128"/>
      <c r="I48" s="128"/>
      <c r="J48" s="128"/>
      <c r="K48" s="128"/>
      <c r="M48" s="40"/>
    </row>
    <row r="49" spans="1:11" x14ac:dyDescent="0.2">
      <c r="A49" s="102"/>
      <c r="B49" s="55"/>
      <c r="C49" s="55"/>
      <c r="D49" s="126"/>
      <c r="E49" s="126"/>
      <c r="F49" s="126"/>
      <c r="G49" s="126"/>
      <c r="H49" s="126"/>
      <c r="I49" s="126"/>
      <c r="J49" s="126"/>
      <c r="K49" s="126"/>
    </row>
    <row r="50" spans="1:11" x14ac:dyDescent="0.2">
      <c r="A50" s="102"/>
      <c r="B50" s="55"/>
      <c r="C50" s="55"/>
      <c r="D50" s="57"/>
      <c r="E50" s="57"/>
      <c r="F50" s="57"/>
      <c r="G50" s="57"/>
      <c r="H50" s="57"/>
      <c r="I50" s="57"/>
      <c r="J50" s="57"/>
      <c r="K50" s="55"/>
    </row>
    <row r="51" spans="1:1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x14ac:dyDescent="0.2">
      <c r="A52" s="55"/>
      <c r="B52" s="309"/>
      <c r="C52" s="308"/>
      <c r="D52" s="300"/>
      <c r="E52" s="300"/>
      <c r="F52" s="55"/>
      <c r="G52" s="55"/>
      <c r="H52" s="55"/>
      <c r="I52" s="55"/>
      <c r="J52" s="55"/>
      <c r="K52" s="55"/>
    </row>
    <row r="53" spans="1:11" x14ac:dyDescent="0.2">
      <c r="A53" s="55"/>
      <c r="B53" s="309"/>
      <c r="C53" s="309"/>
      <c r="D53" s="301"/>
      <c r="E53" s="301"/>
      <c r="F53" s="55"/>
      <c r="G53" s="55"/>
      <c r="H53" s="55"/>
      <c r="I53" s="55"/>
      <c r="J53" s="55"/>
      <c r="K53" s="55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1" workbookViewId="0">
      <selection activeCell="D4" sqref="D4"/>
    </sheetView>
  </sheetViews>
  <sheetFormatPr defaultRowHeight="12.75" x14ac:dyDescent="0.2"/>
  <cols>
    <col min="1" max="2" width="9.140625" style="40"/>
    <col min="3" max="3" width="21.7109375" style="40" customWidth="1"/>
    <col min="4" max="6" width="9.140625" style="40"/>
    <col min="7" max="7" width="10" style="40" customWidth="1"/>
    <col min="8" max="9" width="9.140625" style="40"/>
    <col min="10" max="10" width="8.7109375" style="40" customWidth="1"/>
    <col min="11" max="11" width="13.5703125" style="40" customWidth="1"/>
    <col min="12" max="12" width="9" style="40" customWidth="1"/>
    <col min="13" max="13" width="13.85546875" style="40" customWidth="1"/>
    <col min="14" max="14" width="10.28515625" style="40" customWidth="1"/>
    <col min="15" max="15" width="15.140625" style="40" customWidth="1"/>
    <col min="16" max="16384" width="9.140625" style="40"/>
  </cols>
  <sheetData>
    <row r="1" spans="1:8" ht="15.75" x14ac:dyDescent="0.25">
      <c r="A1" s="160" t="s">
        <v>165</v>
      </c>
      <c r="B1" s="192"/>
      <c r="C1" s="172"/>
    </row>
    <row r="2" spans="1:8" ht="15.75" x14ac:dyDescent="0.25">
      <c r="A2" s="173">
        <f>ASS!A4</f>
        <v>0</v>
      </c>
      <c r="B2" s="171"/>
      <c r="C2" s="174"/>
    </row>
    <row r="3" spans="1:8" x14ac:dyDescent="0.2">
      <c r="B3" s="231" t="s">
        <v>166</v>
      </c>
      <c r="C3" s="80"/>
      <c r="D3" s="399">
        <f>COST</f>
        <v>13000</v>
      </c>
    </row>
    <row r="4" spans="1:8" x14ac:dyDescent="0.2">
      <c r="B4" s="53"/>
      <c r="E4" s="232" t="s">
        <v>167</v>
      </c>
      <c r="F4" s="134"/>
      <c r="G4" s="135"/>
    </row>
    <row r="5" spans="1:8" x14ac:dyDescent="0.2">
      <c r="B5" s="41"/>
      <c r="C5" s="52"/>
      <c r="D5" s="46"/>
      <c r="E5" s="236" t="s">
        <v>168</v>
      </c>
      <c r="F5" s="238" t="s">
        <v>168</v>
      </c>
      <c r="G5" s="239" t="s">
        <v>169</v>
      </c>
    </row>
    <row r="6" spans="1:8" x14ac:dyDescent="0.2">
      <c r="B6" s="43"/>
      <c r="C6" s="235" t="s">
        <v>170</v>
      </c>
      <c r="D6" s="54"/>
      <c r="E6" s="237" t="s">
        <v>171</v>
      </c>
      <c r="F6" s="235" t="s">
        <v>172</v>
      </c>
      <c r="G6" s="240" t="s">
        <v>172</v>
      </c>
    </row>
    <row r="7" spans="1:8" x14ac:dyDescent="0.2">
      <c r="B7" s="233" t="s">
        <v>173</v>
      </c>
      <c r="C7" s="234" t="s">
        <v>174</v>
      </c>
      <c r="D7" s="54"/>
      <c r="E7" s="60" t="s">
        <v>175</v>
      </c>
      <c r="F7" s="62" t="s">
        <v>176</v>
      </c>
      <c r="G7" s="61" t="s">
        <v>176</v>
      </c>
    </row>
    <row r="8" spans="1:8" x14ac:dyDescent="0.2">
      <c r="A8" s="250">
        <v>1</v>
      </c>
      <c r="B8" s="314">
        <v>36739</v>
      </c>
      <c r="C8" s="40" t="s">
        <v>347</v>
      </c>
      <c r="D8" s="54"/>
      <c r="E8" s="397">
        <f>ASS!U46</f>
        <v>3.1E-2</v>
      </c>
      <c r="F8" s="56">
        <f>E8*$D$3</f>
        <v>403</v>
      </c>
      <c r="G8" s="63">
        <f>F8</f>
        <v>403</v>
      </c>
    </row>
    <row r="9" spans="1:8" x14ac:dyDescent="0.2">
      <c r="A9" s="40">
        <f>A8+1</f>
        <v>2</v>
      </c>
      <c r="B9" s="314">
        <v>36770</v>
      </c>
      <c r="C9" s="55" t="s">
        <v>349</v>
      </c>
      <c r="D9" s="54"/>
      <c r="E9" s="397">
        <f>ASS!U47</f>
        <v>0.20499999999999999</v>
      </c>
      <c r="F9" s="56">
        <f t="shared" ref="F9:F24" si="0">E9*$D$3</f>
        <v>2665</v>
      </c>
      <c r="G9" s="63">
        <f>F9+G8</f>
        <v>3068</v>
      </c>
    </row>
    <row r="10" spans="1:8" x14ac:dyDescent="0.2">
      <c r="A10" s="40">
        <f t="shared" ref="A10:A25" si="1">A9+1</f>
        <v>3</v>
      </c>
      <c r="B10" s="314">
        <v>36800</v>
      </c>
      <c r="C10" s="40" t="s">
        <v>353</v>
      </c>
      <c r="D10" s="54"/>
      <c r="E10" s="397">
        <f>ASS!U48</f>
        <v>0</v>
      </c>
      <c r="F10" s="56">
        <f t="shared" si="0"/>
        <v>0</v>
      </c>
      <c r="G10" s="63">
        <f t="shared" ref="G10:G25" si="2">F10+G9</f>
        <v>3068</v>
      </c>
    </row>
    <row r="11" spans="1:8" customFormat="1" x14ac:dyDescent="0.2">
      <c r="A11" s="40">
        <f t="shared" si="1"/>
        <v>4</v>
      </c>
      <c r="B11" s="314">
        <v>36831</v>
      </c>
      <c r="C11" s="40" t="s">
        <v>348</v>
      </c>
      <c r="D11" s="54"/>
      <c r="E11" s="397">
        <f>ASS!U49</f>
        <v>6.3E-2</v>
      </c>
      <c r="F11" s="56">
        <f t="shared" si="0"/>
        <v>819</v>
      </c>
      <c r="G11" s="63">
        <f t="shared" si="2"/>
        <v>3887</v>
      </c>
      <c r="H11" s="40"/>
    </row>
    <row r="12" spans="1:8" customFormat="1" x14ac:dyDescent="0.2">
      <c r="A12" s="40">
        <f t="shared" si="1"/>
        <v>5</v>
      </c>
      <c r="B12" s="314">
        <v>36861</v>
      </c>
      <c r="C12" s="55" t="s">
        <v>350</v>
      </c>
      <c r="D12" s="54"/>
      <c r="E12" s="397">
        <f>ASS!U50</f>
        <v>0.7</v>
      </c>
      <c r="F12" s="56">
        <f t="shared" si="0"/>
        <v>9100</v>
      </c>
      <c r="G12" s="63">
        <f t="shared" si="2"/>
        <v>12987</v>
      </c>
      <c r="H12" s="40"/>
    </row>
    <row r="13" spans="1:8" customFormat="1" x14ac:dyDescent="0.2">
      <c r="A13" s="40">
        <f t="shared" si="1"/>
        <v>6</v>
      </c>
      <c r="B13" s="314">
        <v>36892</v>
      </c>
      <c r="C13" s="55" t="s">
        <v>351</v>
      </c>
      <c r="D13" s="54"/>
      <c r="E13" s="137">
        <v>0</v>
      </c>
      <c r="F13" s="56">
        <f t="shared" si="0"/>
        <v>0</v>
      </c>
      <c r="G13" s="63">
        <f t="shared" si="2"/>
        <v>12987</v>
      </c>
      <c r="H13" s="40"/>
    </row>
    <row r="14" spans="1:8" customFormat="1" x14ac:dyDescent="0.2">
      <c r="A14" s="40">
        <f t="shared" si="1"/>
        <v>7</v>
      </c>
      <c r="B14" s="314">
        <v>36923</v>
      </c>
      <c r="C14" s="55" t="s">
        <v>351</v>
      </c>
      <c r="D14" s="54"/>
      <c r="E14" s="137">
        <f t="shared" ref="E14:E24" si="3">IF(TERM_C&gt;=A14, 1/TERM_C, 0)</f>
        <v>0</v>
      </c>
      <c r="F14" s="56">
        <f t="shared" si="0"/>
        <v>0</v>
      </c>
      <c r="G14" s="63">
        <f t="shared" si="2"/>
        <v>12987</v>
      </c>
      <c r="H14" s="40"/>
    </row>
    <row r="15" spans="1:8" customFormat="1" x14ac:dyDescent="0.2">
      <c r="A15" s="40">
        <f t="shared" si="1"/>
        <v>8</v>
      </c>
      <c r="B15" s="314">
        <v>36951</v>
      </c>
      <c r="C15" s="55" t="s">
        <v>351</v>
      </c>
      <c r="D15" s="54"/>
      <c r="E15" s="137">
        <f t="shared" si="3"/>
        <v>0</v>
      </c>
      <c r="F15" s="56">
        <f t="shared" si="0"/>
        <v>0</v>
      </c>
      <c r="G15" s="63">
        <f t="shared" si="2"/>
        <v>12987</v>
      </c>
      <c r="H15" s="40"/>
    </row>
    <row r="16" spans="1:8" customFormat="1" x14ac:dyDescent="0.2">
      <c r="A16" s="40">
        <f t="shared" si="1"/>
        <v>9</v>
      </c>
      <c r="B16" s="314">
        <v>36982</v>
      </c>
      <c r="C16" s="55" t="s">
        <v>351</v>
      </c>
      <c r="D16" s="54"/>
      <c r="E16" s="137">
        <f t="shared" si="3"/>
        <v>0</v>
      </c>
      <c r="F16" s="56">
        <f t="shared" si="0"/>
        <v>0</v>
      </c>
      <c r="G16" s="63">
        <f t="shared" si="2"/>
        <v>12987</v>
      </c>
      <c r="H16" s="40"/>
    </row>
    <row r="17" spans="1:8" customFormat="1" x14ac:dyDescent="0.2">
      <c r="A17" s="40">
        <f t="shared" si="1"/>
        <v>10</v>
      </c>
      <c r="B17" s="314">
        <v>37012</v>
      </c>
      <c r="C17" s="55" t="s">
        <v>351</v>
      </c>
      <c r="D17" s="54"/>
      <c r="E17" s="137">
        <f t="shared" si="3"/>
        <v>0</v>
      </c>
      <c r="F17" s="56">
        <f t="shared" si="0"/>
        <v>0</v>
      </c>
      <c r="G17" s="63">
        <f t="shared" si="2"/>
        <v>12987</v>
      </c>
      <c r="H17" s="40"/>
    </row>
    <row r="18" spans="1:8" customFormat="1" x14ac:dyDescent="0.2">
      <c r="A18" s="40">
        <f t="shared" si="1"/>
        <v>11</v>
      </c>
      <c r="B18" s="314">
        <v>37043</v>
      </c>
      <c r="C18" s="55" t="s">
        <v>352</v>
      </c>
      <c r="D18" s="54"/>
      <c r="E18" s="137">
        <f t="shared" si="3"/>
        <v>0</v>
      </c>
      <c r="F18" s="56">
        <f t="shared" si="0"/>
        <v>0</v>
      </c>
      <c r="G18" s="63">
        <f t="shared" si="2"/>
        <v>12987</v>
      </c>
      <c r="H18" s="40"/>
    </row>
    <row r="19" spans="1:8" customFormat="1" x14ac:dyDescent="0.2">
      <c r="A19" s="40">
        <f t="shared" si="1"/>
        <v>12</v>
      </c>
      <c r="B19" s="314">
        <v>37073</v>
      </c>
      <c r="C19" s="55" t="s">
        <v>352</v>
      </c>
      <c r="D19" s="54"/>
      <c r="E19" s="137">
        <f t="shared" si="3"/>
        <v>0</v>
      </c>
      <c r="F19" s="56">
        <f t="shared" si="0"/>
        <v>0</v>
      </c>
      <c r="G19" s="63">
        <f t="shared" si="2"/>
        <v>12987</v>
      </c>
      <c r="H19" s="40"/>
    </row>
    <row r="20" spans="1:8" customFormat="1" x14ac:dyDescent="0.2">
      <c r="A20" s="40">
        <f t="shared" si="1"/>
        <v>13</v>
      </c>
      <c r="B20" s="314">
        <v>37104</v>
      </c>
      <c r="C20" s="55" t="s">
        <v>352</v>
      </c>
      <c r="D20" s="54"/>
      <c r="E20" s="137">
        <f t="shared" si="3"/>
        <v>0</v>
      </c>
      <c r="F20" s="56">
        <f t="shared" si="0"/>
        <v>0</v>
      </c>
      <c r="G20" s="63">
        <f t="shared" si="2"/>
        <v>12987</v>
      </c>
      <c r="H20" s="40"/>
    </row>
    <row r="21" spans="1:8" customFormat="1" x14ac:dyDescent="0.2">
      <c r="A21" s="40">
        <f t="shared" si="1"/>
        <v>14</v>
      </c>
      <c r="B21" s="314">
        <v>37135</v>
      </c>
      <c r="C21" s="55" t="s">
        <v>352</v>
      </c>
      <c r="D21" s="54"/>
      <c r="E21" s="137">
        <f t="shared" si="3"/>
        <v>0</v>
      </c>
      <c r="F21" s="56">
        <f t="shared" si="0"/>
        <v>0</v>
      </c>
      <c r="G21" s="63">
        <f t="shared" si="2"/>
        <v>12987</v>
      </c>
      <c r="H21" s="40"/>
    </row>
    <row r="22" spans="1:8" x14ac:dyDescent="0.2">
      <c r="A22" s="40">
        <f t="shared" si="1"/>
        <v>15</v>
      </c>
      <c r="B22" s="314">
        <v>37165</v>
      </c>
      <c r="C22" s="55" t="s">
        <v>352</v>
      </c>
      <c r="D22" s="54"/>
      <c r="E22" s="137">
        <f t="shared" si="3"/>
        <v>0</v>
      </c>
      <c r="F22" s="56">
        <f t="shared" si="0"/>
        <v>0</v>
      </c>
      <c r="G22" s="63">
        <f t="shared" si="2"/>
        <v>12987</v>
      </c>
    </row>
    <row r="23" spans="1:8" x14ac:dyDescent="0.2">
      <c r="A23" s="40">
        <f t="shared" si="1"/>
        <v>16</v>
      </c>
      <c r="B23" s="314">
        <v>37196</v>
      </c>
      <c r="C23" s="55" t="s">
        <v>352</v>
      </c>
      <c r="D23" s="54"/>
      <c r="E23" s="137">
        <f t="shared" si="3"/>
        <v>0</v>
      </c>
      <c r="F23" s="56">
        <f t="shared" si="0"/>
        <v>0</v>
      </c>
      <c r="G23" s="63">
        <f t="shared" si="2"/>
        <v>12987</v>
      </c>
    </row>
    <row r="24" spans="1:8" x14ac:dyDescent="0.2">
      <c r="A24" s="40">
        <f t="shared" si="1"/>
        <v>17</v>
      </c>
      <c r="B24" s="314">
        <v>37226</v>
      </c>
      <c r="C24" s="55" t="s">
        <v>352</v>
      </c>
      <c r="D24" s="54"/>
      <c r="E24" s="137">
        <f t="shared" si="3"/>
        <v>0</v>
      </c>
      <c r="F24" s="56">
        <f t="shared" si="0"/>
        <v>0</v>
      </c>
      <c r="G24" s="63">
        <f t="shared" si="2"/>
        <v>12987</v>
      </c>
    </row>
    <row r="25" spans="1:8" x14ac:dyDescent="0.2">
      <c r="A25" s="40">
        <f t="shared" si="1"/>
        <v>18</v>
      </c>
      <c r="B25" s="314">
        <v>37257</v>
      </c>
      <c r="C25" s="55" t="s">
        <v>352</v>
      </c>
      <c r="D25" s="54"/>
      <c r="E25" s="137">
        <f t="shared" ref="E25:E40" si="4">IF(TERM_C&gt;=A25, 1/TERM_C, 0)</f>
        <v>0</v>
      </c>
      <c r="F25" s="56">
        <f t="shared" ref="F25:F40" si="5">E25*$D$3</f>
        <v>0</v>
      </c>
      <c r="G25" s="63">
        <f t="shared" si="2"/>
        <v>12987</v>
      </c>
    </row>
    <row r="26" spans="1:8" x14ac:dyDescent="0.2">
      <c r="A26" s="40">
        <f t="shared" ref="A26:A41" si="6">A25+1</f>
        <v>19</v>
      </c>
      <c r="B26" s="314">
        <v>37288</v>
      </c>
      <c r="C26" s="55" t="s">
        <v>352</v>
      </c>
      <c r="D26" s="54"/>
      <c r="E26" s="137">
        <f t="shared" si="4"/>
        <v>0</v>
      </c>
      <c r="F26" s="56">
        <f t="shared" si="5"/>
        <v>0</v>
      </c>
      <c r="G26" s="63">
        <f t="shared" ref="G26:G41" si="7">F26+G25</f>
        <v>12987</v>
      </c>
    </row>
    <row r="27" spans="1:8" x14ac:dyDescent="0.2">
      <c r="A27" s="40">
        <f t="shared" si="6"/>
        <v>20</v>
      </c>
      <c r="B27" s="314">
        <v>37316</v>
      </c>
      <c r="C27" s="55" t="s">
        <v>352</v>
      </c>
      <c r="D27" s="54"/>
      <c r="E27" s="137">
        <f t="shared" si="4"/>
        <v>0</v>
      </c>
      <c r="F27" s="56">
        <f t="shared" si="5"/>
        <v>0</v>
      </c>
      <c r="G27" s="63">
        <f t="shared" si="7"/>
        <v>12987</v>
      </c>
    </row>
    <row r="28" spans="1:8" x14ac:dyDescent="0.2">
      <c r="A28" s="40">
        <f t="shared" si="6"/>
        <v>21</v>
      </c>
      <c r="B28" s="314">
        <v>37347</v>
      </c>
      <c r="C28" s="55" t="s">
        <v>352</v>
      </c>
      <c r="D28" s="54"/>
      <c r="E28" s="137">
        <f t="shared" si="4"/>
        <v>0</v>
      </c>
      <c r="F28" s="56">
        <f t="shared" si="5"/>
        <v>0</v>
      </c>
      <c r="G28" s="63">
        <f t="shared" si="7"/>
        <v>12987</v>
      </c>
    </row>
    <row r="29" spans="1:8" x14ac:dyDescent="0.2">
      <c r="A29" s="40">
        <f t="shared" si="6"/>
        <v>22</v>
      </c>
      <c r="B29" s="314">
        <v>37377</v>
      </c>
      <c r="C29" s="55" t="s">
        <v>352</v>
      </c>
      <c r="D29" s="54"/>
      <c r="E29" s="137">
        <f t="shared" si="4"/>
        <v>0</v>
      </c>
      <c r="F29" s="56">
        <f t="shared" si="5"/>
        <v>0</v>
      </c>
      <c r="G29" s="63">
        <f t="shared" si="7"/>
        <v>12987</v>
      </c>
    </row>
    <row r="30" spans="1:8" x14ac:dyDescent="0.2">
      <c r="A30" s="40">
        <f t="shared" si="6"/>
        <v>23</v>
      </c>
      <c r="B30" s="314">
        <v>37408</v>
      </c>
      <c r="C30" s="55" t="s">
        <v>352</v>
      </c>
      <c r="D30" s="54"/>
      <c r="E30" s="137">
        <f t="shared" si="4"/>
        <v>0</v>
      </c>
      <c r="F30" s="56">
        <f t="shared" si="5"/>
        <v>0</v>
      </c>
      <c r="G30" s="63">
        <f t="shared" si="7"/>
        <v>12987</v>
      </c>
    </row>
    <row r="31" spans="1:8" x14ac:dyDescent="0.2">
      <c r="A31" s="40">
        <f t="shared" si="6"/>
        <v>24</v>
      </c>
      <c r="B31" s="314">
        <v>37438</v>
      </c>
      <c r="C31" s="55" t="s">
        <v>352</v>
      </c>
      <c r="D31" s="54"/>
      <c r="E31" s="137">
        <f t="shared" si="4"/>
        <v>0</v>
      </c>
      <c r="F31" s="56">
        <f t="shared" si="5"/>
        <v>0</v>
      </c>
      <c r="G31" s="63">
        <f t="shared" si="7"/>
        <v>12987</v>
      </c>
    </row>
    <row r="32" spans="1:8" x14ac:dyDescent="0.2">
      <c r="A32" s="40">
        <f t="shared" si="6"/>
        <v>25</v>
      </c>
      <c r="B32" s="314">
        <v>37469</v>
      </c>
      <c r="C32" s="55" t="s">
        <v>352</v>
      </c>
      <c r="D32" s="54"/>
      <c r="E32" s="137">
        <f t="shared" si="4"/>
        <v>0</v>
      </c>
      <c r="F32" s="56">
        <f t="shared" si="5"/>
        <v>0</v>
      </c>
      <c r="G32" s="63">
        <f t="shared" si="7"/>
        <v>12987</v>
      </c>
    </row>
    <row r="33" spans="1:7" x14ac:dyDescent="0.2">
      <c r="A33" s="40">
        <f t="shared" si="6"/>
        <v>26</v>
      </c>
      <c r="B33" s="314">
        <v>37500</v>
      </c>
      <c r="C33" s="55" t="s">
        <v>352</v>
      </c>
      <c r="D33" s="54"/>
      <c r="E33" s="137">
        <f t="shared" si="4"/>
        <v>0</v>
      </c>
      <c r="F33" s="56">
        <f t="shared" si="5"/>
        <v>0</v>
      </c>
      <c r="G33" s="63">
        <f t="shared" si="7"/>
        <v>12987</v>
      </c>
    </row>
    <row r="34" spans="1:7" x14ac:dyDescent="0.2">
      <c r="A34" s="40">
        <f t="shared" si="6"/>
        <v>27</v>
      </c>
      <c r="B34" s="314">
        <v>37530</v>
      </c>
      <c r="C34" s="55" t="s">
        <v>352</v>
      </c>
      <c r="D34" s="54"/>
      <c r="E34" s="137">
        <f t="shared" si="4"/>
        <v>0</v>
      </c>
      <c r="F34" s="56">
        <f t="shared" si="5"/>
        <v>0</v>
      </c>
      <c r="G34" s="63">
        <f t="shared" si="7"/>
        <v>12987</v>
      </c>
    </row>
    <row r="35" spans="1:7" x14ac:dyDescent="0.2">
      <c r="A35" s="40">
        <f t="shared" si="6"/>
        <v>28</v>
      </c>
      <c r="B35" s="314">
        <v>37561</v>
      </c>
      <c r="C35" s="55" t="s">
        <v>352</v>
      </c>
      <c r="D35" s="54"/>
      <c r="E35" s="137">
        <f t="shared" si="4"/>
        <v>0</v>
      </c>
      <c r="F35" s="56">
        <f t="shared" si="5"/>
        <v>0</v>
      </c>
      <c r="G35" s="63">
        <f t="shared" si="7"/>
        <v>12987</v>
      </c>
    </row>
    <row r="36" spans="1:7" x14ac:dyDescent="0.2">
      <c r="A36" s="40">
        <f t="shared" si="6"/>
        <v>29</v>
      </c>
      <c r="B36" s="314">
        <v>37591</v>
      </c>
      <c r="C36" s="55" t="s">
        <v>352</v>
      </c>
      <c r="D36" s="54"/>
      <c r="E36" s="137">
        <f t="shared" si="4"/>
        <v>0</v>
      </c>
      <c r="F36" s="56">
        <f t="shared" si="5"/>
        <v>0</v>
      </c>
      <c r="G36" s="63">
        <f t="shared" si="7"/>
        <v>12987</v>
      </c>
    </row>
    <row r="37" spans="1:7" x14ac:dyDescent="0.2">
      <c r="A37" s="40">
        <f t="shared" si="6"/>
        <v>30</v>
      </c>
      <c r="B37" s="314">
        <v>37622</v>
      </c>
      <c r="C37" s="55" t="s">
        <v>352</v>
      </c>
      <c r="D37" s="54"/>
      <c r="E37" s="137">
        <f t="shared" si="4"/>
        <v>0</v>
      </c>
      <c r="F37" s="56">
        <f t="shared" si="5"/>
        <v>0</v>
      </c>
      <c r="G37" s="63">
        <f t="shared" si="7"/>
        <v>12987</v>
      </c>
    </row>
    <row r="38" spans="1:7" x14ac:dyDescent="0.2">
      <c r="A38" s="40">
        <f t="shared" si="6"/>
        <v>31</v>
      </c>
      <c r="B38" s="314">
        <v>37653</v>
      </c>
      <c r="C38" s="55" t="s">
        <v>352</v>
      </c>
      <c r="D38" s="54"/>
      <c r="E38" s="137">
        <f t="shared" si="4"/>
        <v>0</v>
      </c>
      <c r="F38" s="56">
        <f t="shared" si="5"/>
        <v>0</v>
      </c>
      <c r="G38" s="63">
        <f t="shared" si="7"/>
        <v>12987</v>
      </c>
    </row>
    <row r="39" spans="1:7" x14ac:dyDescent="0.2">
      <c r="A39" s="40">
        <f t="shared" si="6"/>
        <v>32</v>
      </c>
      <c r="B39" s="314">
        <v>37681</v>
      </c>
      <c r="C39" s="55" t="s">
        <v>352</v>
      </c>
      <c r="D39" s="54"/>
      <c r="E39" s="137">
        <f t="shared" si="4"/>
        <v>0</v>
      </c>
      <c r="F39" s="56">
        <f t="shared" si="5"/>
        <v>0</v>
      </c>
      <c r="G39" s="63">
        <f t="shared" si="7"/>
        <v>12987</v>
      </c>
    </row>
    <row r="40" spans="1:7" x14ac:dyDescent="0.2">
      <c r="A40" s="40">
        <f t="shared" si="6"/>
        <v>33</v>
      </c>
      <c r="B40" s="314">
        <v>37712</v>
      </c>
      <c r="C40" s="55" t="s">
        <v>352</v>
      </c>
      <c r="D40" s="54"/>
      <c r="E40" s="137">
        <f t="shared" si="4"/>
        <v>0</v>
      </c>
      <c r="F40" s="56">
        <f t="shared" si="5"/>
        <v>0</v>
      </c>
      <c r="G40" s="63">
        <f t="shared" si="7"/>
        <v>12987</v>
      </c>
    </row>
    <row r="41" spans="1:7" x14ac:dyDescent="0.2">
      <c r="A41" s="40">
        <f t="shared" si="6"/>
        <v>34</v>
      </c>
      <c r="B41" s="314">
        <v>37742</v>
      </c>
      <c r="C41" s="55" t="s">
        <v>352</v>
      </c>
      <c r="D41" s="54"/>
      <c r="E41" s="137">
        <f t="shared" ref="E41:E56" si="8">IF(TERM_C&gt;=A41, 1/TERM_C, 0)</f>
        <v>0</v>
      </c>
      <c r="F41" s="56">
        <f t="shared" ref="F41:F56" si="9">E41*$D$3</f>
        <v>0</v>
      </c>
      <c r="G41" s="63">
        <f t="shared" si="7"/>
        <v>12987</v>
      </c>
    </row>
    <row r="42" spans="1:7" x14ac:dyDescent="0.2">
      <c r="A42" s="40">
        <f t="shared" ref="A42:A57" si="10">A41+1</f>
        <v>35</v>
      </c>
      <c r="B42" s="314">
        <v>37773</v>
      </c>
      <c r="C42" s="55" t="s">
        <v>352</v>
      </c>
      <c r="D42" s="54"/>
      <c r="E42" s="137">
        <f t="shared" si="8"/>
        <v>0</v>
      </c>
      <c r="F42" s="56">
        <f t="shared" si="9"/>
        <v>0</v>
      </c>
      <c r="G42" s="63">
        <f t="shared" ref="G42:G57" si="11">F42+G41</f>
        <v>12987</v>
      </c>
    </row>
    <row r="43" spans="1:7" x14ac:dyDescent="0.2">
      <c r="A43" s="40">
        <f t="shared" si="10"/>
        <v>36</v>
      </c>
      <c r="B43" s="314">
        <v>37803</v>
      </c>
      <c r="C43" s="55" t="s">
        <v>352</v>
      </c>
      <c r="D43" s="54"/>
      <c r="E43" s="137">
        <f t="shared" si="8"/>
        <v>0</v>
      </c>
      <c r="F43" s="56">
        <f t="shared" si="9"/>
        <v>0</v>
      </c>
      <c r="G43" s="63">
        <f t="shared" si="11"/>
        <v>12987</v>
      </c>
    </row>
    <row r="44" spans="1:7" x14ac:dyDescent="0.2">
      <c r="A44" s="40">
        <f t="shared" si="10"/>
        <v>37</v>
      </c>
      <c r="B44" s="314">
        <v>37834</v>
      </c>
      <c r="C44" s="55" t="s">
        <v>352</v>
      </c>
      <c r="D44" s="54"/>
      <c r="E44" s="137">
        <f t="shared" si="8"/>
        <v>0</v>
      </c>
      <c r="F44" s="56">
        <f t="shared" si="9"/>
        <v>0</v>
      </c>
      <c r="G44" s="63">
        <f t="shared" si="11"/>
        <v>12987</v>
      </c>
    </row>
    <row r="45" spans="1:7" x14ac:dyDescent="0.2">
      <c r="A45" s="40">
        <f t="shared" si="10"/>
        <v>38</v>
      </c>
      <c r="B45" s="314">
        <v>37865</v>
      </c>
      <c r="C45" s="55" t="s">
        <v>352</v>
      </c>
      <c r="D45" s="54"/>
      <c r="E45" s="137">
        <f t="shared" si="8"/>
        <v>0</v>
      </c>
      <c r="F45" s="56">
        <f t="shared" si="9"/>
        <v>0</v>
      </c>
      <c r="G45" s="63">
        <f t="shared" si="11"/>
        <v>12987</v>
      </c>
    </row>
    <row r="46" spans="1:7" x14ac:dyDescent="0.2">
      <c r="A46" s="40">
        <f t="shared" si="10"/>
        <v>39</v>
      </c>
      <c r="B46" s="314">
        <v>37895</v>
      </c>
      <c r="C46" s="55" t="s">
        <v>352</v>
      </c>
      <c r="D46" s="54"/>
      <c r="E46" s="137">
        <f t="shared" si="8"/>
        <v>0</v>
      </c>
      <c r="F46" s="56">
        <f t="shared" si="9"/>
        <v>0</v>
      </c>
      <c r="G46" s="63">
        <f t="shared" si="11"/>
        <v>12987</v>
      </c>
    </row>
    <row r="47" spans="1:7" x14ac:dyDescent="0.2">
      <c r="A47" s="40">
        <f t="shared" si="10"/>
        <v>40</v>
      </c>
      <c r="B47" s="314">
        <v>37926</v>
      </c>
      <c r="C47" s="55" t="s">
        <v>352</v>
      </c>
      <c r="D47" s="54"/>
      <c r="E47" s="137">
        <f t="shared" si="8"/>
        <v>0</v>
      </c>
      <c r="F47" s="56">
        <f t="shared" si="9"/>
        <v>0</v>
      </c>
      <c r="G47" s="63">
        <f t="shared" si="11"/>
        <v>12987</v>
      </c>
    </row>
    <row r="48" spans="1:7" x14ac:dyDescent="0.2">
      <c r="A48" s="40">
        <f t="shared" si="10"/>
        <v>41</v>
      </c>
      <c r="B48" s="314">
        <v>37956</v>
      </c>
      <c r="C48" s="55" t="s">
        <v>352</v>
      </c>
      <c r="D48" s="54"/>
      <c r="E48" s="137">
        <f t="shared" si="8"/>
        <v>0</v>
      </c>
      <c r="F48" s="56">
        <f t="shared" si="9"/>
        <v>0</v>
      </c>
      <c r="G48" s="63">
        <f t="shared" si="11"/>
        <v>12987</v>
      </c>
    </row>
    <row r="49" spans="1:7" x14ac:dyDescent="0.2">
      <c r="A49" s="40">
        <f t="shared" si="10"/>
        <v>42</v>
      </c>
      <c r="B49" s="314">
        <v>37987</v>
      </c>
      <c r="C49" s="55"/>
      <c r="D49" s="54"/>
      <c r="E49" s="137">
        <f t="shared" si="8"/>
        <v>0</v>
      </c>
      <c r="F49" s="56">
        <f t="shared" si="9"/>
        <v>0</v>
      </c>
      <c r="G49" s="63">
        <f t="shared" si="11"/>
        <v>12987</v>
      </c>
    </row>
    <row r="50" spans="1:7" x14ac:dyDescent="0.2">
      <c r="A50" s="40">
        <f t="shared" si="10"/>
        <v>43</v>
      </c>
      <c r="B50" s="314">
        <v>38018</v>
      </c>
      <c r="C50" s="55"/>
      <c r="D50" s="54"/>
      <c r="E50" s="137">
        <f t="shared" si="8"/>
        <v>0</v>
      </c>
      <c r="F50" s="56">
        <f t="shared" si="9"/>
        <v>0</v>
      </c>
      <c r="G50" s="63">
        <f t="shared" si="11"/>
        <v>12987</v>
      </c>
    </row>
    <row r="51" spans="1:7" x14ac:dyDescent="0.2">
      <c r="A51" s="40">
        <f t="shared" si="10"/>
        <v>44</v>
      </c>
      <c r="B51" s="314">
        <v>38047</v>
      </c>
      <c r="C51" s="55"/>
      <c r="D51" s="54"/>
      <c r="E51" s="137">
        <f t="shared" si="8"/>
        <v>0</v>
      </c>
      <c r="F51" s="56">
        <f t="shared" si="9"/>
        <v>0</v>
      </c>
      <c r="G51" s="63">
        <f t="shared" si="11"/>
        <v>12987</v>
      </c>
    </row>
    <row r="52" spans="1:7" x14ac:dyDescent="0.2">
      <c r="A52" s="40">
        <f t="shared" si="10"/>
        <v>45</v>
      </c>
      <c r="B52" s="314">
        <v>38078</v>
      </c>
      <c r="C52" s="55"/>
      <c r="D52" s="54"/>
      <c r="E52" s="137">
        <f t="shared" si="8"/>
        <v>0</v>
      </c>
      <c r="F52" s="56">
        <f t="shared" si="9"/>
        <v>0</v>
      </c>
      <c r="G52" s="63">
        <f t="shared" si="11"/>
        <v>12987</v>
      </c>
    </row>
    <row r="53" spans="1:7" x14ac:dyDescent="0.2">
      <c r="A53" s="40">
        <f t="shared" si="10"/>
        <v>46</v>
      </c>
      <c r="B53" s="314">
        <v>38108</v>
      </c>
      <c r="C53" s="55"/>
      <c r="D53" s="54"/>
      <c r="E53" s="137">
        <f t="shared" si="8"/>
        <v>0</v>
      </c>
      <c r="F53" s="56">
        <f t="shared" si="9"/>
        <v>0</v>
      </c>
      <c r="G53" s="63">
        <f t="shared" si="11"/>
        <v>12987</v>
      </c>
    </row>
    <row r="54" spans="1:7" x14ac:dyDescent="0.2">
      <c r="A54" s="40">
        <f t="shared" si="10"/>
        <v>47</v>
      </c>
      <c r="B54" s="314">
        <v>38139</v>
      </c>
      <c r="C54" s="55"/>
      <c r="D54" s="54"/>
      <c r="E54" s="137">
        <f t="shared" si="8"/>
        <v>0</v>
      </c>
      <c r="F54" s="56">
        <f t="shared" si="9"/>
        <v>0</v>
      </c>
      <c r="G54" s="63">
        <f t="shared" si="11"/>
        <v>12987</v>
      </c>
    </row>
    <row r="55" spans="1:7" x14ac:dyDescent="0.2">
      <c r="A55" s="40">
        <f t="shared" si="10"/>
        <v>48</v>
      </c>
      <c r="B55" s="314">
        <v>38169</v>
      </c>
      <c r="C55" s="55"/>
      <c r="D55" s="54"/>
      <c r="E55" s="137">
        <f t="shared" si="8"/>
        <v>0</v>
      </c>
      <c r="F55" s="56">
        <f t="shared" si="9"/>
        <v>0</v>
      </c>
      <c r="G55" s="63">
        <f t="shared" si="11"/>
        <v>12987</v>
      </c>
    </row>
    <row r="56" spans="1:7" x14ac:dyDescent="0.2">
      <c r="A56" s="40">
        <f t="shared" si="10"/>
        <v>49</v>
      </c>
      <c r="B56" s="314">
        <v>38200</v>
      </c>
      <c r="C56" s="55"/>
      <c r="D56" s="54"/>
      <c r="E56" s="137">
        <f t="shared" si="8"/>
        <v>0</v>
      </c>
      <c r="F56" s="56">
        <f t="shared" si="9"/>
        <v>0</v>
      </c>
      <c r="G56" s="63">
        <f t="shared" si="11"/>
        <v>12987</v>
      </c>
    </row>
    <row r="57" spans="1:7" x14ac:dyDescent="0.2">
      <c r="A57" s="40">
        <f t="shared" si="10"/>
        <v>50</v>
      </c>
      <c r="B57" s="314">
        <v>38231</v>
      </c>
      <c r="C57" s="55"/>
      <c r="D57" s="54"/>
      <c r="E57" s="137">
        <f t="shared" ref="E57:E67" si="12">IF(TERM_C&gt;=A57, 1/TERM_C, 0)</f>
        <v>0</v>
      </c>
      <c r="F57" s="56">
        <f t="shared" ref="F57:F67" si="13">E57*$D$3</f>
        <v>0</v>
      </c>
      <c r="G57" s="63">
        <f t="shared" si="11"/>
        <v>12987</v>
      </c>
    </row>
    <row r="58" spans="1:7" x14ac:dyDescent="0.2">
      <c r="A58" s="40">
        <f t="shared" ref="A58:A67" si="14">A57+1</f>
        <v>51</v>
      </c>
      <c r="B58" s="314">
        <v>38261</v>
      </c>
      <c r="C58" s="55"/>
      <c r="D58" s="54"/>
      <c r="E58" s="137">
        <f t="shared" si="12"/>
        <v>0</v>
      </c>
      <c r="F58" s="56">
        <f t="shared" si="13"/>
        <v>0</v>
      </c>
      <c r="G58" s="63">
        <f t="shared" ref="G58:G67" si="15">F58+G57</f>
        <v>12987</v>
      </c>
    </row>
    <row r="59" spans="1:7" x14ac:dyDescent="0.2">
      <c r="A59" s="40">
        <f t="shared" si="14"/>
        <v>52</v>
      </c>
      <c r="B59" s="314">
        <v>38292</v>
      </c>
      <c r="C59" s="55"/>
      <c r="D59" s="54"/>
      <c r="E59" s="137">
        <f t="shared" si="12"/>
        <v>0</v>
      </c>
      <c r="F59" s="56">
        <f t="shared" si="13"/>
        <v>0</v>
      </c>
      <c r="G59" s="63">
        <f t="shared" si="15"/>
        <v>12987</v>
      </c>
    </row>
    <row r="60" spans="1:7" x14ac:dyDescent="0.2">
      <c r="A60" s="40">
        <f t="shared" si="14"/>
        <v>53</v>
      </c>
      <c r="B60" s="314">
        <v>38322</v>
      </c>
      <c r="C60" s="55"/>
      <c r="D60" s="54"/>
      <c r="E60" s="137">
        <f t="shared" si="12"/>
        <v>0</v>
      </c>
      <c r="F60" s="56">
        <f t="shared" si="13"/>
        <v>0</v>
      </c>
      <c r="G60" s="63">
        <f t="shared" si="15"/>
        <v>12987</v>
      </c>
    </row>
    <row r="61" spans="1:7" x14ac:dyDescent="0.2">
      <c r="A61" s="40">
        <f t="shared" si="14"/>
        <v>54</v>
      </c>
      <c r="B61" s="314">
        <v>38353</v>
      </c>
      <c r="C61" s="55"/>
      <c r="D61" s="54"/>
      <c r="E61" s="137">
        <f t="shared" si="12"/>
        <v>0</v>
      </c>
      <c r="F61" s="56">
        <f t="shared" si="13"/>
        <v>0</v>
      </c>
      <c r="G61" s="63">
        <f t="shared" si="15"/>
        <v>12987</v>
      </c>
    </row>
    <row r="62" spans="1:7" x14ac:dyDescent="0.2">
      <c r="A62" s="40">
        <f t="shared" si="14"/>
        <v>55</v>
      </c>
      <c r="B62" s="314">
        <v>38384</v>
      </c>
      <c r="C62" s="55"/>
      <c r="D62" s="54"/>
      <c r="E62" s="137">
        <f t="shared" si="12"/>
        <v>0</v>
      </c>
      <c r="F62" s="56">
        <f t="shared" si="13"/>
        <v>0</v>
      </c>
      <c r="G62" s="63">
        <f t="shared" si="15"/>
        <v>12987</v>
      </c>
    </row>
    <row r="63" spans="1:7" x14ac:dyDescent="0.2">
      <c r="A63" s="40">
        <f t="shared" si="14"/>
        <v>56</v>
      </c>
      <c r="B63" s="314">
        <v>38412</v>
      </c>
      <c r="C63" s="55"/>
      <c r="D63" s="54"/>
      <c r="E63" s="137">
        <f t="shared" si="12"/>
        <v>0</v>
      </c>
      <c r="F63" s="56">
        <f t="shared" si="13"/>
        <v>0</v>
      </c>
      <c r="G63" s="63">
        <f t="shared" si="15"/>
        <v>12987</v>
      </c>
    </row>
    <row r="64" spans="1:7" x14ac:dyDescent="0.2">
      <c r="A64" s="40">
        <f t="shared" si="14"/>
        <v>57</v>
      </c>
      <c r="B64" s="314">
        <v>38443</v>
      </c>
      <c r="C64" s="55"/>
      <c r="D64" s="54"/>
      <c r="E64" s="137">
        <f t="shared" si="12"/>
        <v>0</v>
      </c>
      <c r="F64" s="56">
        <f t="shared" si="13"/>
        <v>0</v>
      </c>
      <c r="G64" s="63">
        <f t="shared" si="15"/>
        <v>12987</v>
      </c>
    </row>
    <row r="65" spans="1:7" x14ac:dyDescent="0.2">
      <c r="A65" s="40">
        <f t="shared" si="14"/>
        <v>58</v>
      </c>
      <c r="B65" s="314">
        <v>38473</v>
      </c>
      <c r="C65" s="55"/>
      <c r="D65" s="54"/>
      <c r="E65" s="137">
        <f t="shared" si="12"/>
        <v>0</v>
      </c>
      <c r="F65" s="56">
        <f t="shared" si="13"/>
        <v>0</v>
      </c>
      <c r="G65" s="63">
        <f t="shared" si="15"/>
        <v>12987</v>
      </c>
    </row>
    <row r="66" spans="1:7" x14ac:dyDescent="0.2">
      <c r="A66" s="40">
        <f t="shared" si="14"/>
        <v>59</v>
      </c>
      <c r="B66" s="314">
        <v>38504</v>
      </c>
      <c r="C66" s="55"/>
      <c r="D66" s="54"/>
      <c r="E66" s="137">
        <f t="shared" si="12"/>
        <v>0</v>
      </c>
      <c r="F66" s="56">
        <f t="shared" si="13"/>
        <v>0</v>
      </c>
      <c r="G66" s="63">
        <f t="shared" si="15"/>
        <v>12987</v>
      </c>
    </row>
    <row r="67" spans="1:7" x14ac:dyDescent="0.2">
      <c r="A67" s="40">
        <f t="shared" si="14"/>
        <v>60</v>
      </c>
      <c r="B67" s="314">
        <v>38534</v>
      </c>
      <c r="C67" s="55"/>
      <c r="D67" s="54"/>
      <c r="E67" s="137">
        <f t="shared" si="12"/>
        <v>0</v>
      </c>
      <c r="F67" s="56">
        <f t="shared" si="13"/>
        <v>0</v>
      </c>
      <c r="G67" s="63">
        <f t="shared" si="15"/>
        <v>12987</v>
      </c>
    </row>
    <row r="68" spans="1:7" ht="13.5" thickBot="1" x14ac:dyDescent="0.25">
      <c r="B68" s="43"/>
      <c r="C68" s="55"/>
      <c r="D68" s="54"/>
      <c r="E68" s="137" t="s">
        <v>5</v>
      </c>
      <c r="F68" s="55"/>
      <c r="G68" s="54"/>
    </row>
    <row r="69" spans="1:7" ht="14.25" thickTop="1" thickBot="1" x14ac:dyDescent="0.25">
      <c r="B69" s="227" t="s">
        <v>177</v>
      </c>
      <c r="C69" s="222"/>
      <c r="D69" s="228"/>
      <c r="E69" s="229">
        <f>SUM(E8:E68)</f>
        <v>0.99899999999999989</v>
      </c>
      <c r="F69" s="230">
        <f>SUM(F8:F68)</f>
        <v>12987</v>
      </c>
      <c r="G69" s="228"/>
    </row>
    <row r="70" spans="1:7" ht="13.5" thickTop="1" x14ac:dyDescent="0.2"/>
    <row r="72" spans="1:7" x14ac:dyDescent="0.2">
      <c r="A72" s="251">
        <v>1</v>
      </c>
      <c r="B72" s="251">
        <f t="shared" ref="B72:G72" si="16">A72+1</f>
        <v>2</v>
      </c>
      <c r="C72" s="251">
        <f t="shared" si="16"/>
        <v>3</v>
      </c>
      <c r="D72" s="251">
        <f t="shared" si="16"/>
        <v>4</v>
      </c>
      <c r="E72" s="251">
        <f t="shared" si="16"/>
        <v>5</v>
      </c>
      <c r="F72" s="251">
        <f t="shared" si="16"/>
        <v>6</v>
      </c>
      <c r="G72" s="251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topLeftCell="A12" workbookViewId="0">
      <selection activeCell="H7" sqref="H7"/>
    </sheetView>
  </sheetViews>
  <sheetFormatPr defaultRowHeight="12.75" x14ac:dyDescent="0.2"/>
  <cols>
    <col min="1" max="1" width="26.7109375" style="40" customWidth="1"/>
    <col min="2" max="2" width="10.7109375" style="40" customWidth="1"/>
    <col min="3" max="3" width="3.7109375" style="40" customWidth="1"/>
    <col min="4" max="16384" width="9.140625" style="40"/>
  </cols>
  <sheetData>
    <row r="1" spans="1:12" ht="15.75" x14ac:dyDescent="0.25">
      <c r="A1" s="154" t="s">
        <v>178</v>
      </c>
      <c r="B1" s="149"/>
      <c r="C1" s="150"/>
      <c r="D1" s="44"/>
    </row>
    <row r="2" spans="1:12" ht="15.75" x14ac:dyDescent="0.25">
      <c r="A2" s="151">
        <f>ASS!A4</f>
        <v>0</v>
      </c>
      <c r="B2" s="152"/>
      <c r="C2" s="153"/>
      <c r="D2" s="44"/>
    </row>
    <row r="4" spans="1:12" x14ac:dyDescent="0.2">
      <c r="A4" s="45" t="s">
        <v>179</v>
      </c>
      <c r="B4" s="52"/>
      <c r="C4" s="52"/>
      <c r="D4" s="52"/>
      <c r="E4" s="136">
        <f>1</f>
        <v>1</v>
      </c>
      <c r="F4" s="136">
        <f>E4+1</f>
        <v>2</v>
      </c>
      <c r="G4" s="136">
        <f>F4+1</f>
        <v>3</v>
      </c>
      <c r="H4" s="136">
        <f>G4+1</f>
        <v>4</v>
      </c>
      <c r="I4" s="136">
        <f>H4+1</f>
        <v>5</v>
      </c>
      <c r="J4" s="136">
        <f>I4+1</f>
        <v>6</v>
      </c>
      <c r="K4" s="41"/>
    </row>
    <row r="5" spans="1:12" x14ac:dyDescent="0.2">
      <c r="A5" s="122" t="s">
        <v>180</v>
      </c>
      <c r="B5" s="216"/>
      <c r="C5" s="216"/>
      <c r="D5" s="216"/>
      <c r="E5" s="400">
        <f>ASS!T46</f>
        <v>36739</v>
      </c>
      <c r="F5" s="400">
        <f>ASS!T47</f>
        <v>36770</v>
      </c>
      <c r="G5" s="400">
        <f>ASS!T48</f>
        <v>36800</v>
      </c>
      <c r="H5" s="400">
        <f>ASS!T49</f>
        <v>36831</v>
      </c>
      <c r="I5" s="400">
        <f>ASS!T50</f>
        <v>36861</v>
      </c>
      <c r="J5" s="400">
        <f>ASS!T51</f>
        <v>36892</v>
      </c>
      <c r="K5" s="176" t="s">
        <v>177</v>
      </c>
      <c r="L5" s="250">
        <v>1</v>
      </c>
    </row>
    <row r="6" spans="1:12" x14ac:dyDescent="0.2">
      <c r="L6" s="40">
        <f>L5+1</f>
        <v>2</v>
      </c>
    </row>
    <row r="7" spans="1:12" x14ac:dyDescent="0.2">
      <c r="L7" s="40">
        <f t="shared" ref="L7:L31" si="0">L6+1</f>
        <v>3</v>
      </c>
    </row>
    <row r="8" spans="1:12" x14ac:dyDescent="0.2">
      <c r="A8" s="87"/>
      <c r="B8" s="110" t="s">
        <v>181</v>
      </c>
      <c r="C8" s="110"/>
      <c r="D8" s="115" t="s">
        <v>182</v>
      </c>
      <c r="E8" s="52"/>
      <c r="F8" s="52"/>
      <c r="G8" s="52"/>
      <c r="H8" s="52"/>
      <c r="I8" s="52"/>
      <c r="J8" s="52"/>
      <c r="K8" s="41"/>
      <c r="L8" s="40">
        <f t="shared" si="0"/>
        <v>4</v>
      </c>
    </row>
    <row r="9" spans="1:12" x14ac:dyDescent="0.2">
      <c r="A9" s="94" t="s">
        <v>183</v>
      </c>
      <c r="B9" s="155">
        <f>COST</f>
        <v>13000</v>
      </c>
      <c r="C9" s="155"/>
      <c r="D9" s="155">
        <f>COST</f>
        <v>13000</v>
      </c>
      <c r="E9" s="55"/>
      <c r="F9" s="55"/>
      <c r="G9" s="55"/>
      <c r="H9" s="55"/>
      <c r="I9" s="55"/>
      <c r="J9" s="55"/>
      <c r="K9" s="43"/>
      <c r="L9" s="40">
        <f t="shared" si="0"/>
        <v>5</v>
      </c>
    </row>
    <row r="10" spans="1:12" x14ac:dyDescent="0.2">
      <c r="A10" s="94" t="s">
        <v>184</v>
      </c>
      <c r="B10" s="78"/>
      <c r="C10" s="78"/>
      <c r="D10" s="274">
        <f>ASS!V31</f>
        <v>0</v>
      </c>
      <c r="E10" s="55"/>
      <c r="F10" s="55"/>
      <c r="G10" s="55"/>
      <c r="H10" s="55"/>
      <c r="I10" s="55"/>
      <c r="J10" s="55"/>
      <c r="K10" s="43"/>
      <c r="L10" s="40">
        <f t="shared" si="0"/>
        <v>6</v>
      </c>
    </row>
    <row r="11" spans="1:12" x14ac:dyDescent="0.2">
      <c r="A11" s="122" t="s">
        <v>304</v>
      </c>
      <c r="B11" s="405" t="str">
        <f>ASS!W25</f>
        <v/>
      </c>
      <c r="C11" s="405"/>
      <c r="D11" s="406"/>
      <c r="E11" s="55"/>
      <c r="F11" s="55"/>
      <c r="G11" s="55"/>
      <c r="H11" s="55"/>
      <c r="I11" s="55"/>
      <c r="J11" s="55"/>
      <c r="K11" s="43"/>
      <c r="L11" s="40">
        <f t="shared" si="0"/>
        <v>7</v>
      </c>
    </row>
    <row r="12" spans="1:12" x14ac:dyDescent="0.2">
      <c r="A12" s="53" t="s">
        <v>5</v>
      </c>
      <c r="B12" s="55"/>
      <c r="C12" s="55"/>
      <c r="D12" s="55"/>
      <c r="E12" s="55"/>
      <c r="F12" s="55"/>
      <c r="G12" s="55"/>
      <c r="H12" s="55"/>
      <c r="I12" s="55"/>
      <c r="J12" s="55"/>
      <c r="K12" s="43"/>
      <c r="L12" s="40">
        <f t="shared" si="0"/>
        <v>8</v>
      </c>
    </row>
    <row r="13" spans="1:12" x14ac:dyDescent="0.2">
      <c r="A13" s="53"/>
      <c r="B13" s="55"/>
      <c r="C13" s="55"/>
      <c r="D13" s="55"/>
      <c r="E13" s="55"/>
      <c r="F13" s="55"/>
      <c r="G13" s="55"/>
      <c r="H13" s="55"/>
      <c r="I13" s="55"/>
      <c r="J13" s="55"/>
      <c r="K13" s="43"/>
      <c r="L13" s="40">
        <f t="shared" si="0"/>
        <v>9</v>
      </c>
    </row>
    <row r="14" spans="1:12" x14ac:dyDescent="0.2">
      <c r="A14" s="118" t="s">
        <v>185</v>
      </c>
      <c r="B14" s="55"/>
      <c r="C14" s="55"/>
      <c r="D14" s="55"/>
      <c r="E14" s="55"/>
      <c r="F14" s="55"/>
      <c r="G14" s="55"/>
      <c r="H14" s="55"/>
      <c r="I14" s="55"/>
      <c r="J14" s="55"/>
      <c r="K14" s="43"/>
      <c r="L14" s="40">
        <f t="shared" si="0"/>
        <v>10</v>
      </c>
    </row>
    <row r="15" spans="1:12" x14ac:dyDescent="0.2">
      <c r="A15" s="53" t="s">
        <v>186</v>
      </c>
      <c r="B15" s="55"/>
      <c r="C15" s="55"/>
      <c r="D15" s="55"/>
      <c r="E15" s="156">
        <v>0</v>
      </c>
      <c r="F15" s="126">
        <f>E17</f>
        <v>403</v>
      </c>
      <c r="G15" s="126">
        <f>F17</f>
        <v>3068</v>
      </c>
      <c r="H15" s="126">
        <f>G17</f>
        <v>3068</v>
      </c>
      <c r="I15" s="126">
        <f>H17</f>
        <v>3887</v>
      </c>
      <c r="J15" s="126">
        <f>I17</f>
        <v>12987</v>
      </c>
      <c r="K15" s="43"/>
      <c r="L15" s="40">
        <f t="shared" si="0"/>
        <v>11</v>
      </c>
    </row>
    <row r="16" spans="1:12" x14ac:dyDescent="0.2">
      <c r="A16" s="53" t="s">
        <v>187</v>
      </c>
      <c r="B16" s="55"/>
      <c r="C16" s="55"/>
      <c r="D16" s="55"/>
      <c r="E16" s="126">
        <f>VLOOKUP(E4,DRAW_TABLE,DRAWDOWN!$F$72)</f>
        <v>403</v>
      </c>
      <c r="F16" s="126">
        <f>VLOOKUP(F4,DRAW_TABLE,DRAWDOWN!$F$72)</f>
        <v>2665</v>
      </c>
      <c r="G16" s="126">
        <f>VLOOKUP(G4,DRAW_TABLE,DRAWDOWN!$F$72)</f>
        <v>0</v>
      </c>
      <c r="H16" s="126">
        <f>VLOOKUP(H4,DRAW_TABLE,DRAWDOWN!$F$72)</f>
        <v>819</v>
      </c>
      <c r="I16" s="126">
        <f>VLOOKUP(I4,DRAW_TABLE,DRAWDOWN!$F$72)</f>
        <v>9100</v>
      </c>
      <c r="J16" s="126">
        <f>VLOOKUP(J4,DRAW_TABLE,DRAWDOWN!$F$72)</f>
        <v>0</v>
      </c>
      <c r="K16" s="75">
        <f>SUM(E16:J16)</f>
        <v>12987</v>
      </c>
      <c r="L16" s="40">
        <f t="shared" si="0"/>
        <v>12</v>
      </c>
    </row>
    <row r="17" spans="1:12" x14ac:dyDescent="0.2">
      <c r="A17" s="53" t="s">
        <v>188</v>
      </c>
      <c r="B17" s="55"/>
      <c r="C17" s="55"/>
      <c r="D17" s="55"/>
      <c r="E17" s="126">
        <f t="shared" ref="E17:J17" si="1">SUM(E15:E16)</f>
        <v>403</v>
      </c>
      <c r="F17" s="126">
        <f t="shared" si="1"/>
        <v>3068</v>
      </c>
      <c r="G17" s="126">
        <f t="shared" si="1"/>
        <v>3068</v>
      </c>
      <c r="H17" s="126">
        <f t="shared" si="1"/>
        <v>3887</v>
      </c>
      <c r="I17" s="126">
        <f t="shared" si="1"/>
        <v>12987</v>
      </c>
      <c r="J17" s="126">
        <f t="shared" si="1"/>
        <v>12987</v>
      </c>
      <c r="K17" s="43"/>
      <c r="L17" s="40">
        <f t="shared" si="0"/>
        <v>13</v>
      </c>
    </row>
    <row r="18" spans="1:12" x14ac:dyDescent="0.2">
      <c r="A18" s="53" t="s">
        <v>189</v>
      </c>
      <c r="B18" s="55"/>
      <c r="C18" s="55"/>
      <c r="D18" s="55"/>
      <c r="E18" s="157">
        <f>SUM($E$16:E16)/$B$9</f>
        <v>3.1E-2</v>
      </c>
      <c r="F18" s="157">
        <f>SUM($E$16:F16)/$B$9</f>
        <v>0.23599999999999999</v>
      </c>
      <c r="G18" s="157">
        <f>SUM($E$16:G16)/$B$9</f>
        <v>0.23599999999999999</v>
      </c>
      <c r="H18" s="157">
        <f>SUM($E$16:H16)/$B$9</f>
        <v>0.29899999999999999</v>
      </c>
      <c r="I18" s="157">
        <f>SUM($E$16:I16)/$B$9</f>
        <v>0.999</v>
      </c>
      <c r="J18" s="157">
        <f>SUM($E$16:J16)/$B$9</f>
        <v>0.999</v>
      </c>
      <c r="K18" s="43"/>
      <c r="L18" s="40">
        <f t="shared" si="0"/>
        <v>14</v>
      </c>
    </row>
    <row r="19" spans="1:12" x14ac:dyDescent="0.2">
      <c r="A19" s="53" t="s">
        <v>190</v>
      </c>
      <c r="B19" s="55"/>
      <c r="C19" s="55"/>
      <c r="D19" s="55"/>
      <c r="E19" s="157">
        <f t="shared" ref="E19:J19" si="2">E17/$D$9</f>
        <v>3.1E-2</v>
      </c>
      <c r="F19" s="157">
        <f t="shared" si="2"/>
        <v>0.23599999999999999</v>
      </c>
      <c r="G19" s="157">
        <f t="shared" si="2"/>
        <v>0.23599999999999999</v>
      </c>
      <c r="H19" s="157">
        <f t="shared" si="2"/>
        <v>0.29899999999999999</v>
      </c>
      <c r="I19" s="157">
        <f t="shared" si="2"/>
        <v>0.999</v>
      </c>
      <c r="J19" s="157">
        <f t="shared" si="2"/>
        <v>0.999</v>
      </c>
      <c r="K19" s="43"/>
      <c r="L19" s="40">
        <f t="shared" si="0"/>
        <v>15</v>
      </c>
    </row>
    <row r="20" spans="1:12" x14ac:dyDescent="0.2">
      <c r="A20" s="53"/>
      <c r="B20" s="55"/>
      <c r="C20" s="55"/>
      <c r="D20" s="55"/>
      <c r="E20" s="55"/>
      <c r="F20" s="55"/>
      <c r="G20" s="55"/>
      <c r="H20" s="55"/>
      <c r="I20" s="55"/>
      <c r="J20" s="55"/>
      <c r="K20" s="43"/>
      <c r="L20" s="40">
        <f t="shared" si="0"/>
        <v>16</v>
      </c>
    </row>
    <row r="21" spans="1:12" x14ac:dyDescent="0.2">
      <c r="A21" s="118" t="s">
        <v>191</v>
      </c>
      <c r="B21" s="55"/>
      <c r="C21" s="55"/>
      <c r="D21" s="55"/>
      <c r="E21" s="55"/>
      <c r="F21" s="55"/>
      <c r="G21" s="55"/>
      <c r="H21" s="55"/>
      <c r="I21" s="55"/>
      <c r="J21" s="55"/>
      <c r="K21" s="43"/>
      <c r="L21" s="40">
        <f t="shared" si="0"/>
        <v>17</v>
      </c>
    </row>
    <row r="22" spans="1:12" x14ac:dyDescent="0.2">
      <c r="A22" s="53" t="s">
        <v>192</v>
      </c>
      <c r="B22" s="55"/>
      <c r="C22" s="55"/>
      <c r="D22" s="55"/>
      <c r="E22" s="126">
        <f t="shared" ref="E22:J22" si="3">E15*DEBTPERC</f>
        <v>0</v>
      </c>
      <c r="F22" s="126">
        <f t="shared" si="3"/>
        <v>0</v>
      </c>
      <c r="G22" s="126">
        <f t="shared" si="3"/>
        <v>0</v>
      </c>
      <c r="H22" s="126">
        <f t="shared" si="3"/>
        <v>0</v>
      </c>
      <c r="I22" s="126">
        <f t="shared" si="3"/>
        <v>0</v>
      </c>
      <c r="J22" s="126">
        <f t="shared" si="3"/>
        <v>0</v>
      </c>
      <c r="K22" s="43"/>
      <c r="L22" s="40">
        <f t="shared" si="0"/>
        <v>18</v>
      </c>
    </row>
    <row r="23" spans="1:12" x14ac:dyDescent="0.2">
      <c r="A23" s="53" t="s">
        <v>193</v>
      </c>
      <c r="B23" s="55"/>
      <c r="C23" s="55"/>
      <c r="D23" s="55"/>
      <c r="E23" s="126">
        <f t="shared" ref="E23:J23" si="4">E16*DEBTPERC</f>
        <v>0</v>
      </c>
      <c r="F23" s="126">
        <f t="shared" si="4"/>
        <v>0</v>
      </c>
      <c r="G23" s="126">
        <f t="shared" si="4"/>
        <v>0</v>
      </c>
      <c r="H23" s="126">
        <f t="shared" si="4"/>
        <v>0</v>
      </c>
      <c r="I23" s="126">
        <f t="shared" si="4"/>
        <v>0</v>
      </c>
      <c r="J23" s="126">
        <f t="shared" si="4"/>
        <v>0</v>
      </c>
      <c r="K23" s="75">
        <f>SUM(E23:J23)</f>
        <v>0</v>
      </c>
      <c r="L23" s="40">
        <f t="shared" si="0"/>
        <v>19</v>
      </c>
    </row>
    <row r="24" spans="1:12" x14ac:dyDescent="0.2">
      <c r="A24" s="53" t="s">
        <v>194</v>
      </c>
      <c r="B24" s="55"/>
      <c r="C24" s="55"/>
      <c r="D24" s="55"/>
      <c r="E24" s="126">
        <f t="shared" ref="E24:J24" si="5">SUM(E22:E23)</f>
        <v>0</v>
      </c>
      <c r="F24" s="126">
        <f t="shared" si="5"/>
        <v>0</v>
      </c>
      <c r="G24" s="126">
        <f t="shared" si="5"/>
        <v>0</v>
      </c>
      <c r="H24" s="126">
        <f t="shared" si="5"/>
        <v>0</v>
      </c>
      <c r="I24" s="126">
        <f t="shared" si="5"/>
        <v>0</v>
      </c>
      <c r="J24" s="126">
        <f t="shared" si="5"/>
        <v>0</v>
      </c>
      <c r="K24" s="43"/>
      <c r="L24" s="40">
        <f t="shared" si="0"/>
        <v>20</v>
      </c>
    </row>
    <row r="25" spans="1:12" x14ac:dyDescent="0.2">
      <c r="A25" s="53"/>
      <c r="B25" s="55"/>
      <c r="C25" s="55"/>
      <c r="D25" s="55"/>
      <c r="E25" s="126"/>
      <c r="F25" s="126"/>
      <c r="G25" s="126"/>
      <c r="H25" s="126"/>
      <c r="I25" s="126"/>
      <c r="J25" s="126"/>
      <c r="K25" s="43"/>
      <c r="L25" s="40">
        <f t="shared" si="0"/>
        <v>21</v>
      </c>
    </row>
    <row r="26" spans="1:12" x14ac:dyDescent="0.2">
      <c r="A26" s="53" t="s">
        <v>355</v>
      </c>
      <c r="B26" s="55"/>
      <c r="C26" s="55"/>
      <c r="D26" s="55"/>
      <c r="E26" s="126">
        <f t="shared" ref="E26:J26" si="6">IF(E4&gt;TERM_C,0,(E15+SUM(E15:E16))/2*$D$10/12)</f>
        <v>0</v>
      </c>
      <c r="F26" s="126">
        <f t="shared" si="6"/>
        <v>0</v>
      </c>
      <c r="G26" s="126">
        <f t="shared" si="6"/>
        <v>0</v>
      </c>
      <c r="H26" s="126">
        <f t="shared" si="6"/>
        <v>0</v>
      </c>
      <c r="I26" s="126">
        <f t="shared" si="6"/>
        <v>0</v>
      </c>
      <c r="J26" s="126">
        <f t="shared" si="6"/>
        <v>0</v>
      </c>
      <c r="K26" s="75">
        <f>SUM(E26:J26)</f>
        <v>0</v>
      </c>
      <c r="L26" s="40">
        <f t="shared" si="0"/>
        <v>22</v>
      </c>
    </row>
    <row r="27" spans="1:12" x14ac:dyDescent="0.2">
      <c r="A27" s="53"/>
      <c r="B27" s="55"/>
      <c r="C27" s="55"/>
      <c r="D27" s="55"/>
      <c r="E27" s="126"/>
      <c r="F27" s="126"/>
      <c r="G27" s="126"/>
      <c r="H27" s="126"/>
      <c r="I27" s="126"/>
      <c r="J27" s="126"/>
      <c r="K27" s="43"/>
      <c r="L27" s="40">
        <f t="shared" si="0"/>
        <v>23</v>
      </c>
    </row>
    <row r="28" spans="1:12" x14ac:dyDescent="0.2">
      <c r="A28" s="118" t="s">
        <v>195</v>
      </c>
      <c r="B28" s="55"/>
      <c r="C28" s="55"/>
      <c r="D28" s="55"/>
      <c r="E28" s="126"/>
      <c r="F28" s="126"/>
      <c r="G28" s="126"/>
      <c r="H28" s="126"/>
      <c r="I28" s="126"/>
      <c r="J28" s="126"/>
      <c r="K28" s="43"/>
      <c r="L28" s="40">
        <f t="shared" si="0"/>
        <v>24</v>
      </c>
    </row>
    <row r="29" spans="1:12" x14ac:dyDescent="0.2">
      <c r="A29" s="53" t="s">
        <v>196</v>
      </c>
      <c r="B29" s="55"/>
      <c r="C29" s="55"/>
      <c r="D29" s="55"/>
      <c r="E29" s="126">
        <f t="shared" ref="E29:J29" si="7">E15-E22</f>
        <v>0</v>
      </c>
      <c r="F29" s="126">
        <f t="shared" si="7"/>
        <v>403</v>
      </c>
      <c r="G29" s="126">
        <f t="shared" si="7"/>
        <v>3068</v>
      </c>
      <c r="H29" s="126">
        <f t="shared" si="7"/>
        <v>3068</v>
      </c>
      <c r="I29" s="126">
        <f t="shared" si="7"/>
        <v>3887</v>
      </c>
      <c r="J29" s="126">
        <f t="shared" si="7"/>
        <v>12987</v>
      </c>
      <c r="K29" s="43"/>
      <c r="L29" s="40">
        <f t="shared" si="0"/>
        <v>25</v>
      </c>
    </row>
    <row r="30" spans="1:12" x14ac:dyDescent="0.2">
      <c r="A30" s="53" t="s">
        <v>197</v>
      </c>
      <c r="B30" s="55"/>
      <c r="C30" s="55"/>
      <c r="D30" s="55"/>
      <c r="E30" s="126">
        <f t="shared" ref="E30:J30" si="8">E16-E23</f>
        <v>403</v>
      </c>
      <c r="F30" s="126">
        <f t="shared" si="8"/>
        <v>2665</v>
      </c>
      <c r="G30" s="126">
        <f t="shared" si="8"/>
        <v>0</v>
      </c>
      <c r="H30" s="126">
        <f t="shared" si="8"/>
        <v>819</v>
      </c>
      <c r="I30" s="126">
        <f t="shared" si="8"/>
        <v>9100</v>
      </c>
      <c r="J30" s="126">
        <f t="shared" si="8"/>
        <v>0</v>
      </c>
      <c r="K30" s="75">
        <f>SUM(E30:J30)</f>
        <v>12987</v>
      </c>
      <c r="L30" s="40">
        <f t="shared" si="0"/>
        <v>26</v>
      </c>
    </row>
    <row r="31" spans="1:12" x14ac:dyDescent="0.2">
      <c r="A31" s="64" t="s">
        <v>198</v>
      </c>
      <c r="B31" s="72"/>
      <c r="C31" s="72"/>
      <c r="D31" s="72"/>
      <c r="E31" s="158">
        <f t="shared" ref="E31:J31" si="9">E17-E24</f>
        <v>403</v>
      </c>
      <c r="F31" s="158">
        <f t="shared" si="9"/>
        <v>3068</v>
      </c>
      <c r="G31" s="158">
        <f t="shared" si="9"/>
        <v>3068</v>
      </c>
      <c r="H31" s="158">
        <f t="shared" si="9"/>
        <v>3887</v>
      </c>
      <c r="I31" s="158">
        <f t="shared" si="9"/>
        <v>12987</v>
      </c>
      <c r="J31" s="158">
        <f t="shared" si="9"/>
        <v>12987</v>
      </c>
      <c r="K31" s="85"/>
      <c r="L31" s="40">
        <f t="shared" si="0"/>
        <v>27</v>
      </c>
    </row>
    <row r="33" spans="1:4" ht="13.5" thickBot="1" x14ac:dyDescent="0.25">
      <c r="A33" s="324" t="s">
        <v>199</v>
      </c>
      <c r="B33" s="325"/>
      <c r="C33" s="325"/>
      <c r="D33" s="326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topLeftCell="A38" workbookViewId="0">
      <selection activeCell="H3" sqref="H3"/>
    </sheetView>
  </sheetViews>
  <sheetFormatPr defaultRowHeight="12.75" x14ac:dyDescent="0.2"/>
  <cols>
    <col min="1" max="1" width="9.140625" style="40"/>
    <col min="2" max="2" width="6.28515625" style="40" customWidth="1"/>
    <col min="3" max="26" width="9.7109375" style="40" customWidth="1"/>
    <col min="27" max="16384" width="9.140625" style="40"/>
  </cols>
  <sheetData>
    <row r="1" spans="1:31" ht="15.75" x14ac:dyDescent="0.25">
      <c r="A1" s="160" t="s">
        <v>200</v>
      </c>
      <c r="B1" s="192"/>
      <c r="C1" s="192"/>
      <c r="D1" s="192"/>
      <c r="E1" s="172"/>
    </row>
    <row r="2" spans="1:31" ht="15.75" x14ac:dyDescent="0.25">
      <c r="A2" s="173">
        <f>ASS!A4</f>
        <v>0</v>
      </c>
      <c r="B2" s="171"/>
      <c r="C2" s="171"/>
      <c r="D2" s="171"/>
      <c r="E2" s="174"/>
      <c r="G2" s="290"/>
      <c r="H2" s="290"/>
    </row>
    <row r="3" spans="1:31" x14ac:dyDescent="0.2">
      <c r="A3" s="45" t="s">
        <v>122</v>
      </c>
      <c r="B3" s="52"/>
      <c r="C3" s="52"/>
      <c r="D3" s="52">
        <f>CF!D3</f>
        <v>1</v>
      </c>
      <c r="E3" s="52">
        <f>CF!E3</f>
        <v>2</v>
      </c>
      <c r="F3" s="52">
        <f>CF!F3</f>
        <v>3</v>
      </c>
      <c r="G3" s="41"/>
    </row>
    <row r="4" spans="1:31" x14ac:dyDescent="0.2">
      <c r="A4" s="217" t="s">
        <v>123</v>
      </c>
      <c r="B4" s="55"/>
      <c r="C4" s="55"/>
      <c r="D4" s="215">
        <f>CF!D4</f>
        <v>2001</v>
      </c>
      <c r="E4" s="215">
        <f>CF!E4</f>
        <v>2002</v>
      </c>
      <c r="F4" s="215">
        <f>CF!F4</f>
        <v>2003</v>
      </c>
      <c r="G4" s="42" t="s">
        <v>201</v>
      </c>
    </row>
    <row r="5" spans="1:31" x14ac:dyDescent="0.2">
      <c r="A5" s="64" t="s">
        <v>125</v>
      </c>
      <c r="B5" s="72"/>
      <c r="C5" s="72"/>
      <c r="D5" s="72">
        <f>CF!D5</f>
        <v>12</v>
      </c>
      <c r="E5" s="72">
        <f>CF!E5</f>
        <v>12</v>
      </c>
      <c r="F5" s="72">
        <f>CF!F5</f>
        <v>12</v>
      </c>
      <c r="G5" s="85"/>
    </row>
    <row r="6" spans="1:31" x14ac:dyDescent="0.2">
      <c r="AD6" s="55"/>
    </row>
    <row r="7" spans="1:31" x14ac:dyDescent="0.2">
      <c r="A7" s="218" t="s">
        <v>202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41"/>
    </row>
    <row r="8" spans="1:31" x14ac:dyDescent="0.2">
      <c r="A8" s="241" t="s">
        <v>203</v>
      </c>
      <c r="B8" s="55"/>
      <c r="C8" s="55"/>
      <c r="D8" s="126" t="e">
        <f>VLOOKUP(#REF!,FIN_TABLE,26)</f>
        <v>#REF!</v>
      </c>
      <c r="E8" s="126" t="e">
        <f>VLOOKUP(#REF!,FIN_TABLE,26)</f>
        <v>#REF!</v>
      </c>
      <c r="F8" s="126" t="e">
        <f>VLOOKUP(#REF!,FIN_TABLE,26)</f>
        <v>#REF!</v>
      </c>
      <c r="G8" s="126" t="e">
        <f>VLOOKUP(#REF!,FIN_TABLE,26)</f>
        <v>#REF!</v>
      </c>
      <c r="H8" s="126" t="e">
        <f>VLOOKUP(#REF!,FIN_TABLE,26)</f>
        <v>#REF!</v>
      </c>
      <c r="I8" s="126" t="e">
        <f>VLOOKUP(#REF!,FIN_TABLE,26)</f>
        <v>#REF!</v>
      </c>
      <c r="J8" s="126" t="e">
        <f>VLOOKUP(#REF!,FIN_TABLE,26)</f>
        <v>#REF!</v>
      </c>
      <c r="K8" s="126" t="e">
        <f>VLOOKUP(#REF!,FIN_TABLE,26)</f>
        <v>#REF!</v>
      </c>
      <c r="L8" s="126" t="e">
        <f>VLOOKUP(#REF!,FIN_TABLE,26)</f>
        <v>#REF!</v>
      </c>
      <c r="M8" s="126" t="e">
        <f>VLOOKUP(#REF!,FIN_TABLE,26)</f>
        <v>#REF!</v>
      </c>
      <c r="N8" s="126" t="e">
        <f>VLOOKUP(#REF!,FIN_TABLE,26)</f>
        <v>#REF!</v>
      </c>
      <c r="O8" s="126" t="e">
        <f>VLOOKUP(#REF!,FIN_TABLE,26)</f>
        <v>#REF!</v>
      </c>
      <c r="P8" s="126" t="e">
        <f>VLOOKUP(#REF!,FIN_TABLE,26)</f>
        <v>#REF!</v>
      </c>
      <c r="Q8" s="126" t="e">
        <f>VLOOKUP(#REF!,FIN_TABLE,26)</f>
        <v>#REF!</v>
      </c>
      <c r="R8" s="126" t="e">
        <f>VLOOKUP(#REF!,FIN_TABLE,26)</f>
        <v>#REF!</v>
      </c>
      <c r="S8" s="126" t="e">
        <f>VLOOKUP(#REF!,FIN_TABLE,26)</f>
        <v>#REF!</v>
      </c>
      <c r="T8" s="126" t="e">
        <f>VLOOKUP(#REF!,FIN_TABLE,26)</f>
        <v>#REF!</v>
      </c>
      <c r="U8" s="126" t="e">
        <f>VLOOKUP(#REF!,FIN_TABLE,26)</f>
        <v>#REF!</v>
      </c>
      <c r="V8" s="126" t="e">
        <f>VLOOKUP(#REF!,FIN_TABLE,26)</f>
        <v>#REF!</v>
      </c>
      <c r="W8" s="126" t="e">
        <f>VLOOKUP(#REF!,FIN_TABLE,26)</f>
        <v>#REF!</v>
      </c>
      <c r="X8" s="126" t="e">
        <f>VLOOKUP(#REF!,FIN_TABLE,26)</f>
        <v>#REF!</v>
      </c>
      <c r="Y8" s="126" t="e">
        <f>VLOOKUP(#REF!,FIN_TABLE,26)</f>
        <v>#REF!</v>
      </c>
      <c r="Z8" s="126" t="e">
        <f>VLOOKUP(#REF!,FIN_TABLE,26)</f>
        <v>#REF!</v>
      </c>
      <c r="AA8" s="126" t="e">
        <f>VLOOKUP(#REF!,FIN_TABLE,26)</f>
        <v>#REF!</v>
      </c>
      <c r="AB8" s="126" t="e">
        <f>VLOOKUP(#REF!,FIN_TABLE,26)</f>
        <v>#REF!</v>
      </c>
      <c r="AC8" s="126" t="e">
        <f>VLOOKUP(#REF!,FIN_TABLE,26)</f>
        <v>#REF!</v>
      </c>
      <c r="AD8" s="75" t="e">
        <f>SUM(D8:X8)</f>
        <v>#REF!</v>
      </c>
    </row>
    <row r="9" spans="1:31" x14ac:dyDescent="0.2">
      <c r="A9" s="241" t="s">
        <v>204</v>
      </c>
      <c r="B9" s="55"/>
      <c r="C9" s="55"/>
      <c r="D9" s="127" t="e">
        <f>VLOOKUP(#REF!,FIN_TABLE,27)</f>
        <v>#REF!</v>
      </c>
      <c r="E9" s="127" t="e">
        <f>VLOOKUP(#REF!,FIN_TABLE,27)</f>
        <v>#REF!</v>
      </c>
      <c r="F9" s="127" t="e">
        <f>VLOOKUP(#REF!,FIN_TABLE,27)</f>
        <v>#REF!</v>
      </c>
      <c r="G9" s="127" t="e">
        <f>VLOOKUP(#REF!,FIN_TABLE,27)</f>
        <v>#REF!</v>
      </c>
      <c r="H9" s="127" t="e">
        <f>VLOOKUP(#REF!,FIN_TABLE,27)</f>
        <v>#REF!</v>
      </c>
      <c r="I9" s="127" t="e">
        <f>VLOOKUP(#REF!,FIN_TABLE,27)</f>
        <v>#REF!</v>
      </c>
      <c r="J9" s="127" t="e">
        <f>VLOOKUP(#REF!,FIN_TABLE,27)</f>
        <v>#REF!</v>
      </c>
      <c r="K9" s="127" t="e">
        <f>VLOOKUP(#REF!,FIN_TABLE,27)</f>
        <v>#REF!</v>
      </c>
      <c r="L9" s="127" t="e">
        <f>VLOOKUP(#REF!,FIN_TABLE,27)</f>
        <v>#REF!</v>
      </c>
      <c r="M9" s="127" t="e">
        <f>VLOOKUP(#REF!,FIN_TABLE,27)</f>
        <v>#REF!</v>
      </c>
      <c r="N9" s="127" t="e">
        <f>VLOOKUP(#REF!,FIN_TABLE,27)</f>
        <v>#REF!</v>
      </c>
      <c r="O9" s="127" t="e">
        <f>VLOOKUP(#REF!,FIN_TABLE,27)</f>
        <v>#REF!</v>
      </c>
      <c r="P9" s="127" t="e">
        <f>VLOOKUP(#REF!,FIN_TABLE,27)</f>
        <v>#REF!</v>
      </c>
      <c r="Q9" s="127" t="e">
        <f>VLOOKUP(#REF!,FIN_TABLE,27)</f>
        <v>#REF!</v>
      </c>
      <c r="R9" s="127" t="e">
        <f>VLOOKUP(#REF!,FIN_TABLE,27)</f>
        <v>#REF!</v>
      </c>
      <c r="S9" s="127" t="e">
        <f>VLOOKUP(#REF!,FIN_TABLE,27)</f>
        <v>#REF!</v>
      </c>
      <c r="T9" s="127" t="e">
        <f>VLOOKUP(#REF!,FIN_TABLE,27)</f>
        <v>#REF!</v>
      </c>
      <c r="U9" s="127" t="e">
        <f>VLOOKUP(#REF!,FIN_TABLE,27)</f>
        <v>#REF!</v>
      </c>
      <c r="V9" s="127" t="e">
        <f>VLOOKUP(#REF!,FIN_TABLE,27)</f>
        <v>#REF!</v>
      </c>
      <c r="W9" s="127" t="e">
        <f>VLOOKUP(#REF!,FIN_TABLE,27)</f>
        <v>#REF!</v>
      </c>
      <c r="X9" s="127" t="e">
        <f>VLOOKUP(#REF!,FIN_TABLE,27)</f>
        <v>#REF!</v>
      </c>
      <c r="Y9" s="127" t="e">
        <f>VLOOKUP(#REF!,FIN_TABLE,27)</f>
        <v>#REF!</v>
      </c>
      <c r="Z9" s="127" t="e">
        <f>VLOOKUP(#REF!,FIN_TABLE,27)</f>
        <v>#REF!</v>
      </c>
      <c r="AA9" s="127" t="e">
        <f>VLOOKUP(#REF!,FIN_TABLE,27)</f>
        <v>#REF!</v>
      </c>
      <c r="AB9" s="127" t="e">
        <f>VLOOKUP(#REF!,FIN_TABLE,27)</f>
        <v>#REF!</v>
      </c>
      <c r="AC9" s="127" t="e">
        <f>VLOOKUP(#REF!,FIN_TABLE,27)</f>
        <v>#REF!</v>
      </c>
      <c r="AD9" s="81" t="e">
        <f>SUM(D9:X9)</f>
        <v>#REF!</v>
      </c>
      <c r="AE9" s="86" t="e">
        <f>IF(ABS(AD9-DEBT)&lt;0.01," ","SUM OF PRINCIPAL PAYMENTS DOES NOT EQUAL DEBT")</f>
        <v>#REF!</v>
      </c>
    </row>
    <row r="10" spans="1:31" x14ac:dyDescent="0.2">
      <c r="A10" s="242" t="s">
        <v>205</v>
      </c>
      <c r="B10" s="193"/>
      <c r="C10" s="193"/>
      <c r="D10" s="243" t="e">
        <f>SUM(D8:D9)</f>
        <v>#REF!</v>
      </c>
      <c r="E10" s="243" t="e">
        <f t="shared" ref="E10:S10" si="0">SUM(E8:E9)</f>
        <v>#REF!</v>
      </c>
      <c r="F10" s="243" t="e">
        <f t="shared" si="0"/>
        <v>#REF!</v>
      </c>
      <c r="G10" s="243" t="e">
        <f t="shared" si="0"/>
        <v>#REF!</v>
      </c>
      <c r="H10" s="243" t="e">
        <f t="shared" si="0"/>
        <v>#REF!</v>
      </c>
      <c r="I10" s="243" t="e">
        <f t="shared" si="0"/>
        <v>#REF!</v>
      </c>
      <c r="J10" s="243" t="e">
        <f t="shared" si="0"/>
        <v>#REF!</v>
      </c>
      <c r="K10" s="243" t="e">
        <f t="shared" si="0"/>
        <v>#REF!</v>
      </c>
      <c r="L10" s="243" t="e">
        <f t="shared" si="0"/>
        <v>#REF!</v>
      </c>
      <c r="M10" s="243" t="e">
        <f t="shared" si="0"/>
        <v>#REF!</v>
      </c>
      <c r="N10" s="243" t="e">
        <f t="shared" si="0"/>
        <v>#REF!</v>
      </c>
      <c r="O10" s="243" t="e">
        <f t="shared" si="0"/>
        <v>#REF!</v>
      </c>
      <c r="P10" s="243" t="e">
        <f t="shared" si="0"/>
        <v>#REF!</v>
      </c>
      <c r="Q10" s="243" t="e">
        <f t="shared" si="0"/>
        <v>#REF!</v>
      </c>
      <c r="R10" s="243" t="e">
        <f t="shared" si="0"/>
        <v>#REF!</v>
      </c>
      <c r="S10" s="243" t="e">
        <f t="shared" si="0"/>
        <v>#REF!</v>
      </c>
      <c r="T10" s="243" t="e">
        <f t="shared" ref="T10:AC10" si="1">SUM(T8:T9)</f>
        <v>#REF!</v>
      </c>
      <c r="U10" s="243" t="e">
        <f t="shared" si="1"/>
        <v>#REF!</v>
      </c>
      <c r="V10" s="243" t="e">
        <f t="shared" si="1"/>
        <v>#REF!</v>
      </c>
      <c r="W10" s="243" t="e">
        <f t="shared" si="1"/>
        <v>#REF!</v>
      </c>
      <c r="X10" s="243" t="e">
        <f t="shared" si="1"/>
        <v>#REF!</v>
      </c>
      <c r="Y10" s="243" t="e">
        <f t="shared" si="1"/>
        <v>#REF!</v>
      </c>
      <c r="Z10" s="243" t="e">
        <f t="shared" si="1"/>
        <v>#REF!</v>
      </c>
      <c r="AA10" s="243" t="e">
        <f t="shared" si="1"/>
        <v>#REF!</v>
      </c>
      <c r="AB10" s="243" t="e">
        <f t="shared" si="1"/>
        <v>#REF!</v>
      </c>
      <c r="AC10" s="243" t="e">
        <f t="shared" si="1"/>
        <v>#REF!</v>
      </c>
      <c r="AD10" s="244" t="e">
        <f>SUM(AD8:AD9)</f>
        <v>#REF!</v>
      </c>
    </row>
    <row r="13" spans="1:31" x14ac:dyDescent="0.2">
      <c r="A13" s="218" t="s">
        <v>206</v>
      </c>
      <c r="B13" s="46"/>
      <c r="C13" s="47" t="e">
        <f>ASS!#REF!</f>
        <v>#REF!</v>
      </c>
      <c r="D13" s="48"/>
      <c r="E13" s="48"/>
      <c r="F13" s="49"/>
      <c r="G13" s="47" t="e">
        <f>ASS!#REF!</f>
        <v>#REF!</v>
      </c>
      <c r="H13" s="50"/>
      <c r="I13" s="50"/>
      <c r="J13" s="51"/>
      <c r="K13" s="47" t="e">
        <f>ASS!#REF!</f>
        <v>#REF!</v>
      </c>
      <c r="L13" s="50"/>
      <c r="M13" s="50"/>
      <c r="N13" s="51"/>
      <c r="O13" s="47" t="e">
        <f>ASS!#REF!</f>
        <v>#REF!</v>
      </c>
      <c r="P13" s="50"/>
      <c r="Q13" s="50"/>
      <c r="R13" s="51"/>
      <c r="S13" s="47" t="e">
        <f>ASS!#REF!</f>
        <v>#REF!</v>
      </c>
      <c r="T13" s="50"/>
      <c r="U13" s="50"/>
      <c r="V13" s="51"/>
      <c r="W13" s="47" t="e">
        <f>ASS!#REF!</f>
        <v>#REF!</v>
      </c>
      <c r="X13" s="50"/>
      <c r="Y13" s="50"/>
      <c r="Z13" s="51"/>
      <c r="AA13" s="52"/>
      <c r="AB13" s="46"/>
    </row>
    <row r="14" spans="1:31" x14ac:dyDescent="0.2">
      <c r="A14" s="219" t="s">
        <v>207</v>
      </c>
      <c r="B14" s="54"/>
      <c r="C14" s="53" t="s">
        <v>8</v>
      </c>
      <c r="D14" s="55"/>
      <c r="E14" s="139" t="e">
        <f>ASS!#REF!</f>
        <v>#REF!</v>
      </c>
      <c r="F14" s="54"/>
      <c r="G14" s="53" t="s">
        <v>8</v>
      </c>
      <c r="H14" s="55"/>
      <c r="I14" s="139" t="e">
        <f>ASS!#REF!</f>
        <v>#REF!</v>
      </c>
      <c r="J14" s="139"/>
      <c r="K14" s="53" t="s">
        <v>8</v>
      </c>
      <c r="L14" s="55"/>
      <c r="M14" s="56" t="e">
        <f>ASS!#REF!</f>
        <v>#REF!</v>
      </c>
      <c r="N14" s="56"/>
      <c r="O14" s="53" t="s">
        <v>8</v>
      </c>
      <c r="P14" s="55"/>
      <c r="Q14" s="56" t="e">
        <f>ASS!#REF!</f>
        <v>#REF!</v>
      </c>
      <c r="R14" s="54"/>
      <c r="S14" s="53" t="s">
        <v>8</v>
      </c>
      <c r="T14" s="55"/>
      <c r="U14" s="56" t="e">
        <f>ASS!#REF!</f>
        <v>#REF!</v>
      </c>
      <c r="V14" s="54"/>
      <c r="W14" s="53" t="s">
        <v>8</v>
      </c>
      <c r="X14" s="55"/>
      <c r="Y14" s="139" t="e">
        <f>ASS!#REF!</f>
        <v>#REF!</v>
      </c>
      <c r="Z14" s="54"/>
      <c r="AA14" s="55"/>
      <c r="AB14" s="54"/>
    </row>
    <row r="15" spans="1:31" x14ac:dyDescent="0.2">
      <c r="A15" s="53"/>
      <c r="B15" s="54"/>
      <c r="C15" s="53" t="s">
        <v>208</v>
      </c>
      <c r="D15" s="55"/>
      <c r="E15" s="55" t="e">
        <f>ASS!#REF!</f>
        <v>#REF!</v>
      </c>
      <c r="F15" s="54" t="s">
        <v>209</v>
      </c>
      <c r="G15" s="53" t="s">
        <v>208</v>
      </c>
      <c r="H15" s="55"/>
      <c r="I15" s="55" t="e">
        <f>ASS!#REF!</f>
        <v>#REF!</v>
      </c>
      <c r="J15" s="54" t="s">
        <v>209</v>
      </c>
      <c r="K15" s="53" t="s">
        <v>208</v>
      </c>
      <c r="L15" s="55"/>
      <c r="M15" s="55" t="e">
        <f>ASS!#REF!</f>
        <v>#REF!</v>
      </c>
      <c r="N15" s="54" t="s">
        <v>209</v>
      </c>
      <c r="O15" s="53" t="s">
        <v>208</v>
      </c>
      <c r="P15" s="55"/>
      <c r="Q15" s="55" t="e">
        <f>ASS!#REF!</f>
        <v>#REF!</v>
      </c>
      <c r="R15" s="54" t="s">
        <v>209</v>
      </c>
      <c r="S15" s="53" t="s">
        <v>208</v>
      </c>
      <c r="T15" s="55"/>
      <c r="U15" s="55" t="e">
        <f>ASS!#REF!</f>
        <v>#REF!</v>
      </c>
      <c r="V15" s="54" t="s">
        <v>209</v>
      </c>
      <c r="W15" s="53" t="s">
        <v>208</v>
      </c>
      <c r="X15" s="55"/>
      <c r="Y15" s="55" t="e">
        <f>ASS!#REF!</f>
        <v>#REF!</v>
      </c>
      <c r="Z15" s="54" t="s">
        <v>209</v>
      </c>
      <c r="AA15" s="55"/>
      <c r="AB15" s="54"/>
    </row>
    <row r="16" spans="1:31" x14ac:dyDescent="0.2">
      <c r="A16" s="53"/>
      <c r="B16" s="54"/>
      <c r="C16" s="53" t="s">
        <v>184</v>
      </c>
      <c r="D16" s="55"/>
      <c r="E16" s="57" t="e">
        <f>ASS!#REF!</f>
        <v>#REF!</v>
      </c>
      <c r="F16" s="54"/>
      <c r="G16" s="53" t="s">
        <v>184</v>
      </c>
      <c r="H16" s="55"/>
      <c r="I16" s="57" t="e">
        <f>ASS!#REF!</f>
        <v>#REF!</v>
      </c>
      <c r="J16" s="54"/>
      <c r="K16" s="53" t="s">
        <v>184</v>
      </c>
      <c r="L16" s="55"/>
      <c r="M16" s="57" t="e">
        <f>ASS!#REF!</f>
        <v>#REF!</v>
      </c>
      <c r="N16" s="54"/>
      <c r="O16" s="53" t="s">
        <v>184</v>
      </c>
      <c r="P16" s="55"/>
      <c r="Q16" s="57" t="e">
        <f>ASS!#REF!</f>
        <v>#REF!</v>
      </c>
      <c r="R16" s="54"/>
      <c r="S16" s="53" t="s">
        <v>184</v>
      </c>
      <c r="T16" s="55"/>
      <c r="U16" s="57" t="e">
        <f>ASS!#REF!</f>
        <v>#REF!</v>
      </c>
      <c r="V16" s="54"/>
      <c r="W16" s="53" t="s">
        <v>184</v>
      </c>
      <c r="X16" s="55"/>
      <c r="Y16" s="57" t="e">
        <f>ASS!#REF!</f>
        <v>#REF!</v>
      </c>
      <c r="Z16" s="54"/>
      <c r="AA16" s="55"/>
      <c r="AB16" s="54"/>
    </row>
    <row r="17" spans="1:28" x14ac:dyDescent="0.2">
      <c r="A17" s="53"/>
      <c r="B17" s="54"/>
      <c r="C17" s="53" t="s">
        <v>210</v>
      </c>
      <c r="D17" s="55"/>
      <c r="E17" s="248" t="e">
        <f>ASS!#REF!</f>
        <v>#REF!</v>
      </c>
      <c r="F17" s="54" t="s">
        <v>89</v>
      </c>
      <c r="G17" s="53" t="s">
        <v>210</v>
      </c>
      <c r="H17" s="55"/>
      <c r="I17" s="248" t="e">
        <f>ASS!#REF!</f>
        <v>#REF!</v>
      </c>
      <c r="J17" s="54" t="s">
        <v>89</v>
      </c>
      <c r="K17" s="53" t="s">
        <v>210</v>
      </c>
      <c r="L17" s="55"/>
      <c r="M17" s="248" t="e">
        <f>ASS!#REF!</f>
        <v>#REF!</v>
      </c>
      <c r="N17" s="54" t="s">
        <v>89</v>
      </c>
      <c r="O17" s="53" t="s">
        <v>210</v>
      </c>
      <c r="P17" s="55"/>
      <c r="Q17" s="248" t="e">
        <f>ASS!#REF!</f>
        <v>#REF!</v>
      </c>
      <c r="R17" s="54" t="s">
        <v>89</v>
      </c>
      <c r="S17" s="53" t="s">
        <v>210</v>
      </c>
      <c r="T17" s="55"/>
      <c r="U17" s="248" t="e">
        <f>ASS!#REF!</f>
        <v>#REF!</v>
      </c>
      <c r="V17" s="54" t="s">
        <v>89</v>
      </c>
      <c r="W17" s="53" t="s">
        <v>210</v>
      </c>
      <c r="X17" s="55"/>
      <c r="Y17" s="248" t="e">
        <f>ASS!#REF!</f>
        <v>#REF!</v>
      </c>
      <c r="Z17" s="54" t="s">
        <v>89</v>
      </c>
      <c r="AA17" s="55"/>
      <c r="AB17" s="54"/>
    </row>
    <row r="18" spans="1:28" x14ac:dyDescent="0.2">
      <c r="A18" s="53"/>
      <c r="B18" s="54"/>
      <c r="C18" s="53" t="e">
        <f>IF(ASS!#REF!=1,"STRAIGHT LINE AMORTIZATION", IF(ASS!#REF!=2,"MORTGAGE STYLE AMORTIZATION","CHECK"))</f>
        <v>#REF!</v>
      </c>
      <c r="D18" s="55"/>
      <c r="E18" s="55"/>
      <c r="F18" s="54"/>
      <c r="G18" s="53" t="e">
        <f>IF(ASS!#REF!=1,"STRAIGHT LINE AMORTIZATION", IF(ASS!#REF!=2,"MORTGAGE STYLE AMORTIZATION","CHECK"))</f>
        <v>#REF!</v>
      </c>
      <c r="H18" s="55"/>
      <c r="I18" s="55"/>
      <c r="J18" s="54"/>
      <c r="K18" s="53" t="e">
        <f>IF(ASS!#REF!=1,"STRAIGHT LINE AMORTIZATION", IF(ASS!#REF!=2,"MORTGAGE STYLE AMORTIZATION","CHECK"))</f>
        <v>#REF!</v>
      </c>
      <c r="L18" s="55"/>
      <c r="M18" s="55"/>
      <c r="N18" s="54"/>
      <c r="O18" s="53" t="e">
        <f>IF(ASS!#REF!=1,"STRAIGHT LINE AMORTIZATION", IF(ASS!#REF!=2,"MORTGAGE STYLE AMORTIZATION","CHECK"))</f>
        <v>#REF!</v>
      </c>
      <c r="P18" s="55"/>
      <c r="Q18" s="55"/>
      <c r="R18" s="54"/>
      <c r="S18" s="53" t="e">
        <f>IF(ASS!#REF!=1,"STRAIGHT LINE AMORTIZATION", IF(ASS!#REF!=2,"MORTGAGE STYLE AMORTIZATION","CHECK"))</f>
        <v>#REF!</v>
      </c>
      <c r="T18" s="55"/>
      <c r="U18" s="55"/>
      <c r="V18" s="54"/>
      <c r="W18" s="53" t="e">
        <f>IF(ASS!#REF!=1,"STRAIGHT LINE AMORTIZATION", IF(ASS!#REF!=2,"MORTGAGE STYLE AMORTIZATION","CHECK"))</f>
        <v>#REF!</v>
      </c>
      <c r="X18" s="55"/>
      <c r="Y18" s="55"/>
      <c r="Z18" s="54"/>
      <c r="AA18" s="58" t="s">
        <v>182</v>
      </c>
      <c r="AB18" s="59" t="s">
        <v>182</v>
      </c>
    </row>
    <row r="19" spans="1:28" x14ac:dyDescent="0.2">
      <c r="A19" s="53"/>
      <c r="B19" s="54"/>
      <c r="C19" s="53"/>
      <c r="D19" s="55"/>
      <c r="E19" s="55"/>
      <c r="F19" s="54"/>
      <c r="G19" s="53"/>
      <c r="H19" s="55"/>
      <c r="I19" s="55"/>
      <c r="J19" s="54"/>
      <c r="K19" s="53"/>
      <c r="L19" s="55"/>
      <c r="M19" s="55"/>
      <c r="N19" s="54"/>
      <c r="O19" s="53"/>
      <c r="P19" s="55"/>
      <c r="Q19" s="55"/>
      <c r="R19" s="54"/>
      <c r="S19" s="53"/>
      <c r="T19" s="55"/>
      <c r="U19" s="55"/>
      <c r="V19" s="54"/>
      <c r="W19" s="53"/>
      <c r="X19" s="55"/>
      <c r="Y19" s="55"/>
      <c r="Z19" s="54"/>
      <c r="AA19" s="55"/>
      <c r="AB19" s="54"/>
    </row>
    <row r="20" spans="1:28" x14ac:dyDescent="0.2">
      <c r="A20" s="60" t="s">
        <v>211</v>
      </c>
      <c r="B20" s="61" t="s">
        <v>212</v>
      </c>
      <c r="C20" s="60" t="s">
        <v>213</v>
      </c>
      <c r="D20" s="62" t="s">
        <v>214</v>
      </c>
      <c r="E20" s="62" t="s">
        <v>215</v>
      </c>
      <c r="F20" s="61" t="s">
        <v>216</v>
      </c>
      <c r="G20" s="60" t="s">
        <v>213</v>
      </c>
      <c r="H20" s="62" t="s">
        <v>214</v>
      </c>
      <c r="I20" s="62" t="s">
        <v>215</v>
      </c>
      <c r="J20" s="61" t="s">
        <v>216</v>
      </c>
      <c r="K20" s="60" t="s">
        <v>213</v>
      </c>
      <c r="L20" s="62" t="s">
        <v>214</v>
      </c>
      <c r="M20" s="62" t="s">
        <v>215</v>
      </c>
      <c r="N20" s="61" t="s">
        <v>216</v>
      </c>
      <c r="O20" s="60" t="s">
        <v>213</v>
      </c>
      <c r="P20" s="62" t="s">
        <v>214</v>
      </c>
      <c r="Q20" s="62" t="s">
        <v>215</v>
      </c>
      <c r="R20" s="61" t="s">
        <v>216</v>
      </c>
      <c r="S20" s="60" t="s">
        <v>213</v>
      </c>
      <c r="T20" s="62" t="s">
        <v>214</v>
      </c>
      <c r="U20" s="62" t="s">
        <v>215</v>
      </c>
      <c r="V20" s="61" t="s">
        <v>216</v>
      </c>
      <c r="W20" s="60" t="s">
        <v>213</v>
      </c>
      <c r="X20" s="62" t="s">
        <v>214</v>
      </c>
      <c r="Y20" s="62" t="s">
        <v>215</v>
      </c>
      <c r="Z20" s="61" t="s">
        <v>216</v>
      </c>
      <c r="AA20" s="62" t="s">
        <v>214</v>
      </c>
      <c r="AB20" s="61" t="s">
        <v>215</v>
      </c>
    </row>
    <row r="21" spans="1:28" x14ac:dyDescent="0.2">
      <c r="A21" s="53">
        <f>STARTYR</f>
        <v>2001</v>
      </c>
      <c r="B21" s="54">
        <f>IF(MOSYR1&gt;1, 0, 1)</f>
        <v>0</v>
      </c>
      <c r="C21" s="138" t="e">
        <f>E14</f>
        <v>#REF!</v>
      </c>
      <c r="D21" s="139" t="e">
        <f>IF($C21&gt;0, IF(D5&gt;6, C21*(D5-6)/12*E16, 0),0)</f>
        <v>#REF!</v>
      </c>
      <c r="E21" s="139" t="e">
        <f>IF(D5&lt;12,0,IF($E$17&gt;=B21, 0, IF(C21&gt;1, IF(ASS!#REF!=1,$E$14/(($E$15*2)-$E$17), -PMT($E$16/2,($E$15*2-$E$17),$E$14,0)-D21), 0)))</f>
        <v>#REF!</v>
      </c>
      <c r="F21" s="140" t="e">
        <f>C21-E21</f>
        <v>#REF!</v>
      </c>
      <c r="G21" s="138" t="e">
        <f>I14</f>
        <v>#REF!</v>
      </c>
      <c r="H21" s="139" t="e">
        <f>IF($G21&gt;0, IF(D5&gt;6, G21*(D5-6)/12*I16, 0),0)</f>
        <v>#REF!</v>
      </c>
      <c r="I21" s="139" t="e">
        <f>IF(D5&lt;12,0,IF($I$17&gt;=$B21, 0, IF(G21&gt;1, IF(ASS!#REF!=1,$I$14/(($I$15*2)-$I$17),-PMT($I$16/2,($I$15*2-$I$17),$I$14,0)-H21), 0)))</f>
        <v>#REF!</v>
      </c>
      <c r="J21" s="140" t="e">
        <f>G21-I21</f>
        <v>#REF!</v>
      </c>
      <c r="K21" s="138" t="e">
        <f>M14</f>
        <v>#REF!</v>
      </c>
      <c r="L21" s="139" t="e">
        <f>IF($K21&gt;0, IF(D5&gt;6, K21*(D5-6)/12*M16, 0),0)</f>
        <v>#REF!</v>
      </c>
      <c r="M21" s="139" t="e">
        <f>IF(D5&lt;12,0,IF($M$17&gt;=$B21, 0, IF(K21&gt;1, IF(ASS!#REF!=1,$M$14/(($M$15*2)-$M$17), -PMT($M$16/2,($M$15*2-$M$17),$M$14,0)-L21), 0)))</f>
        <v>#REF!</v>
      </c>
      <c r="N21" s="140" t="e">
        <f>K21-M21</f>
        <v>#REF!</v>
      </c>
      <c r="O21" s="138" t="e">
        <f>Q14</f>
        <v>#REF!</v>
      </c>
      <c r="P21" s="139" t="e">
        <f>IF($O21&gt;0, IF(D5&gt;6, O21*(D5-6)/12*Q16, 0),0)</f>
        <v>#REF!</v>
      </c>
      <c r="Q21" s="139" t="e">
        <f>IF(D5&lt;12,0,IF($Q$17&gt;=B21, 0, IF(O21&gt;1, IF(ASS!#REF!=1,$Q$14/(($Q$15*2)-$Q$17), -PMT($Q$16/2,($Q$15*2-$Q$17),$Q$14,0)-P21), 0)))</f>
        <v>#REF!</v>
      </c>
      <c r="R21" s="140" t="e">
        <f>O21-Q21</f>
        <v>#REF!</v>
      </c>
      <c r="S21" s="138" t="e">
        <f>U14</f>
        <v>#REF!</v>
      </c>
      <c r="T21" s="139" t="e">
        <f>IF(S21&gt;0, IF($D5&gt;6, S21*($D5-6)/12*U16, 0),0)</f>
        <v>#REF!</v>
      </c>
      <c r="U21" s="139" t="e">
        <f>IF(D5&lt;12,0,IF($U$17&gt;=B21, 0, IF(S21&gt;1, IF(ASS!#REF!=1,$U$14/(($U$15*2)-$U$17), -PMT($U$16/2,($U$15*2-$U$17),$U$14,0)-T21), 0)))</f>
        <v>#REF!</v>
      </c>
      <c r="V21" s="140" t="e">
        <f>S21-U21</f>
        <v>#REF!</v>
      </c>
      <c r="W21" s="138" t="e">
        <f>Y14</f>
        <v>#REF!</v>
      </c>
      <c r="X21" s="139" t="e">
        <f>IF(W21&gt;0, IF($D5&gt;6, W21*($D5-6)/12*Y16, 0),0)</f>
        <v>#REF!</v>
      </c>
      <c r="Y21" s="139" t="e">
        <f>IF(D5&lt;12,0,IF($Y$17&gt;=B21, 0, IF(W21&gt;1, IF(ASS!#REF!=1,$Y$14/(($Y$15*2)-$Y$17), -PMT($Y$16/2,($Y$15*2-$Y$17),$Y$14,0)-X21), 0)))</f>
        <v>#REF!</v>
      </c>
      <c r="Z21" s="140" t="e">
        <f>W21-Y21</f>
        <v>#REF!</v>
      </c>
      <c r="AA21" s="139"/>
      <c r="AB21" s="140"/>
    </row>
    <row r="22" spans="1:28" x14ac:dyDescent="0.2">
      <c r="A22" s="64">
        <f>A21</f>
        <v>2001</v>
      </c>
      <c r="B22" s="65">
        <f>B21+1</f>
        <v>1</v>
      </c>
      <c r="C22" s="141" t="e">
        <f t="shared" ref="C22:C60" si="2">F21</f>
        <v>#REF!</v>
      </c>
      <c r="D22" s="142" t="e">
        <f>IF($D$5&gt;6, C22*$E$16*0.5, C22*E16*$D$5/12)</f>
        <v>#REF!</v>
      </c>
      <c r="E22" s="249" t="e">
        <f>IF($E$17&gt;=B22, 0, IF(C22&gt;1, IF(ASS!#REF!=1,$E$14/(($E$15*2)-$E$17), -PMT($E$16/2,($E$15*2-B21),C22,0)-D22), 0))</f>
        <v>#REF!</v>
      </c>
      <c r="F22" s="143" t="e">
        <f>C22-E22</f>
        <v>#REF!</v>
      </c>
      <c r="G22" s="141" t="e">
        <f t="shared" ref="G22:G60" si="3">J21</f>
        <v>#REF!</v>
      </c>
      <c r="H22" s="142" t="e">
        <f>IF($D$5&gt;6, G22*$I$16*0.5, G22*$I$16*$D$5/12)</f>
        <v>#REF!</v>
      </c>
      <c r="I22" s="249" t="e">
        <f>IF($I$17&gt;=B22, 0, IF(G22&gt;1, IF(ASS!#REF!=1,$I$14/(($I$15*2)-$I$17), -PMT($I$16/2,($I$15*2-B21),G22,0)-H22), 0))</f>
        <v>#REF!</v>
      </c>
      <c r="J22" s="143" t="e">
        <f t="shared" ref="J22:J37" si="4">G22-I22</f>
        <v>#REF!</v>
      </c>
      <c r="K22" s="141" t="e">
        <f t="shared" ref="K22:K60" si="5">N21</f>
        <v>#REF!</v>
      </c>
      <c r="L22" s="142" t="e">
        <f>IF($D$5&gt;6, K22*$M$16*0.5, K22*$M$16*$D$5/12)</f>
        <v>#REF!</v>
      </c>
      <c r="M22" s="249" t="e">
        <f>IF($M$17&gt;=B22, 0, IF(K22&gt;1, IF(ASS!#REF!=1,$M$14/(($M$15*2)-$M$17), -PMT($M$16/2,($M$15*2-B21),K22,0)-L22), 0))</f>
        <v>#REF!</v>
      </c>
      <c r="N22" s="143" t="e">
        <f t="shared" ref="N22:N37" si="6">K22-M22</f>
        <v>#REF!</v>
      </c>
      <c r="O22" s="141" t="e">
        <f t="shared" ref="O22:O60" si="7">R21</f>
        <v>#REF!</v>
      </c>
      <c r="P22" s="142" t="e">
        <f>IF($D$5&gt;6, O22*$Q$16*0.5, O22*$Q$16*$D$5/12)</f>
        <v>#REF!</v>
      </c>
      <c r="Q22" s="249" t="e">
        <f>IF($Q$17&gt;=B22, 0, IF(O22&gt;1, IF(ASS!#REF!=1,$Q$14/(($Q$15*2)-$Q$17), -PMT($Q$16/2,($Q$15*2-B21),O22,0)-P22), 0))</f>
        <v>#REF!</v>
      </c>
      <c r="R22" s="143" t="e">
        <f t="shared" ref="R22:R37" si="8">O22-Q22</f>
        <v>#REF!</v>
      </c>
      <c r="S22" s="141" t="e">
        <f t="shared" ref="S22:S60" si="9">V21</f>
        <v>#REF!</v>
      </c>
      <c r="T22" s="142" t="e">
        <f>IF($D$5&gt;6, S22*$U$16*0.5, S22*$U$16*$D$5/12)</f>
        <v>#REF!</v>
      </c>
      <c r="U22" s="249" t="e">
        <f>IF($U$17&gt;=B22, 0, IF(S22&gt;1, IF(ASS!#REF!=1,$U$14/(($U$15*2)-$U$17), -PMT($U$16/2,($U$15*2-B21),S22,0)-T22), 0))</f>
        <v>#REF!</v>
      </c>
      <c r="V22" s="143" t="e">
        <f t="shared" ref="V22:V37" si="10">S22-U22</f>
        <v>#REF!</v>
      </c>
      <c r="W22" s="141" t="e">
        <f t="shared" ref="W22:W60" si="11">Z21</f>
        <v>#REF!</v>
      </c>
      <c r="X22" s="142" t="e">
        <f>IF($D$5&gt;6, W22*$Y$16*0.5, W22*$Y$16*$D$5/12)</f>
        <v>#REF!</v>
      </c>
      <c r="Y22" s="249" t="e">
        <f>IF($Y$17&gt;=B22, 0, IF(W22&gt;1, IF(ASS!#REF!=1,$Y$14/(($Y$15*2)-$Y$17), -PMT($Y$16/2,($Y$15*2-B21),W22,0)-X22), 0))</f>
        <v>#REF!</v>
      </c>
      <c r="Z22" s="143" t="e">
        <f t="shared" ref="Z22:Z37" si="12">W22-Y22</f>
        <v>#REF!</v>
      </c>
      <c r="AA22" s="142" t="e">
        <f>SUM(D21:D22,H21:H22,L21:L22, P21:P22, T21:T22, X21:X22)</f>
        <v>#REF!</v>
      </c>
      <c r="AB22" s="143" t="e">
        <f>SUM(E21:E22, I21:I22, M21:M22, Q21:Q22, U21:U22, Y21:Y22)</f>
        <v>#REF!</v>
      </c>
    </row>
    <row r="23" spans="1:28" x14ac:dyDescent="0.2">
      <c r="A23" s="53">
        <f>A21+1</f>
        <v>2002</v>
      </c>
      <c r="B23" s="54">
        <f t="shared" ref="B23:B38" si="13">B22+1</f>
        <v>2</v>
      </c>
      <c r="C23" s="138" t="e">
        <f t="shared" si="2"/>
        <v>#REF!</v>
      </c>
      <c r="D23" s="139" t="e">
        <f>C23*$E$16*0.5</f>
        <v>#REF!</v>
      </c>
      <c r="E23" s="139" t="e">
        <f>IF($E$17&gt;=B23, 0, IF(C23&gt;1, IF(ASS!#REF!=1,$E$14/(($E$15*2)-$E$17), -PMT($E$16/2,($E$15*2-B22),C23,0)-D23), 0))</f>
        <v>#REF!</v>
      </c>
      <c r="F23" s="140" t="e">
        <f t="shared" ref="F23:F38" si="14">C23-E23</f>
        <v>#REF!</v>
      </c>
      <c r="G23" s="138" t="e">
        <f t="shared" si="3"/>
        <v>#REF!</v>
      </c>
      <c r="H23" s="139" t="e">
        <f>G23*$I$16*0.5</f>
        <v>#REF!</v>
      </c>
      <c r="I23" s="139" t="e">
        <f>IF($I$17&gt;=B23, 0, IF(G23&gt;1, IF(ASS!#REF!=1,$I$14/(($I$15*2)-$I$17), -PMT($I$16/2,($I$15*2-B22),G23,0)-H23), 0))</f>
        <v>#REF!</v>
      </c>
      <c r="J23" s="140" t="e">
        <f t="shared" si="4"/>
        <v>#REF!</v>
      </c>
      <c r="K23" s="138" t="e">
        <f t="shared" si="5"/>
        <v>#REF!</v>
      </c>
      <c r="L23" s="139" t="e">
        <f>K23*$M$16*0.5</f>
        <v>#REF!</v>
      </c>
      <c r="M23" s="139" t="e">
        <f>IF($M$17&gt;=B23, 0, IF(K23&gt;1, IF(ASS!#REF!=1,$M$14/(($M$15*2)-$M$17), -PMT($M$16/2,($M$15*2-B22),K23,0)-L23), 0))</f>
        <v>#REF!</v>
      </c>
      <c r="N23" s="140" t="e">
        <f t="shared" si="6"/>
        <v>#REF!</v>
      </c>
      <c r="O23" s="138" t="e">
        <f t="shared" si="7"/>
        <v>#REF!</v>
      </c>
      <c r="P23" s="139" t="e">
        <f>O23*$Q$16*0.5</f>
        <v>#REF!</v>
      </c>
      <c r="Q23" s="139" t="e">
        <f>IF($Q$17&gt;=B23, 0, IF(O23&gt;1, IF(ASS!#REF!=1,$Q$14/(($Q$15*2)-$Q$17), -PMT($Q$16/2,($Q$15*2-B22),O23,0)-P23), 0))</f>
        <v>#REF!</v>
      </c>
      <c r="R23" s="140" t="e">
        <f t="shared" si="8"/>
        <v>#REF!</v>
      </c>
      <c r="S23" s="138" t="e">
        <f t="shared" si="9"/>
        <v>#REF!</v>
      </c>
      <c r="T23" s="139" t="e">
        <f>S23*$U$16*0.5</f>
        <v>#REF!</v>
      </c>
      <c r="U23" s="139" t="e">
        <f>IF($U$17&gt;=B23, 0, IF(S23&gt;1, IF(ASS!#REF!=1,$U$14/(($U$15*2)-$U$17), -PMT($U$16/2,($U$15*2-B22),S23,0)-T23), 0))</f>
        <v>#REF!</v>
      </c>
      <c r="V23" s="140" t="e">
        <f t="shared" si="10"/>
        <v>#REF!</v>
      </c>
      <c r="W23" s="138" t="e">
        <f t="shared" si="11"/>
        <v>#REF!</v>
      </c>
      <c r="X23" s="139" t="e">
        <f>W23*$Y$16*0.5</f>
        <v>#REF!</v>
      </c>
      <c r="Y23" s="139" t="e">
        <f>IF($Y$17&gt;=B23, 0, IF(W23&gt;1, IF(ASS!#REF!=1,$Y$14/(($Y$15*2)-$Y$17), -PMT($Y$16/2,($Y$15*2-B22),W23,0)-X23), 0))</f>
        <v>#REF!</v>
      </c>
      <c r="Z23" s="140" t="e">
        <f t="shared" si="12"/>
        <v>#REF!</v>
      </c>
      <c r="AA23" s="139"/>
      <c r="AB23" s="140"/>
    </row>
    <row r="24" spans="1:28" x14ac:dyDescent="0.2">
      <c r="A24" s="64">
        <f>A23</f>
        <v>2002</v>
      </c>
      <c r="B24" s="65">
        <f t="shared" si="13"/>
        <v>3</v>
      </c>
      <c r="C24" s="141" t="e">
        <f t="shared" si="2"/>
        <v>#REF!</v>
      </c>
      <c r="D24" s="142" t="e">
        <f t="shared" ref="D24:D39" si="15">C24*$E$16*0.5</f>
        <v>#REF!</v>
      </c>
      <c r="E24" s="142" t="e">
        <f>IF($E$17&gt;=B24, 0, IF(C24&gt;1, IF(ASS!#REF!=1,$E$14/(($E$15*2)-$E$17), -PMT($E$16/2,($E$15*2-B23),C24,0)-D24), 0))</f>
        <v>#REF!</v>
      </c>
      <c r="F24" s="143" t="e">
        <f t="shared" si="14"/>
        <v>#REF!</v>
      </c>
      <c r="G24" s="141" t="e">
        <f t="shared" si="3"/>
        <v>#REF!</v>
      </c>
      <c r="H24" s="142" t="e">
        <f t="shared" ref="H24:H39" si="16">G24*$I$16*0.5</f>
        <v>#REF!</v>
      </c>
      <c r="I24" s="142" t="e">
        <f>IF($I$17&gt;=B24, 0, IF(G24&gt;1, IF(ASS!#REF!=1,$I$14/(($I$15*2)-$I$17), -PMT($I$16/2,($I$15*2-B23),G24,0)-H24), 0))</f>
        <v>#REF!</v>
      </c>
      <c r="J24" s="143" t="e">
        <f t="shared" si="4"/>
        <v>#REF!</v>
      </c>
      <c r="K24" s="141" t="e">
        <f t="shared" si="5"/>
        <v>#REF!</v>
      </c>
      <c r="L24" s="142" t="e">
        <f>K24*$M$16*0.5</f>
        <v>#REF!</v>
      </c>
      <c r="M24" s="142" t="e">
        <f>IF($M$17&gt;=B24, 0, IF(K24&gt;1, IF(ASS!#REF!=1,$M$14/(($M$15*2)-$M$17), -PMT($M$16/2,($M$15*2-B23),K24,0)-L24), 0))</f>
        <v>#REF!</v>
      </c>
      <c r="N24" s="143" t="e">
        <f t="shared" si="6"/>
        <v>#REF!</v>
      </c>
      <c r="O24" s="141" t="e">
        <f t="shared" si="7"/>
        <v>#REF!</v>
      </c>
      <c r="P24" s="142" t="e">
        <f t="shared" ref="P24:P39" si="17">O24*$Q$16*0.5</f>
        <v>#REF!</v>
      </c>
      <c r="Q24" s="142" t="e">
        <f>IF($Q$17&gt;=B24, 0, IF(O24&gt;1, IF(ASS!#REF!=1,$Q$14/(($Q$15*2)-$Q$17), -PMT($Q$16/2,($Q$15*2-B23),O24,0)-P24), 0))</f>
        <v>#REF!</v>
      </c>
      <c r="R24" s="143" t="e">
        <f t="shared" si="8"/>
        <v>#REF!</v>
      </c>
      <c r="S24" s="141" t="e">
        <f t="shared" si="9"/>
        <v>#REF!</v>
      </c>
      <c r="T24" s="142" t="e">
        <f t="shared" ref="T24:T39" si="18">S24*$U$16*0.5</f>
        <v>#REF!</v>
      </c>
      <c r="U24" s="142" t="e">
        <f>IF($U$17&gt;=B24, 0, IF(S24&gt;1, IF(ASS!#REF!=1,$U$14/(($U$15*2)-$U$17), -PMT($U$16/2,($U$15*2-B23),S24,0)-T24), 0))</f>
        <v>#REF!</v>
      </c>
      <c r="V24" s="143" t="e">
        <f t="shared" si="10"/>
        <v>#REF!</v>
      </c>
      <c r="W24" s="141" t="e">
        <f t="shared" si="11"/>
        <v>#REF!</v>
      </c>
      <c r="X24" s="142" t="e">
        <f t="shared" ref="X24:X39" si="19">W24*$Y$16*0.5</f>
        <v>#REF!</v>
      </c>
      <c r="Y24" s="142" t="e">
        <f>IF($Y$17&gt;=B24, 0, IF(W24&gt;1, IF(ASS!#REF!=1,$Y$14/(($Y$15*2)-$Y$17), -PMT($Y$16/2,($Y$15*2-B23),W24,0)-X24), 0))</f>
        <v>#REF!</v>
      </c>
      <c r="Z24" s="143" t="e">
        <f t="shared" si="12"/>
        <v>#REF!</v>
      </c>
      <c r="AA24" s="142" t="e">
        <f>SUM(D23:D24,H23:H24,L23:L24, P23:P24, T23:T24, X23:X24)</f>
        <v>#REF!</v>
      </c>
      <c r="AB24" s="143" t="e">
        <f>SUM(E23:E24, I23:I24, M23:M24, Q23:Q24, U23:U24, Y23:Y24)</f>
        <v>#REF!</v>
      </c>
    </row>
    <row r="25" spans="1:28" x14ac:dyDescent="0.2">
      <c r="A25" s="53">
        <f>A23+1</f>
        <v>2003</v>
      </c>
      <c r="B25" s="54">
        <f t="shared" si="13"/>
        <v>4</v>
      </c>
      <c r="C25" s="138" t="e">
        <f t="shared" si="2"/>
        <v>#REF!</v>
      </c>
      <c r="D25" s="139" t="e">
        <f t="shared" si="15"/>
        <v>#REF!</v>
      </c>
      <c r="E25" s="139" t="e">
        <f>IF($E$17&gt;=B25, 0, IF(C25&gt;1, IF(ASS!#REF!=1,$E$14/(($E$15*2)-$E$17), -PMT($E$16/2,($E$15*2-B24),C25,0)-D25), 0))</f>
        <v>#REF!</v>
      </c>
      <c r="F25" s="140" t="e">
        <f t="shared" si="14"/>
        <v>#REF!</v>
      </c>
      <c r="G25" s="138" t="e">
        <f t="shared" si="3"/>
        <v>#REF!</v>
      </c>
      <c r="H25" s="139" t="e">
        <f t="shared" si="16"/>
        <v>#REF!</v>
      </c>
      <c r="I25" s="139" t="e">
        <f>IF($I$17&gt;=B25, 0, IF(G25&gt;1, IF(ASS!#REF!=1,$I$14/(($I$15*2)-$I$17), -PMT($I$16/2,($I$15*2-B24),G25,0)-H25), 0))</f>
        <v>#REF!</v>
      </c>
      <c r="J25" s="140" t="e">
        <f t="shared" si="4"/>
        <v>#REF!</v>
      </c>
      <c r="K25" s="138" t="e">
        <f t="shared" si="5"/>
        <v>#REF!</v>
      </c>
      <c r="L25" s="139" t="e">
        <f t="shared" ref="L25:L40" si="20">K25*$M$16*0.5</f>
        <v>#REF!</v>
      </c>
      <c r="M25" s="139" t="e">
        <f>IF($M$17&gt;=B25, 0, IF(K25&gt;1, IF(ASS!#REF!=1,$M$14/(($M$15*2)-$M$17), -PMT($M$16/2,($M$15*2-B24),K25,0)-L25), 0))</f>
        <v>#REF!</v>
      </c>
      <c r="N25" s="140" t="e">
        <f t="shared" si="6"/>
        <v>#REF!</v>
      </c>
      <c r="O25" s="138" t="e">
        <f t="shared" si="7"/>
        <v>#REF!</v>
      </c>
      <c r="P25" s="139" t="e">
        <f t="shared" si="17"/>
        <v>#REF!</v>
      </c>
      <c r="Q25" s="139" t="e">
        <f>IF($Q$17&gt;=B25, 0, IF(O25&gt;1, IF(ASS!#REF!=1,$Q$14/(($Q$15*2)-$Q$17), -PMT($Q$16/2,($Q$15*2-B24),O25,0)-P25), 0))</f>
        <v>#REF!</v>
      </c>
      <c r="R25" s="140" t="e">
        <f t="shared" si="8"/>
        <v>#REF!</v>
      </c>
      <c r="S25" s="138" t="e">
        <f t="shared" si="9"/>
        <v>#REF!</v>
      </c>
      <c r="T25" s="139" t="e">
        <f t="shared" si="18"/>
        <v>#REF!</v>
      </c>
      <c r="U25" s="139" t="e">
        <f>IF($U$17&gt;=B25, 0, IF(S25&gt;1, IF(ASS!#REF!=1,$U$14/(($U$15*2)-$U$17), -PMT($U$16/2,($U$15*2-B24),S25,0)-T25), 0))</f>
        <v>#REF!</v>
      </c>
      <c r="V25" s="140" t="e">
        <f t="shared" si="10"/>
        <v>#REF!</v>
      </c>
      <c r="W25" s="138" t="e">
        <f t="shared" si="11"/>
        <v>#REF!</v>
      </c>
      <c r="X25" s="139" t="e">
        <f t="shared" si="19"/>
        <v>#REF!</v>
      </c>
      <c r="Y25" s="139" t="e">
        <f>IF($Y$17&gt;=B25, 0, IF(W25&gt;1, IF(ASS!#REF!=1,$Y$14/(($Y$15*2)-$Y$17), -PMT($Y$16/2,($Y$15*2-B24),W25,0)-X25), 0))</f>
        <v>#REF!</v>
      </c>
      <c r="Z25" s="140" t="e">
        <f t="shared" si="12"/>
        <v>#REF!</v>
      </c>
      <c r="AA25" s="139"/>
      <c r="AB25" s="140"/>
    </row>
    <row r="26" spans="1:28" x14ac:dyDescent="0.2">
      <c r="A26" s="64">
        <f t="shared" ref="A26:A41" si="21">A24+1</f>
        <v>2003</v>
      </c>
      <c r="B26" s="65">
        <f t="shared" si="13"/>
        <v>5</v>
      </c>
      <c r="C26" s="141" t="e">
        <f t="shared" si="2"/>
        <v>#REF!</v>
      </c>
      <c r="D26" s="142" t="e">
        <f t="shared" si="15"/>
        <v>#REF!</v>
      </c>
      <c r="E26" s="142" t="e">
        <f>IF($E$17&gt;=B26, 0, IF(C26&gt;1, IF(ASS!#REF!=1,$E$14/(($E$15*2)-$E$17), -PMT($E$16/2,($E$15*2-B25),C26,0)-D26), 0))</f>
        <v>#REF!</v>
      </c>
      <c r="F26" s="143" t="e">
        <f t="shared" si="14"/>
        <v>#REF!</v>
      </c>
      <c r="G26" s="141" t="e">
        <f t="shared" si="3"/>
        <v>#REF!</v>
      </c>
      <c r="H26" s="142" t="e">
        <f t="shared" si="16"/>
        <v>#REF!</v>
      </c>
      <c r="I26" s="142" t="e">
        <f>IF($I$17&gt;=B26, 0, IF(G26&gt;1, IF(ASS!#REF!=1,$I$14/(($I$15*2)-$I$17), -PMT($I$16/2,($I$15*2-B25),G26,0)-H26), 0))</f>
        <v>#REF!</v>
      </c>
      <c r="J26" s="143" t="e">
        <f t="shared" si="4"/>
        <v>#REF!</v>
      </c>
      <c r="K26" s="141" t="e">
        <f t="shared" si="5"/>
        <v>#REF!</v>
      </c>
      <c r="L26" s="142" t="e">
        <f t="shared" si="20"/>
        <v>#REF!</v>
      </c>
      <c r="M26" s="142" t="e">
        <f>IF($M$17&gt;=B26, 0, IF(K26&gt;1, IF(ASS!#REF!=1,$M$14/(($M$15*2)-$M$17), -PMT($M$16/2,($M$15*2-B25),K26,0)-L26), 0))</f>
        <v>#REF!</v>
      </c>
      <c r="N26" s="143" t="e">
        <f t="shared" si="6"/>
        <v>#REF!</v>
      </c>
      <c r="O26" s="141" t="e">
        <f t="shared" si="7"/>
        <v>#REF!</v>
      </c>
      <c r="P26" s="142" t="e">
        <f t="shared" si="17"/>
        <v>#REF!</v>
      </c>
      <c r="Q26" s="142" t="e">
        <f>IF($Q$17&gt;=B26, 0, IF(O26&gt;1, IF(ASS!#REF!=1,$Q$14/(($Q$15*2)-$Q$17), -PMT($Q$16/2,($Q$15*2-B25),O26,0)-P26), 0))</f>
        <v>#REF!</v>
      </c>
      <c r="R26" s="143" t="e">
        <f t="shared" si="8"/>
        <v>#REF!</v>
      </c>
      <c r="S26" s="141" t="e">
        <f t="shared" si="9"/>
        <v>#REF!</v>
      </c>
      <c r="T26" s="142" t="e">
        <f t="shared" si="18"/>
        <v>#REF!</v>
      </c>
      <c r="U26" s="142" t="e">
        <f>IF($U$17&gt;=B26, 0, IF(S26&gt;1, IF(ASS!#REF!=1,$U$14/(($U$15*2)-$U$17), -PMT($U$16/2,($U$15*2-B25),S26,0)-T26), 0))</f>
        <v>#REF!</v>
      </c>
      <c r="V26" s="143" t="e">
        <f t="shared" si="10"/>
        <v>#REF!</v>
      </c>
      <c r="W26" s="141" t="e">
        <f t="shared" si="11"/>
        <v>#REF!</v>
      </c>
      <c r="X26" s="142" t="e">
        <f t="shared" si="19"/>
        <v>#REF!</v>
      </c>
      <c r="Y26" s="142" t="e">
        <f>IF($Y$17&gt;=B26, 0, IF(W26&gt;1, IF(ASS!#REF!=1,$Y$14/(($Y$15*2)-$Y$17), -PMT($Y$16/2,($Y$15*2-B25),W26,0)-X26), 0))</f>
        <v>#REF!</v>
      </c>
      <c r="Z26" s="143" t="e">
        <f t="shared" si="12"/>
        <v>#REF!</v>
      </c>
      <c r="AA26" s="142" t="e">
        <f>SUM(D25:D26,H25:H26,L25:L26, P25:P26, T25:T26, X25:X26)</f>
        <v>#REF!</v>
      </c>
      <c r="AB26" s="143" t="e">
        <f>SUM(E25:E26, I25:I26, M25:M26, Q25:Q26, U25:U26, Y25:Y26)</f>
        <v>#REF!</v>
      </c>
    </row>
    <row r="27" spans="1:28" x14ac:dyDescent="0.2">
      <c r="A27" s="53">
        <f t="shared" si="21"/>
        <v>2004</v>
      </c>
      <c r="B27" s="54">
        <f t="shared" si="13"/>
        <v>6</v>
      </c>
      <c r="C27" s="138" t="e">
        <f t="shared" si="2"/>
        <v>#REF!</v>
      </c>
      <c r="D27" s="139" t="e">
        <f t="shared" si="15"/>
        <v>#REF!</v>
      </c>
      <c r="E27" s="139" t="e">
        <f>IF($E$17&gt;=B27, 0, IF(C27&gt;1, IF(ASS!#REF!=1,$E$14/(($E$15*2)-$E$17), -PMT($E$16/2,($E$15*2-B26),C27,0)-D27), 0))</f>
        <v>#REF!</v>
      </c>
      <c r="F27" s="140" t="e">
        <f t="shared" si="14"/>
        <v>#REF!</v>
      </c>
      <c r="G27" s="138" t="e">
        <f t="shared" si="3"/>
        <v>#REF!</v>
      </c>
      <c r="H27" s="139" t="e">
        <f t="shared" si="16"/>
        <v>#REF!</v>
      </c>
      <c r="I27" s="139" t="e">
        <f>IF($I$17&gt;=B27, 0, IF(G27&gt;1, IF(ASS!#REF!=1,$I$14/(($I$15*2)-$I$17), -PMT($I$16/2,($I$15*2-B26),G27,0)-H27), 0))</f>
        <v>#REF!</v>
      </c>
      <c r="J27" s="140" t="e">
        <f t="shared" si="4"/>
        <v>#REF!</v>
      </c>
      <c r="K27" s="138" t="e">
        <f t="shared" si="5"/>
        <v>#REF!</v>
      </c>
      <c r="L27" s="139" t="e">
        <f t="shared" si="20"/>
        <v>#REF!</v>
      </c>
      <c r="M27" s="139" t="e">
        <f>IF($M$17&gt;=B27, 0, IF(K27&gt;1, IF(ASS!#REF!=1,$M$14/(($M$15*2)-$M$17), -PMT($M$16/2,($M$15*2-B26),K27,0)-L27), 0))</f>
        <v>#REF!</v>
      </c>
      <c r="N27" s="140" t="e">
        <f t="shared" si="6"/>
        <v>#REF!</v>
      </c>
      <c r="O27" s="138" t="e">
        <f t="shared" si="7"/>
        <v>#REF!</v>
      </c>
      <c r="P27" s="139" t="e">
        <f t="shared" si="17"/>
        <v>#REF!</v>
      </c>
      <c r="Q27" s="139" t="e">
        <f>IF($Q$17&gt;=B27, 0, IF(O27&gt;1, IF(ASS!#REF!=1,$Q$14/(($Q$15*2)-$Q$17), -PMT($Q$16/2,($Q$15*2-B26),O27,0)-P27), 0))</f>
        <v>#REF!</v>
      </c>
      <c r="R27" s="140" t="e">
        <f t="shared" si="8"/>
        <v>#REF!</v>
      </c>
      <c r="S27" s="138" t="e">
        <f t="shared" si="9"/>
        <v>#REF!</v>
      </c>
      <c r="T27" s="139" t="e">
        <f t="shared" si="18"/>
        <v>#REF!</v>
      </c>
      <c r="U27" s="139" t="e">
        <f>IF($U$17&gt;=B27, 0, IF(S27&gt;1, IF(ASS!#REF!=1,$U$14/(($U$15*2)-$U$17), -PMT($U$16/2,($U$15*2-B26),S27,0)-T27), 0))</f>
        <v>#REF!</v>
      </c>
      <c r="V27" s="140" t="e">
        <f t="shared" si="10"/>
        <v>#REF!</v>
      </c>
      <c r="W27" s="138" t="e">
        <f t="shared" si="11"/>
        <v>#REF!</v>
      </c>
      <c r="X27" s="139" t="e">
        <f t="shared" si="19"/>
        <v>#REF!</v>
      </c>
      <c r="Y27" s="139" t="e">
        <f>IF($Y$17&gt;=B27, 0, IF(W27&gt;1, IF(ASS!#REF!=1,$Y$14/(($Y$15*2)-$Y$17), -PMT($Y$16/2,($Y$15*2-B26),W27,0)-X27), 0))</f>
        <v>#REF!</v>
      </c>
      <c r="Z27" s="140" t="e">
        <f t="shared" si="12"/>
        <v>#REF!</v>
      </c>
      <c r="AA27" s="139"/>
      <c r="AB27" s="140"/>
    </row>
    <row r="28" spans="1:28" x14ac:dyDescent="0.2">
      <c r="A28" s="64">
        <f>A27</f>
        <v>2004</v>
      </c>
      <c r="B28" s="65">
        <f t="shared" si="13"/>
        <v>7</v>
      </c>
      <c r="C28" s="141" t="e">
        <f t="shared" si="2"/>
        <v>#REF!</v>
      </c>
      <c r="D28" s="142" t="e">
        <f t="shared" si="15"/>
        <v>#REF!</v>
      </c>
      <c r="E28" s="142" t="e">
        <f>IF($E$17&gt;=B28, 0, IF(C28&gt;1, IF(ASS!#REF!=1,$E$14/(($E$15*2)-$E$17), -PMT($E$16/2,($E$15*2-B27),C28,0)-D28), 0))</f>
        <v>#REF!</v>
      </c>
      <c r="F28" s="143" t="e">
        <f t="shared" si="14"/>
        <v>#REF!</v>
      </c>
      <c r="G28" s="141" t="e">
        <f t="shared" si="3"/>
        <v>#REF!</v>
      </c>
      <c r="H28" s="142" t="e">
        <f t="shared" si="16"/>
        <v>#REF!</v>
      </c>
      <c r="I28" s="142" t="e">
        <f>IF($I$17&gt;=B28, 0, IF(G28&gt;1, IF(ASS!#REF!=1,$I$14/(($I$15*2)-$I$17), -PMT($I$16/2,($I$15*2-B27),G28,0)-H28), 0))</f>
        <v>#REF!</v>
      </c>
      <c r="J28" s="143" t="e">
        <f t="shared" si="4"/>
        <v>#REF!</v>
      </c>
      <c r="K28" s="141" t="e">
        <f t="shared" si="5"/>
        <v>#REF!</v>
      </c>
      <c r="L28" s="142" t="e">
        <f t="shared" si="20"/>
        <v>#REF!</v>
      </c>
      <c r="M28" s="142" t="e">
        <f>IF($M$17&gt;=B28, 0, IF(K28&gt;1, IF(ASS!#REF!=1,$M$14/(($M$15*2)-$M$17), -PMT($M$16/2,($M$15*2-B27),K28,0)-L28), 0))</f>
        <v>#REF!</v>
      </c>
      <c r="N28" s="143" t="e">
        <f t="shared" si="6"/>
        <v>#REF!</v>
      </c>
      <c r="O28" s="141" t="e">
        <f t="shared" si="7"/>
        <v>#REF!</v>
      </c>
      <c r="P28" s="142" t="e">
        <f t="shared" si="17"/>
        <v>#REF!</v>
      </c>
      <c r="Q28" s="142" t="e">
        <f>IF($Q$17&gt;=B28, 0, IF(O28&gt;1, IF(ASS!#REF!=1,$Q$14/(($Q$15*2)-$Q$17), -PMT($Q$16/2,($Q$15*2-B27),O28,0)-P28), 0))</f>
        <v>#REF!</v>
      </c>
      <c r="R28" s="143" t="e">
        <f t="shared" si="8"/>
        <v>#REF!</v>
      </c>
      <c r="S28" s="141" t="e">
        <f t="shared" si="9"/>
        <v>#REF!</v>
      </c>
      <c r="T28" s="142" t="e">
        <f t="shared" si="18"/>
        <v>#REF!</v>
      </c>
      <c r="U28" s="142" t="e">
        <f>IF($U$17&gt;=B28, 0, IF(S28&gt;1, IF(ASS!#REF!=1,$U$14/(($U$15*2)-$U$17), -PMT($U$16/2,($U$15*2-B27),S28,0)-T28), 0))</f>
        <v>#REF!</v>
      </c>
      <c r="V28" s="143" t="e">
        <f t="shared" si="10"/>
        <v>#REF!</v>
      </c>
      <c r="W28" s="141" t="e">
        <f t="shared" si="11"/>
        <v>#REF!</v>
      </c>
      <c r="X28" s="142" t="e">
        <f t="shared" si="19"/>
        <v>#REF!</v>
      </c>
      <c r="Y28" s="142" t="e">
        <f>IF($Y$17&gt;=B28, 0, IF(W28&gt;1, IF(ASS!#REF!=1,$Y$14/(($Y$15*2)-$Y$17), -PMT($Y$16/2,($Y$15*2-B27),W28,0)-X28), 0))</f>
        <v>#REF!</v>
      </c>
      <c r="Z28" s="143" t="e">
        <f t="shared" si="12"/>
        <v>#REF!</v>
      </c>
      <c r="AA28" s="142" t="e">
        <f>SUM(D27:D28,H27:H28,L27:L28, P27:P28, T27:T28, X27:X28)</f>
        <v>#REF!</v>
      </c>
      <c r="AB28" s="143" t="e">
        <f>SUM(E27:E28, I27:I28, M27:M28, Q27:Q28, U27:U28, Y27:Y28)</f>
        <v>#REF!</v>
      </c>
    </row>
    <row r="29" spans="1:28" x14ac:dyDescent="0.2">
      <c r="A29" s="53">
        <f t="shared" si="21"/>
        <v>2005</v>
      </c>
      <c r="B29" s="54">
        <f t="shared" si="13"/>
        <v>8</v>
      </c>
      <c r="C29" s="138" t="e">
        <f t="shared" si="2"/>
        <v>#REF!</v>
      </c>
      <c r="D29" s="139" t="e">
        <f t="shared" si="15"/>
        <v>#REF!</v>
      </c>
      <c r="E29" s="139" t="e">
        <f>IF($E$17&gt;=B29, 0, IF(C29&gt;1, IF(ASS!#REF!=1,$E$14/(($E$15*2)-$E$17), -PMT($E$16/2,($E$15*2-B28),C29,0)-D29), 0))</f>
        <v>#REF!</v>
      </c>
      <c r="F29" s="140" t="e">
        <f t="shared" si="14"/>
        <v>#REF!</v>
      </c>
      <c r="G29" s="138" t="e">
        <f t="shared" si="3"/>
        <v>#REF!</v>
      </c>
      <c r="H29" s="139" t="e">
        <f t="shared" si="16"/>
        <v>#REF!</v>
      </c>
      <c r="I29" s="139" t="e">
        <f>IF($I$17&gt;=B29, 0, IF(G29&gt;1, IF(ASS!#REF!=1,$I$14/(($I$15*2)-$I$17), -PMT($I$16/2,($I$15*2-B28),G29,0)-H29), 0))</f>
        <v>#REF!</v>
      </c>
      <c r="J29" s="140" t="e">
        <f t="shared" si="4"/>
        <v>#REF!</v>
      </c>
      <c r="K29" s="138" t="e">
        <f t="shared" si="5"/>
        <v>#REF!</v>
      </c>
      <c r="L29" s="139" t="e">
        <f t="shared" si="20"/>
        <v>#REF!</v>
      </c>
      <c r="M29" s="139" t="e">
        <f>IF($M$17&gt;=B29, 0, IF(K29&gt;1, IF(ASS!#REF!=1,$M$14/(($M$15*2)-$M$17), -PMT($M$16/2,($M$15*2-B28),K29,0)-L29), 0))</f>
        <v>#REF!</v>
      </c>
      <c r="N29" s="140" t="e">
        <f t="shared" si="6"/>
        <v>#REF!</v>
      </c>
      <c r="O29" s="138" t="e">
        <f t="shared" si="7"/>
        <v>#REF!</v>
      </c>
      <c r="P29" s="139" t="e">
        <f t="shared" si="17"/>
        <v>#REF!</v>
      </c>
      <c r="Q29" s="139" t="e">
        <f>IF($Q$17&gt;=B29, 0, IF(O29&gt;1, IF(ASS!#REF!=1,$Q$14/(($Q$15*2)-$Q$17), -PMT($Q$16/2,($Q$15*2-B28),O29,0)-P29), 0))</f>
        <v>#REF!</v>
      </c>
      <c r="R29" s="140" t="e">
        <f t="shared" si="8"/>
        <v>#REF!</v>
      </c>
      <c r="S29" s="138" t="e">
        <f t="shared" si="9"/>
        <v>#REF!</v>
      </c>
      <c r="T29" s="139" t="e">
        <f t="shared" si="18"/>
        <v>#REF!</v>
      </c>
      <c r="U29" s="139" t="e">
        <f>IF($U$17&gt;=B29, 0, IF(S29&gt;1, IF(ASS!#REF!=1,$U$14/(($U$15*2)-$U$17), -PMT($U$16/2,($U$15*2-B28),S29,0)-T29), 0))</f>
        <v>#REF!</v>
      </c>
      <c r="V29" s="140" t="e">
        <f t="shared" si="10"/>
        <v>#REF!</v>
      </c>
      <c r="W29" s="138" t="e">
        <f t="shared" si="11"/>
        <v>#REF!</v>
      </c>
      <c r="X29" s="139" t="e">
        <f t="shared" si="19"/>
        <v>#REF!</v>
      </c>
      <c r="Y29" s="139" t="e">
        <f>IF($Y$17&gt;=B29, 0, IF(W29&gt;1, IF(ASS!#REF!=1,$Y$14/(($Y$15*2)-$Y$17), -PMT($Y$16/2,($Y$15*2-B28),W29,0)-X29), 0))</f>
        <v>#REF!</v>
      </c>
      <c r="Z29" s="140" t="e">
        <f t="shared" si="12"/>
        <v>#REF!</v>
      </c>
      <c r="AA29" s="139"/>
      <c r="AB29" s="140"/>
    </row>
    <row r="30" spans="1:28" x14ac:dyDescent="0.2">
      <c r="A30" s="64">
        <f>A29</f>
        <v>2005</v>
      </c>
      <c r="B30" s="65">
        <f t="shared" si="13"/>
        <v>9</v>
      </c>
      <c r="C30" s="141" t="e">
        <f t="shared" si="2"/>
        <v>#REF!</v>
      </c>
      <c r="D30" s="142" t="e">
        <f t="shared" si="15"/>
        <v>#REF!</v>
      </c>
      <c r="E30" s="142" t="e">
        <f>IF($E$17&gt;=B30, 0, IF(C30&gt;1, IF(ASS!#REF!=1,$E$14/(($E$15*2)-$E$17), -PMT($E$16/2,($E$15*2-B29),C30,0)-D30), 0))</f>
        <v>#REF!</v>
      </c>
      <c r="F30" s="143" t="e">
        <f t="shared" si="14"/>
        <v>#REF!</v>
      </c>
      <c r="G30" s="141" t="e">
        <f t="shared" si="3"/>
        <v>#REF!</v>
      </c>
      <c r="H30" s="142" t="e">
        <f t="shared" si="16"/>
        <v>#REF!</v>
      </c>
      <c r="I30" s="142" t="e">
        <f>IF($I$17&gt;=B30, 0, IF(G30&gt;1, IF(ASS!#REF!=1,$I$14/(($I$15*2)-$I$17), -PMT($I$16/2,($I$15*2-B29),G30,0)-H30), 0))</f>
        <v>#REF!</v>
      </c>
      <c r="J30" s="143" t="e">
        <f t="shared" si="4"/>
        <v>#REF!</v>
      </c>
      <c r="K30" s="141" t="e">
        <f t="shared" si="5"/>
        <v>#REF!</v>
      </c>
      <c r="L30" s="142" t="e">
        <f t="shared" si="20"/>
        <v>#REF!</v>
      </c>
      <c r="M30" s="142" t="e">
        <f>IF($M$17&gt;=B30, 0, IF(K30&gt;1, IF(ASS!#REF!=1,$M$14/(($M$15*2)-$M$17), -PMT($M$16/2,($M$15*2-B29),K30,0)-L30), 0))</f>
        <v>#REF!</v>
      </c>
      <c r="N30" s="143" t="e">
        <f t="shared" si="6"/>
        <v>#REF!</v>
      </c>
      <c r="O30" s="141" t="e">
        <f t="shared" si="7"/>
        <v>#REF!</v>
      </c>
      <c r="P30" s="142" t="e">
        <f t="shared" si="17"/>
        <v>#REF!</v>
      </c>
      <c r="Q30" s="142" t="e">
        <f>IF($Q$17&gt;=B30, 0, IF(O30&gt;1, IF(ASS!#REF!=1,$Q$14/(($Q$15*2)-$Q$17), -PMT($Q$16/2,($Q$15*2-B29),O30,0)-P30), 0))</f>
        <v>#REF!</v>
      </c>
      <c r="R30" s="143" t="e">
        <f t="shared" si="8"/>
        <v>#REF!</v>
      </c>
      <c r="S30" s="141" t="e">
        <f t="shared" si="9"/>
        <v>#REF!</v>
      </c>
      <c r="T30" s="142" t="e">
        <f t="shared" si="18"/>
        <v>#REF!</v>
      </c>
      <c r="U30" s="142" t="e">
        <f>IF($U$17&gt;=B30, 0, IF(S30&gt;1, IF(ASS!#REF!=1,$U$14/(($U$15*2)-$U$17), -PMT($U$16/2,($U$15*2-B29),S30,0)-T30), 0))</f>
        <v>#REF!</v>
      </c>
      <c r="V30" s="143" t="e">
        <f t="shared" si="10"/>
        <v>#REF!</v>
      </c>
      <c r="W30" s="141" t="e">
        <f t="shared" si="11"/>
        <v>#REF!</v>
      </c>
      <c r="X30" s="142" t="e">
        <f t="shared" si="19"/>
        <v>#REF!</v>
      </c>
      <c r="Y30" s="142" t="e">
        <f>IF($Y$17&gt;=B30, 0, IF(W30&gt;1, IF(ASS!#REF!=1,$Y$14/(($Y$15*2)-$Y$17), -PMT($Y$16/2,($Y$15*2-B29),W30,0)-X30), 0))</f>
        <v>#REF!</v>
      </c>
      <c r="Z30" s="143" t="e">
        <f t="shared" si="12"/>
        <v>#REF!</v>
      </c>
      <c r="AA30" s="142" t="e">
        <f>SUM(D29:D30,H29:H30,L29:L30, P29:P30, T29:T30, X29:X30)</f>
        <v>#REF!</v>
      </c>
      <c r="AB30" s="143" t="e">
        <f>SUM(E29:E30, I29:I30, M29:M30, Q29:Q30, U29:U30, Y29:Y30)</f>
        <v>#REF!</v>
      </c>
    </row>
    <row r="31" spans="1:28" x14ac:dyDescent="0.2">
      <c r="A31" s="53">
        <f t="shared" si="21"/>
        <v>2006</v>
      </c>
      <c r="B31" s="54">
        <f t="shared" si="13"/>
        <v>10</v>
      </c>
      <c r="C31" s="138" t="e">
        <f t="shared" si="2"/>
        <v>#REF!</v>
      </c>
      <c r="D31" s="139" t="e">
        <f t="shared" si="15"/>
        <v>#REF!</v>
      </c>
      <c r="E31" s="139" t="e">
        <f>IF($E$17&gt;=B31, 0, IF(C31&gt;1, IF(ASS!#REF!=1,$E$14/(($E$15*2)-$E$17), -PMT($E$16/2,($E$15*2-B30),C31,0)-D31), 0))</f>
        <v>#REF!</v>
      </c>
      <c r="F31" s="140" t="e">
        <f t="shared" si="14"/>
        <v>#REF!</v>
      </c>
      <c r="G31" s="138" t="e">
        <f t="shared" si="3"/>
        <v>#REF!</v>
      </c>
      <c r="H31" s="139" t="e">
        <f t="shared" si="16"/>
        <v>#REF!</v>
      </c>
      <c r="I31" s="139" t="e">
        <f>IF($I$17&gt;=B31, 0, IF(G31&gt;1, IF(ASS!#REF!=1,$I$14/(($I$15*2)-$I$17), -PMT($I$16/2,($I$15*2-B30),G31,0)-H31), 0))</f>
        <v>#REF!</v>
      </c>
      <c r="J31" s="140" t="e">
        <f t="shared" si="4"/>
        <v>#REF!</v>
      </c>
      <c r="K31" s="138" t="e">
        <f t="shared" si="5"/>
        <v>#REF!</v>
      </c>
      <c r="L31" s="139" t="e">
        <f t="shared" si="20"/>
        <v>#REF!</v>
      </c>
      <c r="M31" s="139" t="e">
        <f>IF($M$17&gt;=B31, 0, IF(K31&gt;1, IF(ASS!#REF!=1,$M$14/(($M$15*2)-$M$17), -PMT($M$16/2,($M$15*2-B30),K31,0)-L31), 0))</f>
        <v>#REF!</v>
      </c>
      <c r="N31" s="140" t="e">
        <f t="shared" si="6"/>
        <v>#REF!</v>
      </c>
      <c r="O31" s="138" t="e">
        <f t="shared" si="7"/>
        <v>#REF!</v>
      </c>
      <c r="P31" s="139" t="e">
        <f t="shared" si="17"/>
        <v>#REF!</v>
      </c>
      <c r="Q31" s="139" t="e">
        <f>IF($Q$17&gt;=B31, 0, IF(O31&gt;1, IF(ASS!#REF!=1,$Q$14/(($Q$15*2)-$Q$17), -PMT($Q$16/2,($Q$15*2-B30),O31,0)-P31), 0))</f>
        <v>#REF!</v>
      </c>
      <c r="R31" s="140" t="e">
        <f t="shared" si="8"/>
        <v>#REF!</v>
      </c>
      <c r="S31" s="138" t="e">
        <f t="shared" si="9"/>
        <v>#REF!</v>
      </c>
      <c r="T31" s="139" t="e">
        <f t="shared" si="18"/>
        <v>#REF!</v>
      </c>
      <c r="U31" s="139" t="e">
        <f>IF($U$17&gt;=B31, 0, IF(S31&gt;1, IF(ASS!#REF!=1,$U$14/(($U$15*2)-$U$17), -PMT($U$16/2,($U$15*2-B30),S31,0)-T31), 0))</f>
        <v>#REF!</v>
      </c>
      <c r="V31" s="140" t="e">
        <f t="shared" si="10"/>
        <v>#REF!</v>
      </c>
      <c r="W31" s="138" t="e">
        <f t="shared" si="11"/>
        <v>#REF!</v>
      </c>
      <c r="X31" s="139" t="e">
        <f t="shared" si="19"/>
        <v>#REF!</v>
      </c>
      <c r="Y31" s="139" t="e">
        <f>IF($Y$17&gt;=B31, 0, IF(W31&gt;1, IF(ASS!#REF!=1,$Y$14/(($Y$15*2)-$Y$17), -PMT($Y$16/2,($Y$15*2-B30),W31,0)-X31), 0))</f>
        <v>#REF!</v>
      </c>
      <c r="Z31" s="140" t="e">
        <f t="shared" si="12"/>
        <v>#REF!</v>
      </c>
      <c r="AA31" s="139"/>
      <c r="AB31" s="140"/>
    </row>
    <row r="32" spans="1:28" x14ac:dyDescent="0.2">
      <c r="A32" s="64">
        <f>A31</f>
        <v>2006</v>
      </c>
      <c r="B32" s="65">
        <f t="shared" si="13"/>
        <v>11</v>
      </c>
      <c r="C32" s="141" t="e">
        <f t="shared" si="2"/>
        <v>#REF!</v>
      </c>
      <c r="D32" s="142" t="e">
        <f t="shared" si="15"/>
        <v>#REF!</v>
      </c>
      <c r="E32" s="142" t="e">
        <f>IF($E$17&gt;=B32, 0, IF(C32&gt;1, IF(ASS!#REF!=1,$E$14/(($E$15*2)-$E$17), -PMT($E$16/2,($E$15*2-B31),C32,0)-D32), 0))</f>
        <v>#REF!</v>
      </c>
      <c r="F32" s="143" t="e">
        <f t="shared" si="14"/>
        <v>#REF!</v>
      </c>
      <c r="G32" s="141" t="e">
        <f t="shared" si="3"/>
        <v>#REF!</v>
      </c>
      <c r="H32" s="142" t="e">
        <f t="shared" si="16"/>
        <v>#REF!</v>
      </c>
      <c r="I32" s="142" t="e">
        <f>IF($I$17&gt;=B32, 0, IF(G32&gt;1, IF(ASS!#REF!=1,$I$14/(($I$15*2)-$I$17), -PMT($I$16/2,($I$15*2-B31),G32,0)-H32), 0))</f>
        <v>#REF!</v>
      </c>
      <c r="J32" s="143" t="e">
        <f t="shared" si="4"/>
        <v>#REF!</v>
      </c>
      <c r="K32" s="141" t="e">
        <f t="shared" si="5"/>
        <v>#REF!</v>
      </c>
      <c r="L32" s="142" t="e">
        <f t="shared" si="20"/>
        <v>#REF!</v>
      </c>
      <c r="M32" s="142" t="e">
        <f>IF($M$17&gt;=B32, 0, IF(K32&gt;1, IF(ASS!#REF!=1,$M$14/(($M$15*2)-$M$17), -PMT($M$16/2,($M$15*2-B31),K32,0)-L32), 0))</f>
        <v>#REF!</v>
      </c>
      <c r="N32" s="143" t="e">
        <f t="shared" si="6"/>
        <v>#REF!</v>
      </c>
      <c r="O32" s="141" t="e">
        <f t="shared" si="7"/>
        <v>#REF!</v>
      </c>
      <c r="P32" s="142" t="e">
        <f t="shared" si="17"/>
        <v>#REF!</v>
      </c>
      <c r="Q32" s="142" t="e">
        <f>IF($Q$17&gt;=B32, 0, IF(O32&gt;1, IF(ASS!#REF!=1,$Q$14/(($Q$15*2)-$Q$17), -PMT($Q$16/2,($Q$15*2-B31),O32,0)-P32), 0))</f>
        <v>#REF!</v>
      </c>
      <c r="R32" s="143" t="e">
        <f t="shared" si="8"/>
        <v>#REF!</v>
      </c>
      <c r="S32" s="141" t="e">
        <f t="shared" si="9"/>
        <v>#REF!</v>
      </c>
      <c r="T32" s="142" t="e">
        <f t="shared" si="18"/>
        <v>#REF!</v>
      </c>
      <c r="U32" s="142" t="e">
        <f>IF($U$17&gt;=B32, 0, IF(S32&gt;1, IF(ASS!#REF!=1,$U$14/(($U$15*2)-$U$17), -PMT($U$16/2,($U$15*2-B31),S32,0)-T32), 0))</f>
        <v>#REF!</v>
      </c>
      <c r="V32" s="143" t="e">
        <f t="shared" si="10"/>
        <v>#REF!</v>
      </c>
      <c r="W32" s="141" t="e">
        <f t="shared" si="11"/>
        <v>#REF!</v>
      </c>
      <c r="X32" s="142" t="e">
        <f t="shared" si="19"/>
        <v>#REF!</v>
      </c>
      <c r="Y32" s="142" t="e">
        <f>IF($Y$17&gt;=B32, 0, IF(W32&gt;1, IF(ASS!#REF!=1,$Y$14/(($Y$15*2)-$Y$17), -PMT($Y$16/2,($Y$15*2-B31),W32,0)-X32), 0))</f>
        <v>#REF!</v>
      </c>
      <c r="Z32" s="143" t="e">
        <f t="shared" si="12"/>
        <v>#REF!</v>
      </c>
      <c r="AA32" s="142" t="e">
        <f>SUM(D31:D32,H31:H32,L31:L32, P31:P32, T31:T32, X31:X32)</f>
        <v>#REF!</v>
      </c>
      <c r="AB32" s="143" t="e">
        <f>SUM(E31:E32, I31:I32, M31:M32, Q31:Q32, U31:U32, Y31:Y32)</f>
        <v>#REF!</v>
      </c>
    </row>
    <row r="33" spans="1:28" x14ac:dyDescent="0.2">
      <c r="A33" s="53">
        <f t="shared" si="21"/>
        <v>2007</v>
      </c>
      <c r="B33" s="54">
        <f t="shared" si="13"/>
        <v>12</v>
      </c>
      <c r="C33" s="138" t="e">
        <f t="shared" si="2"/>
        <v>#REF!</v>
      </c>
      <c r="D33" s="139" t="e">
        <f t="shared" si="15"/>
        <v>#REF!</v>
      </c>
      <c r="E33" s="139" t="e">
        <f>IF($E$17&gt;=B33, 0, IF(C33&gt;1, IF(ASS!#REF!=1,$E$14/(($E$15*2)-$E$17), -PMT($E$16/2,($E$15*2-B32),C33,0)-D33), 0))</f>
        <v>#REF!</v>
      </c>
      <c r="F33" s="140" t="e">
        <f t="shared" si="14"/>
        <v>#REF!</v>
      </c>
      <c r="G33" s="138" t="e">
        <f t="shared" si="3"/>
        <v>#REF!</v>
      </c>
      <c r="H33" s="139" t="e">
        <f t="shared" si="16"/>
        <v>#REF!</v>
      </c>
      <c r="I33" s="139" t="e">
        <f>IF($I$17&gt;=B33, 0, IF(G33&gt;1, IF(ASS!#REF!=1,$I$14/(($I$15*2)-$I$17), -PMT($I$16/2,($I$15*2-B32),G33,0)-H33), 0))</f>
        <v>#REF!</v>
      </c>
      <c r="J33" s="140" t="e">
        <f t="shared" si="4"/>
        <v>#REF!</v>
      </c>
      <c r="K33" s="138" t="e">
        <f t="shared" si="5"/>
        <v>#REF!</v>
      </c>
      <c r="L33" s="139" t="e">
        <f t="shared" si="20"/>
        <v>#REF!</v>
      </c>
      <c r="M33" s="139" t="e">
        <f>IF($M$17&gt;=B33, 0, IF(K33&gt;1, IF(ASS!#REF!=1,$M$14/(($M$15*2)-$M$17), -PMT($M$16/2,($M$15*2-B32),K33,0)-L33), 0))</f>
        <v>#REF!</v>
      </c>
      <c r="N33" s="140" t="e">
        <f t="shared" si="6"/>
        <v>#REF!</v>
      </c>
      <c r="O33" s="138" t="e">
        <f t="shared" si="7"/>
        <v>#REF!</v>
      </c>
      <c r="P33" s="139" t="e">
        <f t="shared" si="17"/>
        <v>#REF!</v>
      </c>
      <c r="Q33" s="139" t="e">
        <f>IF($Q$17&gt;=B33, 0, IF(O33&gt;1, IF(ASS!#REF!=1,$Q$14/(($Q$15*2)-$Q$17), -PMT($Q$16/2,($Q$15*2-B32),O33,0)-P33), 0))</f>
        <v>#REF!</v>
      </c>
      <c r="R33" s="140" t="e">
        <f t="shared" si="8"/>
        <v>#REF!</v>
      </c>
      <c r="S33" s="138" t="e">
        <f t="shared" si="9"/>
        <v>#REF!</v>
      </c>
      <c r="T33" s="139" t="e">
        <f t="shared" si="18"/>
        <v>#REF!</v>
      </c>
      <c r="U33" s="139" t="e">
        <f>IF($U$17&gt;=B33, 0, IF(S33&gt;1, IF(ASS!#REF!=1,$U$14/(($U$15*2)-$U$17), -PMT($U$16/2,($U$15*2-B32),S33,0)-T33), 0))</f>
        <v>#REF!</v>
      </c>
      <c r="V33" s="140" t="e">
        <f t="shared" si="10"/>
        <v>#REF!</v>
      </c>
      <c r="W33" s="138" t="e">
        <f t="shared" si="11"/>
        <v>#REF!</v>
      </c>
      <c r="X33" s="139" t="e">
        <f t="shared" si="19"/>
        <v>#REF!</v>
      </c>
      <c r="Y33" s="139" t="e">
        <f>IF($Y$17&gt;=B33, 0, IF(W33&gt;1, IF(ASS!#REF!=1,$Y$14/(($Y$15*2)-$Y$17), -PMT($Y$16/2,($Y$15*2-B32),W33,0)-X33), 0))</f>
        <v>#REF!</v>
      </c>
      <c r="Z33" s="140" t="e">
        <f t="shared" si="12"/>
        <v>#REF!</v>
      </c>
      <c r="AA33" s="139"/>
      <c r="AB33" s="140"/>
    </row>
    <row r="34" spans="1:28" x14ac:dyDescent="0.2">
      <c r="A34" s="64">
        <f>A33</f>
        <v>2007</v>
      </c>
      <c r="B34" s="65">
        <f t="shared" si="13"/>
        <v>13</v>
      </c>
      <c r="C34" s="141" t="e">
        <f t="shared" si="2"/>
        <v>#REF!</v>
      </c>
      <c r="D34" s="142" t="e">
        <f t="shared" si="15"/>
        <v>#REF!</v>
      </c>
      <c r="E34" s="142" t="e">
        <f>IF($E$17&gt;=B34, 0, IF(C34&gt;1, IF(ASS!#REF!=1,$E$14/(($E$15*2)-$E$17), -PMT($E$16/2,($E$15*2-B33),C34,0)-D34), 0))</f>
        <v>#REF!</v>
      </c>
      <c r="F34" s="143" t="e">
        <f t="shared" si="14"/>
        <v>#REF!</v>
      </c>
      <c r="G34" s="141" t="e">
        <f t="shared" si="3"/>
        <v>#REF!</v>
      </c>
      <c r="H34" s="142" t="e">
        <f t="shared" si="16"/>
        <v>#REF!</v>
      </c>
      <c r="I34" s="142" t="e">
        <f>IF($I$17&gt;=B34, 0, IF(G34&gt;1, IF(ASS!#REF!=1,$I$14/(($I$15*2)-$I$17), -PMT($I$16/2,($I$15*2-B33),G34,0)-H34), 0))</f>
        <v>#REF!</v>
      </c>
      <c r="J34" s="143" t="e">
        <f t="shared" si="4"/>
        <v>#REF!</v>
      </c>
      <c r="K34" s="141" t="e">
        <f t="shared" si="5"/>
        <v>#REF!</v>
      </c>
      <c r="L34" s="142" t="e">
        <f t="shared" si="20"/>
        <v>#REF!</v>
      </c>
      <c r="M34" s="142" t="e">
        <f>IF($M$17&gt;=B34, 0, IF(K34&gt;1, IF(ASS!#REF!=1,$M$14/(($M$15*2)-$M$17), -PMT($M$16/2,($M$15*2-B33),K34,0)-L34), 0))</f>
        <v>#REF!</v>
      </c>
      <c r="N34" s="143" t="e">
        <f t="shared" si="6"/>
        <v>#REF!</v>
      </c>
      <c r="O34" s="141" t="e">
        <f t="shared" si="7"/>
        <v>#REF!</v>
      </c>
      <c r="P34" s="142" t="e">
        <f t="shared" si="17"/>
        <v>#REF!</v>
      </c>
      <c r="Q34" s="142" t="e">
        <f>IF($Q$17&gt;=B34, 0, IF(O34&gt;1, IF(ASS!#REF!=1,$Q$14/(($Q$15*2)-$Q$17), -PMT($Q$16/2,($Q$15*2-B33),O34,0)-P34), 0))</f>
        <v>#REF!</v>
      </c>
      <c r="R34" s="143" t="e">
        <f t="shared" si="8"/>
        <v>#REF!</v>
      </c>
      <c r="S34" s="141" t="e">
        <f t="shared" si="9"/>
        <v>#REF!</v>
      </c>
      <c r="T34" s="142" t="e">
        <f t="shared" si="18"/>
        <v>#REF!</v>
      </c>
      <c r="U34" s="142" t="e">
        <f>IF($U$17&gt;=B34, 0, IF(S34&gt;1, IF(ASS!#REF!=1,$U$14/(($U$15*2)-$U$17), -PMT($U$16/2,($U$15*2-B33),S34,0)-T34), 0))</f>
        <v>#REF!</v>
      </c>
      <c r="V34" s="143" t="e">
        <f t="shared" si="10"/>
        <v>#REF!</v>
      </c>
      <c r="W34" s="141" t="e">
        <f t="shared" si="11"/>
        <v>#REF!</v>
      </c>
      <c r="X34" s="142" t="e">
        <f t="shared" si="19"/>
        <v>#REF!</v>
      </c>
      <c r="Y34" s="142" t="e">
        <f>IF($Y$17&gt;=B34, 0, IF(W34&gt;1, IF(ASS!#REF!=1,$Y$14/(($Y$15*2)-$Y$17), -PMT($Y$16/2,($Y$15*2-B33),W34,0)-X34), 0))</f>
        <v>#REF!</v>
      </c>
      <c r="Z34" s="143" t="e">
        <f t="shared" si="12"/>
        <v>#REF!</v>
      </c>
      <c r="AA34" s="142" t="e">
        <f>SUM(D33:D34,H33:H34,L33:L34, P33:P34, T33:T34, X33:X34)</f>
        <v>#REF!</v>
      </c>
      <c r="AB34" s="143" t="e">
        <f>SUM(E33:E34, I33:I34, M33:M34, Q33:Q34, U33:U34, Y33:Y34)</f>
        <v>#REF!</v>
      </c>
    </row>
    <row r="35" spans="1:28" x14ac:dyDescent="0.2">
      <c r="A35" s="53">
        <f t="shared" si="21"/>
        <v>2008</v>
      </c>
      <c r="B35" s="54">
        <f t="shared" si="13"/>
        <v>14</v>
      </c>
      <c r="C35" s="138" t="e">
        <f t="shared" si="2"/>
        <v>#REF!</v>
      </c>
      <c r="D35" s="139" t="e">
        <f t="shared" si="15"/>
        <v>#REF!</v>
      </c>
      <c r="E35" s="139" t="e">
        <f>IF($E$17&gt;=B35, 0, IF(C35&gt;1, IF(ASS!#REF!=1,$E$14/(($E$15*2)-$E$17), -PMT($E$16/2,($E$15*2-B34),C35,0)-D35), 0))</f>
        <v>#REF!</v>
      </c>
      <c r="F35" s="140" t="e">
        <f t="shared" si="14"/>
        <v>#REF!</v>
      </c>
      <c r="G35" s="138" t="e">
        <f t="shared" si="3"/>
        <v>#REF!</v>
      </c>
      <c r="H35" s="139" t="e">
        <f t="shared" si="16"/>
        <v>#REF!</v>
      </c>
      <c r="I35" s="139" t="e">
        <f>IF($I$17&gt;=B35, 0, IF(G35&gt;1, IF(ASS!#REF!=1,$I$14/(($I$15*2)-$I$17), -PMT($I$16/2,($I$15*2-B34),G35,0)-H35), 0))</f>
        <v>#REF!</v>
      </c>
      <c r="J35" s="140" t="e">
        <f t="shared" si="4"/>
        <v>#REF!</v>
      </c>
      <c r="K35" s="138" t="e">
        <f t="shared" si="5"/>
        <v>#REF!</v>
      </c>
      <c r="L35" s="139" t="e">
        <f t="shared" si="20"/>
        <v>#REF!</v>
      </c>
      <c r="M35" s="139" t="e">
        <f>IF($M$17&gt;=B35, 0, IF(K35&gt;1, IF(ASS!#REF!=1,$M$14/(($M$15*2)-$M$17), -PMT($M$16/2,($M$15*2-B34),K35,0)-L35), 0))</f>
        <v>#REF!</v>
      </c>
      <c r="N35" s="140" t="e">
        <f t="shared" si="6"/>
        <v>#REF!</v>
      </c>
      <c r="O35" s="138" t="e">
        <f t="shared" si="7"/>
        <v>#REF!</v>
      </c>
      <c r="P35" s="139" t="e">
        <f t="shared" si="17"/>
        <v>#REF!</v>
      </c>
      <c r="Q35" s="139" t="e">
        <f>IF($Q$17&gt;=B35, 0, IF(O35&gt;1, IF(ASS!#REF!=1,$Q$14/(($Q$15*2)-$Q$17), -PMT($Q$16/2,($Q$15*2-B34),O35,0)-P35), 0))</f>
        <v>#REF!</v>
      </c>
      <c r="R35" s="140" t="e">
        <f t="shared" si="8"/>
        <v>#REF!</v>
      </c>
      <c r="S35" s="138" t="e">
        <f t="shared" si="9"/>
        <v>#REF!</v>
      </c>
      <c r="T35" s="139" t="e">
        <f t="shared" si="18"/>
        <v>#REF!</v>
      </c>
      <c r="U35" s="139" t="e">
        <f>IF($U$17&gt;=B35, 0, IF(S35&gt;1, IF(ASS!#REF!=1,$U$14/(($U$15*2)-$U$17), -PMT($U$16/2,($U$15*2-B34),S35,0)-T35), 0))</f>
        <v>#REF!</v>
      </c>
      <c r="V35" s="140" t="e">
        <f t="shared" si="10"/>
        <v>#REF!</v>
      </c>
      <c r="W35" s="138" t="e">
        <f t="shared" si="11"/>
        <v>#REF!</v>
      </c>
      <c r="X35" s="139" t="e">
        <f t="shared" si="19"/>
        <v>#REF!</v>
      </c>
      <c r="Y35" s="139" t="e">
        <f>IF($Y$17&gt;=B35, 0, IF(W35&gt;1, IF(ASS!#REF!=1,$Y$14/(($Y$15*2)-$Y$17), -PMT($Y$16/2,($Y$15*2-B34),W35,0)-X35), 0))</f>
        <v>#REF!</v>
      </c>
      <c r="Z35" s="140" t="e">
        <f t="shared" si="12"/>
        <v>#REF!</v>
      </c>
      <c r="AA35" s="139"/>
      <c r="AB35" s="140"/>
    </row>
    <row r="36" spans="1:28" x14ac:dyDescent="0.2">
      <c r="A36" s="64">
        <f>A35</f>
        <v>2008</v>
      </c>
      <c r="B36" s="65">
        <f t="shared" si="13"/>
        <v>15</v>
      </c>
      <c r="C36" s="141" t="e">
        <f t="shared" si="2"/>
        <v>#REF!</v>
      </c>
      <c r="D36" s="142" t="e">
        <f t="shared" si="15"/>
        <v>#REF!</v>
      </c>
      <c r="E36" s="142" t="e">
        <f>IF($E$17&gt;=B36, 0, IF(C36&gt;1, IF(ASS!#REF!=1,$E$14/(($E$15*2)-$E$17), -PMT($E$16/2,($E$15*2-B35),C36,0)-D36), 0))</f>
        <v>#REF!</v>
      </c>
      <c r="F36" s="143" t="e">
        <f t="shared" si="14"/>
        <v>#REF!</v>
      </c>
      <c r="G36" s="141" t="e">
        <f t="shared" si="3"/>
        <v>#REF!</v>
      </c>
      <c r="H36" s="142" t="e">
        <f t="shared" si="16"/>
        <v>#REF!</v>
      </c>
      <c r="I36" s="142" t="e">
        <f>IF($I$17&gt;=B36, 0, IF(G36&gt;1, IF(ASS!#REF!=1,$I$14/(($I$15*2)-$I$17), -PMT($I$16/2,($I$15*2-B35),G36,0)-H36), 0))</f>
        <v>#REF!</v>
      </c>
      <c r="J36" s="143" t="e">
        <f t="shared" si="4"/>
        <v>#REF!</v>
      </c>
      <c r="K36" s="141" t="e">
        <f t="shared" si="5"/>
        <v>#REF!</v>
      </c>
      <c r="L36" s="142" t="e">
        <f t="shared" si="20"/>
        <v>#REF!</v>
      </c>
      <c r="M36" s="142" t="e">
        <f>IF($M$17&gt;=B36, 0, IF(K36&gt;1, IF(ASS!#REF!=1,$M$14/(($M$15*2)-$M$17), -PMT($M$16/2,($M$15*2-B35),K36,0)-L36), 0))</f>
        <v>#REF!</v>
      </c>
      <c r="N36" s="143" t="e">
        <f t="shared" si="6"/>
        <v>#REF!</v>
      </c>
      <c r="O36" s="141" t="e">
        <f t="shared" si="7"/>
        <v>#REF!</v>
      </c>
      <c r="P36" s="142" t="e">
        <f t="shared" si="17"/>
        <v>#REF!</v>
      </c>
      <c r="Q36" s="142" t="e">
        <f>IF($Q$17&gt;=B36, 0, IF(O36&gt;1, IF(ASS!#REF!=1,$Q$14/(($Q$15*2)-$Q$17), -PMT($Q$16/2,($Q$15*2-B35),O36,0)-P36), 0))</f>
        <v>#REF!</v>
      </c>
      <c r="R36" s="143" t="e">
        <f t="shared" si="8"/>
        <v>#REF!</v>
      </c>
      <c r="S36" s="141" t="e">
        <f t="shared" si="9"/>
        <v>#REF!</v>
      </c>
      <c r="T36" s="142" t="e">
        <f t="shared" si="18"/>
        <v>#REF!</v>
      </c>
      <c r="U36" s="142" t="e">
        <f>IF($U$17&gt;=B36, 0, IF(S36&gt;1, IF(ASS!#REF!=1,$U$14/(($U$15*2)-$U$17), -PMT($U$16/2,($U$15*2-B35),S36,0)-T36), 0))</f>
        <v>#REF!</v>
      </c>
      <c r="V36" s="143" t="e">
        <f t="shared" si="10"/>
        <v>#REF!</v>
      </c>
      <c r="W36" s="141" t="e">
        <f t="shared" si="11"/>
        <v>#REF!</v>
      </c>
      <c r="X36" s="142" t="e">
        <f t="shared" si="19"/>
        <v>#REF!</v>
      </c>
      <c r="Y36" s="142" t="e">
        <f>IF($Y$17&gt;=B36, 0, IF(W36&gt;1, IF(ASS!#REF!=1,$Y$14/(($Y$15*2)-$Y$17), -PMT($Y$16/2,($Y$15*2-B35),W36,0)-X36), 0))</f>
        <v>#REF!</v>
      </c>
      <c r="Z36" s="143" t="e">
        <f t="shared" si="12"/>
        <v>#REF!</v>
      </c>
      <c r="AA36" s="142" t="e">
        <f>SUM(D35:D36,H35:H36,L35:L36, P35:P36, T35:T36, X35:X36)</f>
        <v>#REF!</v>
      </c>
      <c r="AB36" s="143" t="e">
        <f>SUM(E35:E36, I35:I36, M35:M36, Q35:Q36, U35:U36, Y35:Y36)</f>
        <v>#REF!</v>
      </c>
    </row>
    <row r="37" spans="1:28" x14ac:dyDescent="0.2">
      <c r="A37" s="53">
        <f t="shared" si="21"/>
        <v>2009</v>
      </c>
      <c r="B37" s="54">
        <f t="shared" si="13"/>
        <v>16</v>
      </c>
      <c r="C37" s="138" t="e">
        <f t="shared" si="2"/>
        <v>#REF!</v>
      </c>
      <c r="D37" s="139" t="e">
        <f t="shared" si="15"/>
        <v>#REF!</v>
      </c>
      <c r="E37" s="139" t="e">
        <f>IF($E$17&gt;=B37, 0, IF(C37&gt;1, IF(ASS!#REF!=1,$E$14/(($E$15*2)-$E$17), -PMT($E$16/2,($E$15*2-B36),C37,0)-D37), 0))</f>
        <v>#REF!</v>
      </c>
      <c r="F37" s="140" t="e">
        <f t="shared" si="14"/>
        <v>#REF!</v>
      </c>
      <c r="G37" s="138" t="e">
        <f t="shared" si="3"/>
        <v>#REF!</v>
      </c>
      <c r="H37" s="139" t="e">
        <f t="shared" si="16"/>
        <v>#REF!</v>
      </c>
      <c r="I37" s="139" t="e">
        <f>IF($I$17&gt;=B37, 0, IF(G37&gt;1, IF(ASS!#REF!=1,$I$14/(($I$15*2)-$I$17), -PMT($I$16/2,($I$15*2-B36),G37,0)-H37), 0))</f>
        <v>#REF!</v>
      </c>
      <c r="J37" s="140" t="e">
        <f t="shared" si="4"/>
        <v>#REF!</v>
      </c>
      <c r="K37" s="138" t="e">
        <f t="shared" si="5"/>
        <v>#REF!</v>
      </c>
      <c r="L37" s="139" t="e">
        <f t="shared" si="20"/>
        <v>#REF!</v>
      </c>
      <c r="M37" s="139" t="e">
        <f>IF($M$17&gt;=B37, 0, IF(K37&gt;1, IF(ASS!#REF!=1,$M$14/(($M$15*2)-$M$17), -PMT($M$16/2,($M$15*2-B36),K37,0)-L37), 0))</f>
        <v>#REF!</v>
      </c>
      <c r="N37" s="140" t="e">
        <f t="shared" si="6"/>
        <v>#REF!</v>
      </c>
      <c r="O37" s="138" t="e">
        <f t="shared" si="7"/>
        <v>#REF!</v>
      </c>
      <c r="P37" s="139" t="e">
        <f t="shared" si="17"/>
        <v>#REF!</v>
      </c>
      <c r="Q37" s="139" t="e">
        <f>IF($Q$17&gt;=B37, 0, IF(O37&gt;1, IF(ASS!#REF!=1,$Q$14/(($Q$15*2)-$Q$17), -PMT($Q$16/2,($Q$15*2-B36),O37,0)-P37), 0))</f>
        <v>#REF!</v>
      </c>
      <c r="R37" s="140" t="e">
        <f t="shared" si="8"/>
        <v>#REF!</v>
      </c>
      <c r="S37" s="138" t="e">
        <f t="shared" si="9"/>
        <v>#REF!</v>
      </c>
      <c r="T37" s="139" t="e">
        <f t="shared" si="18"/>
        <v>#REF!</v>
      </c>
      <c r="U37" s="139" t="e">
        <f>IF($U$17&gt;=B37, 0, IF(S37&gt;1, IF(ASS!#REF!=1,$U$14/(($U$15*2)-$U$17), -PMT($U$16/2,($U$15*2-B36),S37,0)-T37), 0))</f>
        <v>#REF!</v>
      </c>
      <c r="V37" s="140" t="e">
        <f t="shared" si="10"/>
        <v>#REF!</v>
      </c>
      <c r="W37" s="138" t="e">
        <f t="shared" si="11"/>
        <v>#REF!</v>
      </c>
      <c r="X37" s="139" t="e">
        <f t="shared" si="19"/>
        <v>#REF!</v>
      </c>
      <c r="Y37" s="139" t="e">
        <f>IF($Y$17&gt;=B37, 0, IF(W37&gt;1, IF(ASS!#REF!=1,$Y$14/(($Y$15*2)-$Y$17), -PMT($Y$16/2,($Y$15*2-B36),W37,0)-X37), 0))</f>
        <v>#REF!</v>
      </c>
      <c r="Z37" s="140" t="e">
        <f t="shared" si="12"/>
        <v>#REF!</v>
      </c>
      <c r="AA37" s="139"/>
      <c r="AB37" s="140"/>
    </row>
    <row r="38" spans="1:28" x14ac:dyDescent="0.2">
      <c r="A38" s="64">
        <f>A37</f>
        <v>2009</v>
      </c>
      <c r="B38" s="65">
        <f t="shared" si="13"/>
        <v>17</v>
      </c>
      <c r="C38" s="141" t="e">
        <f t="shared" si="2"/>
        <v>#REF!</v>
      </c>
      <c r="D38" s="142" t="e">
        <f t="shared" si="15"/>
        <v>#REF!</v>
      </c>
      <c r="E38" s="142" t="e">
        <f>IF($E$17&gt;=B38, 0, IF(C38&gt;1, IF(ASS!#REF!=1,$E$14/(($E$15*2)-$E$17), -PMT($E$16/2,($E$15*2-B37),C38,0)-D38), 0))</f>
        <v>#REF!</v>
      </c>
      <c r="F38" s="143" t="e">
        <f t="shared" si="14"/>
        <v>#REF!</v>
      </c>
      <c r="G38" s="141" t="e">
        <f t="shared" si="3"/>
        <v>#REF!</v>
      </c>
      <c r="H38" s="142" t="e">
        <f t="shared" si="16"/>
        <v>#REF!</v>
      </c>
      <c r="I38" s="142" t="e">
        <f>IF($I$17&gt;=B38, 0, IF(G38&gt;1, IF(ASS!#REF!=1,$I$14/(($I$15*2)-$I$17), -PMT($I$16/2,($I$15*2-B37),G38,0)-H38), 0))</f>
        <v>#REF!</v>
      </c>
      <c r="J38" s="143" t="e">
        <f t="shared" ref="J38:J53" si="22">G38-I38</f>
        <v>#REF!</v>
      </c>
      <c r="K38" s="141" t="e">
        <f t="shared" si="5"/>
        <v>#REF!</v>
      </c>
      <c r="L38" s="142" t="e">
        <f t="shared" si="20"/>
        <v>#REF!</v>
      </c>
      <c r="M38" s="142" t="e">
        <f>IF($M$17&gt;=B38, 0, IF(K38&gt;1, IF(ASS!#REF!=1,$M$14/(($M$15*2)-$M$17), -PMT($M$16/2,($M$15*2-B37),K38,0)-L38), 0))</f>
        <v>#REF!</v>
      </c>
      <c r="N38" s="143" t="e">
        <f t="shared" ref="N38:N53" si="23">K38-M38</f>
        <v>#REF!</v>
      </c>
      <c r="O38" s="141" t="e">
        <f t="shared" si="7"/>
        <v>#REF!</v>
      </c>
      <c r="P38" s="142" t="e">
        <f t="shared" si="17"/>
        <v>#REF!</v>
      </c>
      <c r="Q38" s="142" t="e">
        <f>IF($Q$17&gt;=B38, 0, IF(O38&gt;1, IF(ASS!#REF!=1,$Q$14/(($Q$15*2)-$Q$17), -PMT($Q$16/2,($Q$15*2-B37),O38,0)-P38), 0))</f>
        <v>#REF!</v>
      </c>
      <c r="R38" s="143" t="e">
        <f t="shared" ref="R38:R53" si="24">O38-Q38</f>
        <v>#REF!</v>
      </c>
      <c r="S38" s="141" t="e">
        <f t="shared" si="9"/>
        <v>#REF!</v>
      </c>
      <c r="T38" s="142" t="e">
        <f t="shared" si="18"/>
        <v>#REF!</v>
      </c>
      <c r="U38" s="142" t="e">
        <f>IF($U$17&gt;=B38, 0, IF(S38&gt;1, IF(ASS!#REF!=1,$U$14/(($U$15*2)-$U$17), -PMT($U$16/2,($U$15*2-B37),S38,0)-T38), 0))</f>
        <v>#REF!</v>
      </c>
      <c r="V38" s="143" t="e">
        <f t="shared" ref="V38:V53" si="25">S38-U38</f>
        <v>#REF!</v>
      </c>
      <c r="W38" s="141" t="e">
        <f t="shared" si="11"/>
        <v>#REF!</v>
      </c>
      <c r="X38" s="142" t="e">
        <f t="shared" si="19"/>
        <v>#REF!</v>
      </c>
      <c r="Y38" s="142" t="e">
        <f>IF($Y$17&gt;=B38, 0, IF(W38&gt;1, IF(ASS!#REF!=1,$Y$14/(($Y$15*2)-$Y$17), -PMT($Y$16/2,($Y$15*2-B37),W38,0)-X38), 0))</f>
        <v>#REF!</v>
      </c>
      <c r="Z38" s="143" t="e">
        <f t="shared" ref="Z38:Z53" si="26">W38-Y38</f>
        <v>#REF!</v>
      </c>
      <c r="AA38" s="142" t="e">
        <f>SUM(D37:D38,H37:H38,L37:L38, P37:P38, T37:T38, X37:X38)</f>
        <v>#REF!</v>
      </c>
      <c r="AB38" s="143" t="e">
        <f>SUM(E37:E38, I37:I38, M37:M38, Q37:Q38, U37:U38, Y37:Y38)</f>
        <v>#REF!</v>
      </c>
    </row>
    <row r="39" spans="1:28" x14ac:dyDescent="0.2">
      <c r="A39" s="53">
        <f t="shared" si="21"/>
        <v>2010</v>
      </c>
      <c r="B39" s="54">
        <f t="shared" ref="B39:B54" si="27">B38+1</f>
        <v>18</v>
      </c>
      <c r="C39" s="138" t="e">
        <f t="shared" si="2"/>
        <v>#REF!</v>
      </c>
      <c r="D39" s="139" t="e">
        <f t="shared" si="15"/>
        <v>#REF!</v>
      </c>
      <c r="E39" s="139" t="e">
        <f>IF($E$17&gt;=B39, 0, IF(C39&gt;1, IF(ASS!#REF!=1,$E$14/(($E$15*2)-$E$17), -PMT($E$16/2,($E$15*2-B38),C39,0)-D39), 0))</f>
        <v>#REF!</v>
      </c>
      <c r="F39" s="140" t="e">
        <f t="shared" ref="F39:F54" si="28">C39-E39</f>
        <v>#REF!</v>
      </c>
      <c r="G39" s="138" t="e">
        <f t="shared" si="3"/>
        <v>#REF!</v>
      </c>
      <c r="H39" s="139" t="e">
        <f t="shared" si="16"/>
        <v>#REF!</v>
      </c>
      <c r="I39" s="139" t="e">
        <f>IF($I$17&gt;=B39, 0, IF(G39&gt;1, IF(ASS!#REF!=1,$I$14/(($I$15*2)-$I$17), -PMT($I$16/2,($I$15*2-B38),G39,0)-H39), 0))</f>
        <v>#REF!</v>
      </c>
      <c r="J39" s="140" t="e">
        <f t="shared" si="22"/>
        <v>#REF!</v>
      </c>
      <c r="K39" s="138" t="e">
        <f t="shared" si="5"/>
        <v>#REF!</v>
      </c>
      <c r="L39" s="139" t="e">
        <f t="shared" si="20"/>
        <v>#REF!</v>
      </c>
      <c r="M39" s="139" t="e">
        <f>IF($M$17&gt;=B39, 0, IF(K39&gt;1, IF(ASS!#REF!=1,$M$14/(($M$15*2)-$M$17), -PMT($M$16/2,($M$15*2-B38),K39,0)-L39), 0))</f>
        <v>#REF!</v>
      </c>
      <c r="N39" s="140" t="e">
        <f t="shared" si="23"/>
        <v>#REF!</v>
      </c>
      <c r="O39" s="138" t="e">
        <f t="shared" si="7"/>
        <v>#REF!</v>
      </c>
      <c r="P39" s="139" t="e">
        <f t="shared" si="17"/>
        <v>#REF!</v>
      </c>
      <c r="Q39" s="139" t="e">
        <f>IF($Q$17&gt;=B39, 0, IF(O39&gt;1, IF(ASS!#REF!=1,$Q$14/(($Q$15*2)-$Q$17), -PMT($Q$16/2,($Q$15*2-B38),O39,0)-P39), 0))</f>
        <v>#REF!</v>
      </c>
      <c r="R39" s="140" t="e">
        <f t="shared" si="24"/>
        <v>#REF!</v>
      </c>
      <c r="S39" s="138" t="e">
        <f t="shared" si="9"/>
        <v>#REF!</v>
      </c>
      <c r="T39" s="139" t="e">
        <f t="shared" si="18"/>
        <v>#REF!</v>
      </c>
      <c r="U39" s="139" t="e">
        <f>IF($U$17&gt;=B39, 0, IF(S39&gt;1, IF(ASS!#REF!=1,$U$14/(($U$15*2)-$U$17), -PMT($U$16/2,($U$15*2-B38),S39,0)-T39), 0))</f>
        <v>#REF!</v>
      </c>
      <c r="V39" s="140" t="e">
        <f t="shared" si="25"/>
        <v>#REF!</v>
      </c>
      <c r="W39" s="138" t="e">
        <f t="shared" si="11"/>
        <v>#REF!</v>
      </c>
      <c r="X39" s="139" t="e">
        <f t="shared" si="19"/>
        <v>#REF!</v>
      </c>
      <c r="Y39" s="139" t="e">
        <f>IF($Y$17&gt;=B39, 0, IF(W39&gt;1, IF(ASS!#REF!=1,$Y$14/(($Y$15*2)-$Y$17), -PMT($Y$16/2,($Y$15*2-B38),W39,0)-X39), 0))</f>
        <v>#REF!</v>
      </c>
      <c r="Z39" s="140" t="e">
        <f t="shared" si="26"/>
        <v>#REF!</v>
      </c>
      <c r="AA39" s="139"/>
      <c r="AB39" s="140"/>
    </row>
    <row r="40" spans="1:28" x14ac:dyDescent="0.2">
      <c r="A40" s="64">
        <f>A39</f>
        <v>2010</v>
      </c>
      <c r="B40" s="65">
        <f t="shared" si="27"/>
        <v>19</v>
      </c>
      <c r="C40" s="141" t="e">
        <f t="shared" si="2"/>
        <v>#REF!</v>
      </c>
      <c r="D40" s="142" t="e">
        <f t="shared" ref="D40:D55" si="29">C40*$E$16*0.5</f>
        <v>#REF!</v>
      </c>
      <c r="E40" s="142" t="e">
        <f>IF($E$17&gt;=B40, 0, IF(C40&gt;1, IF(ASS!#REF!=1,$E$14/(($E$15*2)-$E$17), -PMT($E$16/2,($E$15*2-B39),C40,0)-D40), 0))</f>
        <v>#REF!</v>
      </c>
      <c r="F40" s="143" t="e">
        <f t="shared" si="28"/>
        <v>#REF!</v>
      </c>
      <c r="G40" s="141" t="e">
        <f t="shared" si="3"/>
        <v>#REF!</v>
      </c>
      <c r="H40" s="142" t="e">
        <f t="shared" ref="H40:H55" si="30">G40*$I$16*0.5</f>
        <v>#REF!</v>
      </c>
      <c r="I40" s="142" t="e">
        <f>IF($I$17&gt;=B40, 0, IF(G40&gt;1, IF(ASS!#REF!=1,$I$14/(($I$15*2)-$I$17), -PMT($I$16/2,($I$15*2-B39),G40,0)-H40), 0))</f>
        <v>#REF!</v>
      </c>
      <c r="J40" s="143" t="e">
        <f t="shared" si="22"/>
        <v>#REF!</v>
      </c>
      <c r="K40" s="141" t="e">
        <f t="shared" si="5"/>
        <v>#REF!</v>
      </c>
      <c r="L40" s="142" t="e">
        <f t="shared" si="20"/>
        <v>#REF!</v>
      </c>
      <c r="M40" s="142" t="e">
        <f>IF($M$17&gt;=B40, 0, IF(K40&gt;1, IF(ASS!#REF!=1,$M$14/(($M$15*2)-$M$17), -PMT($M$16/2,($M$15*2-B39),K40,0)-L40), 0))</f>
        <v>#REF!</v>
      </c>
      <c r="N40" s="143" t="e">
        <f t="shared" si="23"/>
        <v>#REF!</v>
      </c>
      <c r="O40" s="141" t="e">
        <f t="shared" si="7"/>
        <v>#REF!</v>
      </c>
      <c r="P40" s="142" t="e">
        <f t="shared" ref="P40:P55" si="31">O40*$Q$16*0.5</f>
        <v>#REF!</v>
      </c>
      <c r="Q40" s="142" t="e">
        <f>IF($Q$17&gt;=B40, 0, IF(O40&gt;1, IF(ASS!#REF!=1,$Q$14/(($Q$15*2)-$Q$17), -PMT($Q$16/2,($Q$15*2-B39),O40,0)-P40), 0))</f>
        <v>#REF!</v>
      </c>
      <c r="R40" s="143" t="e">
        <f t="shared" si="24"/>
        <v>#REF!</v>
      </c>
      <c r="S40" s="141" t="e">
        <f t="shared" si="9"/>
        <v>#REF!</v>
      </c>
      <c r="T40" s="142" t="e">
        <f t="shared" ref="T40:T55" si="32">S40*$U$16*0.5</f>
        <v>#REF!</v>
      </c>
      <c r="U40" s="142" t="e">
        <f>IF($U$17&gt;=B40, 0, IF(S40&gt;1, IF(ASS!#REF!=1,$U$14/(($U$15*2)-$U$17), -PMT($U$16/2,($U$15*2-B39),S40,0)-T40), 0))</f>
        <v>#REF!</v>
      </c>
      <c r="V40" s="143" t="e">
        <f t="shared" si="25"/>
        <v>#REF!</v>
      </c>
      <c r="W40" s="141" t="e">
        <f t="shared" si="11"/>
        <v>#REF!</v>
      </c>
      <c r="X40" s="142" t="e">
        <f t="shared" ref="X40:X55" si="33">W40*$Y$16*0.5</f>
        <v>#REF!</v>
      </c>
      <c r="Y40" s="142" t="e">
        <f>IF($Y$17&gt;=B40, 0, IF(W40&gt;1, IF(ASS!#REF!=1,$Y$14/(($Y$15*2)-$Y$17), -PMT($Y$16/2,($Y$15*2-B39),W40,0)-X40), 0))</f>
        <v>#REF!</v>
      </c>
      <c r="Z40" s="143" t="e">
        <f t="shared" si="26"/>
        <v>#REF!</v>
      </c>
      <c r="AA40" s="142" t="e">
        <f>SUM(D39:D40,H39:H40,L39:L40, P39:P40, T39:T40, X39:X40)</f>
        <v>#REF!</v>
      </c>
      <c r="AB40" s="143" t="e">
        <f>SUM(E39:E40, I39:I40, M39:M40, Q39:Q40, U39:U40, Y39:Y40)</f>
        <v>#REF!</v>
      </c>
    </row>
    <row r="41" spans="1:28" x14ac:dyDescent="0.2">
      <c r="A41" s="53">
        <f t="shared" si="21"/>
        <v>2011</v>
      </c>
      <c r="B41" s="54">
        <f t="shared" si="27"/>
        <v>20</v>
      </c>
      <c r="C41" s="138" t="e">
        <f t="shared" si="2"/>
        <v>#REF!</v>
      </c>
      <c r="D41" s="139" t="e">
        <f t="shared" si="29"/>
        <v>#REF!</v>
      </c>
      <c r="E41" s="139" t="e">
        <f>IF($E$17&gt;=B41, 0, IF(C41&gt;1, IF(ASS!#REF!=1,$E$14/(($E$15*2)-$E$17), -PMT($E$16/2,($E$15*2-B40),C41,0)-D41), 0))</f>
        <v>#REF!</v>
      </c>
      <c r="F41" s="140" t="e">
        <f t="shared" si="28"/>
        <v>#REF!</v>
      </c>
      <c r="G41" s="138" t="e">
        <f t="shared" si="3"/>
        <v>#REF!</v>
      </c>
      <c r="H41" s="139" t="e">
        <f t="shared" si="30"/>
        <v>#REF!</v>
      </c>
      <c r="I41" s="139" t="e">
        <f>IF($I$17&gt;=B41, 0, IF(G41&gt;1, IF(ASS!#REF!=1,$I$14/(($I$15*2)-$I$17), -PMT($I$16/2,($I$15*2-B40),G41,0)-H41), 0))</f>
        <v>#REF!</v>
      </c>
      <c r="J41" s="140" t="e">
        <f t="shared" si="22"/>
        <v>#REF!</v>
      </c>
      <c r="K41" s="138" t="e">
        <f t="shared" si="5"/>
        <v>#REF!</v>
      </c>
      <c r="L41" s="139" t="e">
        <f t="shared" ref="L41:L56" si="34">K41*$M$16*0.5</f>
        <v>#REF!</v>
      </c>
      <c r="M41" s="139" t="e">
        <f>IF($M$17&gt;=B41, 0, IF(K41&gt;1, IF(ASS!#REF!=1,$M$14/(($M$15*2)-$M$17), -PMT($M$16/2,($M$15*2-B40),K41,0)-L41), 0))</f>
        <v>#REF!</v>
      </c>
      <c r="N41" s="140" t="e">
        <f t="shared" si="23"/>
        <v>#REF!</v>
      </c>
      <c r="O41" s="138" t="e">
        <f t="shared" si="7"/>
        <v>#REF!</v>
      </c>
      <c r="P41" s="139" t="e">
        <f t="shared" si="31"/>
        <v>#REF!</v>
      </c>
      <c r="Q41" s="139" t="e">
        <f>IF($Q$17&gt;=B41, 0, IF(O41&gt;1, IF(ASS!#REF!=1,$Q$14/(($Q$15*2)-$Q$17), -PMT($Q$16/2,($Q$15*2-B40),O41,0)-P41), 0))</f>
        <v>#REF!</v>
      </c>
      <c r="R41" s="140" t="e">
        <f t="shared" si="24"/>
        <v>#REF!</v>
      </c>
      <c r="S41" s="138" t="e">
        <f t="shared" si="9"/>
        <v>#REF!</v>
      </c>
      <c r="T41" s="139" t="e">
        <f t="shared" si="32"/>
        <v>#REF!</v>
      </c>
      <c r="U41" s="139" t="e">
        <f>IF($U$17&gt;=B41, 0, IF(S41&gt;1, IF(ASS!#REF!=1,$U$14/(($U$15*2)-$U$17), -PMT($U$16/2,($U$15*2-B40),S41,0)-T41), 0))</f>
        <v>#REF!</v>
      </c>
      <c r="V41" s="140" t="e">
        <f t="shared" si="25"/>
        <v>#REF!</v>
      </c>
      <c r="W41" s="138" t="e">
        <f t="shared" si="11"/>
        <v>#REF!</v>
      </c>
      <c r="X41" s="139" t="e">
        <f t="shared" si="33"/>
        <v>#REF!</v>
      </c>
      <c r="Y41" s="139" t="e">
        <f>IF($Y$17&gt;=B41, 0, IF(W41&gt;1, IF(ASS!#REF!=1,$Y$14/(($Y$15*2)-$Y$17), -PMT($Y$16/2,($Y$15*2-B40),W41,0)-X41), 0))</f>
        <v>#REF!</v>
      </c>
      <c r="Z41" s="140" t="e">
        <f t="shared" si="26"/>
        <v>#REF!</v>
      </c>
      <c r="AA41" s="139"/>
      <c r="AB41" s="140"/>
    </row>
    <row r="42" spans="1:28" x14ac:dyDescent="0.2">
      <c r="A42" s="64">
        <f>A41</f>
        <v>2011</v>
      </c>
      <c r="B42" s="65">
        <f t="shared" si="27"/>
        <v>21</v>
      </c>
      <c r="C42" s="141" t="e">
        <f t="shared" si="2"/>
        <v>#REF!</v>
      </c>
      <c r="D42" s="142" t="e">
        <f t="shared" si="29"/>
        <v>#REF!</v>
      </c>
      <c r="E42" s="142" t="e">
        <f>IF($E$17&gt;=B42, 0, IF(C42&gt;1, IF(ASS!#REF!=1,$E$14/(($E$15*2)-$E$17), -PMT($E$16/2,($E$15*2-B41),C42,0)-D42), 0))</f>
        <v>#REF!</v>
      </c>
      <c r="F42" s="143" t="e">
        <f t="shared" si="28"/>
        <v>#REF!</v>
      </c>
      <c r="G42" s="141" t="e">
        <f t="shared" si="3"/>
        <v>#REF!</v>
      </c>
      <c r="H42" s="142" t="e">
        <f t="shared" si="30"/>
        <v>#REF!</v>
      </c>
      <c r="I42" s="142" t="e">
        <f>IF($I$17&gt;=B42, 0, IF(G42&gt;1, IF(ASS!#REF!=1,$I$14/(($I$15*2)-$I$17), -PMT($I$16/2,($I$15*2-B41),G42,0)-H42), 0))</f>
        <v>#REF!</v>
      </c>
      <c r="J42" s="143" t="e">
        <f t="shared" si="22"/>
        <v>#REF!</v>
      </c>
      <c r="K42" s="141" t="e">
        <f t="shared" si="5"/>
        <v>#REF!</v>
      </c>
      <c r="L42" s="142" t="e">
        <f t="shared" si="34"/>
        <v>#REF!</v>
      </c>
      <c r="M42" s="142" t="e">
        <f>IF($M$17&gt;=B42, 0, IF(K42&gt;1, IF(ASS!#REF!=1,$M$14/(($M$15*2)-$M$17), -PMT($M$16/2,($M$15*2-B41),K42,0)-L42), 0))</f>
        <v>#REF!</v>
      </c>
      <c r="N42" s="143" t="e">
        <f t="shared" si="23"/>
        <v>#REF!</v>
      </c>
      <c r="O42" s="141" t="e">
        <f t="shared" si="7"/>
        <v>#REF!</v>
      </c>
      <c r="P42" s="142" t="e">
        <f t="shared" si="31"/>
        <v>#REF!</v>
      </c>
      <c r="Q42" s="142" t="e">
        <f>IF($Q$17&gt;=B42, 0, IF(O42&gt;1, IF(ASS!#REF!=1,$Q$14/(($Q$15*2)-$Q$17), -PMT($Q$16/2,($Q$15*2-B41),O42,0)-P42), 0))</f>
        <v>#REF!</v>
      </c>
      <c r="R42" s="143" t="e">
        <f t="shared" si="24"/>
        <v>#REF!</v>
      </c>
      <c r="S42" s="141" t="e">
        <f t="shared" si="9"/>
        <v>#REF!</v>
      </c>
      <c r="T42" s="142" t="e">
        <f t="shared" si="32"/>
        <v>#REF!</v>
      </c>
      <c r="U42" s="142" t="e">
        <f>IF($U$17&gt;=B42, 0, IF(S42&gt;1, IF(ASS!#REF!=1,$U$14/(($U$15*2)-$U$17), -PMT($U$16/2,($U$15*2-B41),S42,0)-T42), 0))</f>
        <v>#REF!</v>
      </c>
      <c r="V42" s="143" t="e">
        <f t="shared" si="25"/>
        <v>#REF!</v>
      </c>
      <c r="W42" s="141" t="e">
        <f t="shared" si="11"/>
        <v>#REF!</v>
      </c>
      <c r="X42" s="142" t="e">
        <f t="shared" si="33"/>
        <v>#REF!</v>
      </c>
      <c r="Y42" s="142" t="e">
        <f>IF($Y$17&gt;=B42, 0, IF(W42&gt;1, IF(ASS!#REF!=1,$Y$14/(($Y$15*2)-$Y$17), -PMT($Y$16/2,($Y$15*2-B41),W42,0)-X42), 0))</f>
        <v>#REF!</v>
      </c>
      <c r="Z42" s="143" t="e">
        <f t="shared" si="26"/>
        <v>#REF!</v>
      </c>
      <c r="AA42" s="142" t="e">
        <f>SUM(D41:D42,H41:H42,L41:L42, P41:P42, T41:T42, X41:X42)</f>
        <v>#REF!</v>
      </c>
      <c r="AB42" s="143" t="e">
        <f>SUM(E41:E42, I41:I42, M41:M42, Q41:Q42, U41:U42, Y41:Y42)</f>
        <v>#REF!</v>
      </c>
    </row>
    <row r="43" spans="1:28" x14ac:dyDescent="0.2">
      <c r="A43" s="53">
        <f t="shared" ref="A43:A57" si="35">A41+1</f>
        <v>2012</v>
      </c>
      <c r="B43" s="54">
        <f t="shared" si="27"/>
        <v>22</v>
      </c>
      <c r="C43" s="138" t="e">
        <f t="shared" si="2"/>
        <v>#REF!</v>
      </c>
      <c r="D43" s="139" t="e">
        <f t="shared" si="29"/>
        <v>#REF!</v>
      </c>
      <c r="E43" s="139" t="e">
        <f>IF($E$17&gt;=B43, 0, IF(C43&gt;1, IF(ASS!#REF!=1,$E$14/(($E$15*2)-$E$17), -PMT($E$16/2,($E$15*2-B42),C43,0)-D43), 0))</f>
        <v>#REF!</v>
      </c>
      <c r="F43" s="140" t="e">
        <f t="shared" si="28"/>
        <v>#REF!</v>
      </c>
      <c r="G43" s="138" t="e">
        <f t="shared" si="3"/>
        <v>#REF!</v>
      </c>
      <c r="H43" s="139" t="e">
        <f t="shared" si="30"/>
        <v>#REF!</v>
      </c>
      <c r="I43" s="139" t="e">
        <f>IF($I$17&gt;=B43, 0, IF(G43&gt;1, IF(ASS!#REF!=1,$I$14/(($I$15*2)-$I$17), -PMT($I$16/2,($I$15*2-B42),G43,0)-H43), 0))</f>
        <v>#REF!</v>
      </c>
      <c r="J43" s="140" t="e">
        <f t="shared" si="22"/>
        <v>#REF!</v>
      </c>
      <c r="K43" s="138" t="e">
        <f t="shared" si="5"/>
        <v>#REF!</v>
      </c>
      <c r="L43" s="139" t="e">
        <f t="shared" si="34"/>
        <v>#REF!</v>
      </c>
      <c r="M43" s="139" t="e">
        <f>IF($M$17&gt;=B43, 0, IF(K43&gt;1, IF(ASS!#REF!=1,$M$14/(($M$15*2)-$M$17), -PMT($M$16/2,($M$15*2-B42),K43,0)-L43), 0))</f>
        <v>#REF!</v>
      </c>
      <c r="N43" s="140" t="e">
        <f t="shared" si="23"/>
        <v>#REF!</v>
      </c>
      <c r="O43" s="138" t="e">
        <f t="shared" si="7"/>
        <v>#REF!</v>
      </c>
      <c r="P43" s="139" t="e">
        <f t="shared" si="31"/>
        <v>#REF!</v>
      </c>
      <c r="Q43" s="139" t="e">
        <f>IF($Q$17&gt;=B43, 0, IF(O43&gt;1, IF(ASS!#REF!=1,$Q$14/(($Q$15*2)-$Q$17), -PMT($Q$16/2,($Q$15*2-B42),O43,0)-P43), 0))</f>
        <v>#REF!</v>
      </c>
      <c r="R43" s="140" t="e">
        <f t="shared" si="24"/>
        <v>#REF!</v>
      </c>
      <c r="S43" s="138" t="e">
        <f t="shared" si="9"/>
        <v>#REF!</v>
      </c>
      <c r="T43" s="139" t="e">
        <f t="shared" si="32"/>
        <v>#REF!</v>
      </c>
      <c r="U43" s="139" t="e">
        <f>IF($U$17&gt;=B43, 0, IF(S43&gt;1, IF(ASS!#REF!=1,$U$14/(($U$15*2)-$U$17), -PMT($U$16/2,($U$15*2-B42),S43,0)-T43), 0))</f>
        <v>#REF!</v>
      </c>
      <c r="V43" s="140" t="e">
        <f t="shared" si="25"/>
        <v>#REF!</v>
      </c>
      <c r="W43" s="138" t="e">
        <f t="shared" si="11"/>
        <v>#REF!</v>
      </c>
      <c r="X43" s="139" t="e">
        <f t="shared" si="33"/>
        <v>#REF!</v>
      </c>
      <c r="Y43" s="139" t="e">
        <f>IF($Y$17&gt;=B43, 0, IF(W43&gt;1, IF(ASS!#REF!=1,$Y$14/(($Y$15*2)-$Y$17), -PMT($Y$16/2,($Y$15*2-B42),W43,0)-X43), 0))</f>
        <v>#REF!</v>
      </c>
      <c r="Z43" s="140" t="e">
        <f t="shared" si="26"/>
        <v>#REF!</v>
      </c>
      <c r="AA43" s="139"/>
      <c r="AB43" s="140"/>
    </row>
    <row r="44" spans="1:28" x14ac:dyDescent="0.2">
      <c r="A44" s="64">
        <f>A43</f>
        <v>2012</v>
      </c>
      <c r="B44" s="65">
        <f t="shared" si="27"/>
        <v>23</v>
      </c>
      <c r="C44" s="141" t="e">
        <f t="shared" si="2"/>
        <v>#REF!</v>
      </c>
      <c r="D44" s="142" t="e">
        <f t="shared" si="29"/>
        <v>#REF!</v>
      </c>
      <c r="E44" s="142" t="e">
        <f>IF($E$17&gt;=B44, 0, IF(C44&gt;1, IF(ASS!#REF!=1,$E$14/(($E$15*2)-$E$17), -PMT($E$16/2,($E$15*2-B43),C44,0)-D44), 0))</f>
        <v>#REF!</v>
      </c>
      <c r="F44" s="143" t="e">
        <f t="shared" si="28"/>
        <v>#REF!</v>
      </c>
      <c r="G44" s="141" t="e">
        <f t="shared" si="3"/>
        <v>#REF!</v>
      </c>
      <c r="H44" s="142" t="e">
        <f t="shared" si="30"/>
        <v>#REF!</v>
      </c>
      <c r="I44" s="142" t="e">
        <f>IF($I$17&gt;=B44, 0, IF(G44&gt;1, IF(ASS!#REF!=1,$I$14/(($I$15*2)-$I$17), -PMT($I$16/2,($I$15*2-B43),G44,0)-H44), 0))</f>
        <v>#REF!</v>
      </c>
      <c r="J44" s="143" t="e">
        <f t="shared" si="22"/>
        <v>#REF!</v>
      </c>
      <c r="K44" s="141" t="e">
        <f t="shared" si="5"/>
        <v>#REF!</v>
      </c>
      <c r="L44" s="142" t="e">
        <f t="shared" si="34"/>
        <v>#REF!</v>
      </c>
      <c r="M44" s="142" t="e">
        <f>IF($M$17&gt;=B44, 0, IF(K44&gt;1, IF(ASS!#REF!=1,$M$14/(($M$15*2)-$M$17), -PMT($M$16/2,($M$15*2-B43),K44,0)-L44), 0))</f>
        <v>#REF!</v>
      </c>
      <c r="N44" s="143" t="e">
        <f t="shared" si="23"/>
        <v>#REF!</v>
      </c>
      <c r="O44" s="141" t="e">
        <f t="shared" si="7"/>
        <v>#REF!</v>
      </c>
      <c r="P44" s="142" t="e">
        <f t="shared" si="31"/>
        <v>#REF!</v>
      </c>
      <c r="Q44" s="142" t="e">
        <f>IF($Q$17&gt;=B44, 0, IF(O44&gt;1, IF(ASS!#REF!=1,$Q$14/(($Q$15*2)-$Q$17), -PMT($Q$16/2,($Q$15*2-B43),O44,0)-P44), 0))</f>
        <v>#REF!</v>
      </c>
      <c r="R44" s="143" t="e">
        <f t="shared" si="24"/>
        <v>#REF!</v>
      </c>
      <c r="S44" s="141" t="e">
        <f t="shared" si="9"/>
        <v>#REF!</v>
      </c>
      <c r="T44" s="142" t="e">
        <f t="shared" si="32"/>
        <v>#REF!</v>
      </c>
      <c r="U44" s="142" t="e">
        <f>IF($U$17&gt;=B44, 0, IF(S44&gt;1, IF(ASS!#REF!=1,$U$14/(($U$15*2)-$U$17), -PMT($U$16/2,($U$15*2-B43),S44,0)-T44), 0))</f>
        <v>#REF!</v>
      </c>
      <c r="V44" s="143" t="e">
        <f t="shared" si="25"/>
        <v>#REF!</v>
      </c>
      <c r="W44" s="141" t="e">
        <f t="shared" si="11"/>
        <v>#REF!</v>
      </c>
      <c r="X44" s="142" t="e">
        <f t="shared" si="33"/>
        <v>#REF!</v>
      </c>
      <c r="Y44" s="142" t="e">
        <f>IF($Y$17&gt;=B44, 0, IF(W44&gt;1, IF(ASS!#REF!=1,$Y$14/(($Y$15*2)-$Y$17), -PMT($Y$16/2,($Y$15*2-B43),W44,0)-X44), 0))</f>
        <v>#REF!</v>
      </c>
      <c r="Z44" s="143" t="e">
        <f t="shared" si="26"/>
        <v>#REF!</v>
      </c>
      <c r="AA44" s="142" t="e">
        <f>SUM(D43:D44,H43:H44,L43:L44, P43:P44, T43:T44, X43:X44)</f>
        <v>#REF!</v>
      </c>
      <c r="AB44" s="143" t="e">
        <f>SUM(E43:E44, I43:I44, M43:M44, Q43:Q44, U43:U44, Y43:Y44)</f>
        <v>#REF!</v>
      </c>
    </row>
    <row r="45" spans="1:28" x14ac:dyDescent="0.2">
      <c r="A45" s="53">
        <f t="shared" si="35"/>
        <v>2013</v>
      </c>
      <c r="B45" s="54">
        <f t="shared" si="27"/>
        <v>24</v>
      </c>
      <c r="C45" s="138" t="e">
        <f t="shared" si="2"/>
        <v>#REF!</v>
      </c>
      <c r="D45" s="139" t="e">
        <f t="shared" si="29"/>
        <v>#REF!</v>
      </c>
      <c r="E45" s="139" t="e">
        <f>IF($E$17&gt;=B45, 0, IF(C45&gt;1, IF(ASS!#REF!=1,$E$14/(($E$15*2)-$E$17), -PMT($E$16/2,($E$15*2-B44),C45,0)-D45), 0))</f>
        <v>#REF!</v>
      </c>
      <c r="F45" s="140" t="e">
        <f t="shared" si="28"/>
        <v>#REF!</v>
      </c>
      <c r="G45" s="138" t="e">
        <f t="shared" si="3"/>
        <v>#REF!</v>
      </c>
      <c r="H45" s="139" t="e">
        <f t="shared" si="30"/>
        <v>#REF!</v>
      </c>
      <c r="I45" s="139" t="e">
        <f>IF($I$17&gt;=B45, 0, IF(G45&gt;1, IF(ASS!#REF!=1,$I$14/(($I$15*2)-$I$17), -PMT($I$16/2,($I$15*2-B44),G45,0)-H45), 0))</f>
        <v>#REF!</v>
      </c>
      <c r="J45" s="140" t="e">
        <f t="shared" si="22"/>
        <v>#REF!</v>
      </c>
      <c r="K45" s="138" t="e">
        <f t="shared" si="5"/>
        <v>#REF!</v>
      </c>
      <c r="L45" s="139" t="e">
        <f t="shared" si="34"/>
        <v>#REF!</v>
      </c>
      <c r="M45" s="139" t="e">
        <f>IF($M$17&gt;=B45, 0, IF(K45&gt;1, IF(ASS!#REF!=1,$M$14/(($M$15*2)-$M$17), -PMT($M$16/2,($M$15*2-B44),K45,0)-L45), 0))</f>
        <v>#REF!</v>
      </c>
      <c r="N45" s="140" t="e">
        <f t="shared" si="23"/>
        <v>#REF!</v>
      </c>
      <c r="O45" s="138" t="e">
        <f t="shared" si="7"/>
        <v>#REF!</v>
      </c>
      <c r="P45" s="139" t="e">
        <f t="shared" si="31"/>
        <v>#REF!</v>
      </c>
      <c r="Q45" s="139" t="e">
        <f>IF($Q$17&gt;=B45, 0, IF(O45&gt;1, IF(ASS!#REF!=1,$Q$14/(($Q$15*2)-$Q$17), -PMT($Q$16/2,($Q$15*2-B44),O45,0)-P45), 0))</f>
        <v>#REF!</v>
      </c>
      <c r="R45" s="140" t="e">
        <f t="shared" si="24"/>
        <v>#REF!</v>
      </c>
      <c r="S45" s="138" t="e">
        <f t="shared" si="9"/>
        <v>#REF!</v>
      </c>
      <c r="T45" s="139" t="e">
        <f t="shared" si="32"/>
        <v>#REF!</v>
      </c>
      <c r="U45" s="139" t="e">
        <f>IF($U$17&gt;=B45, 0, IF(S45&gt;1, IF(ASS!#REF!=1,$U$14/(($U$15*2)-$U$17), -PMT($U$16/2,($U$15*2-B44),S45,0)-T45), 0))</f>
        <v>#REF!</v>
      </c>
      <c r="V45" s="140" t="e">
        <f t="shared" si="25"/>
        <v>#REF!</v>
      </c>
      <c r="W45" s="138" t="e">
        <f t="shared" si="11"/>
        <v>#REF!</v>
      </c>
      <c r="X45" s="139" t="e">
        <f t="shared" si="33"/>
        <v>#REF!</v>
      </c>
      <c r="Y45" s="139" t="e">
        <f>IF($Y$17&gt;=B45, 0, IF(W45&gt;1, IF(ASS!#REF!=1,$Y$14/(($Y$15*2)-$Y$17), -PMT($Y$16/2,($Y$15*2-B44),W45,0)-X45), 0))</f>
        <v>#REF!</v>
      </c>
      <c r="Z45" s="140" t="e">
        <f t="shared" si="26"/>
        <v>#REF!</v>
      </c>
      <c r="AA45" s="139"/>
      <c r="AB45" s="140"/>
    </row>
    <row r="46" spans="1:28" x14ac:dyDescent="0.2">
      <c r="A46" s="64">
        <f>A45</f>
        <v>2013</v>
      </c>
      <c r="B46" s="65">
        <f t="shared" si="27"/>
        <v>25</v>
      </c>
      <c r="C46" s="141" t="e">
        <f t="shared" si="2"/>
        <v>#REF!</v>
      </c>
      <c r="D46" s="142" t="e">
        <f t="shared" si="29"/>
        <v>#REF!</v>
      </c>
      <c r="E46" s="142" t="e">
        <f>IF($E$17&gt;=B46, 0, IF(C46&gt;1, IF(ASS!#REF!=1,$E$14/(($E$15*2)-$E$17), -PMT($E$16/2,($E$15*2-B45),C46,0)-D46), 0))</f>
        <v>#REF!</v>
      </c>
      <c r="F46" s="143" t="e">
        <f t="shared" si="28"/>
        <v>#REF!</v>
      </c>
      <c r="G46" s="141" t="e">
        <f t="shared" si="3"/>
        <v>#REF!</v>
      </c>
      <c r="H46" s="142" t="e">
        <f t="shared" si="30"/>
        <v>#REF!</v>
      </c>
      <c r="I46" s="142" t="e">
        <f>IF($I$17&gt;=B46, 0, IF(G46&gt;1, IF(ASS!#REF!=1,$I$14/(($I$15*2)-$I$17), -PMT($I$16/2,($I$15*2-B45),G46,0)-H46), 0))</f>
        <v>#REF!</v>
      </c>
      <c r="J46" s="143" t="e">
        <f t="shared" si="22"/>
        <v>#REF!</v>
      </c>
      <c r="K46" s="141" t="e">
        <f t="shared" si="5"/>
        <v>#REF!</v>
      </c>
      <c r="L46" s="142" t="e">
        <f t="shared" si="34"/>
        <v>#REF!</v>
      </c>
      <c r="M46" s="142" t="e">
        <f>IF($M$17&gt;=B46, 0, IF(K46&gt;1, IF(ASS!#REF!=1,$M$14/(($M$15*2)-$M$17), -PMT($M$16/2,($M$15*2-B45),K46,0)-L46), 0))</f>
        <v>#REF!</v>
      </c>
      <c r="N46" s="143" t="e">
        <f t="shared" si="23"/>
        <v>#REF!</v>
      </c>
      <c r="O46" s="141" t="e">
        <f t="shared" si="7"/>
        <v>#REF!</v>
      </c>
      <c r="P46" s="142" t="e">
        <f t="shared" si="31"/>
        <v>#REF!</v>
      </c>
      <c r="Q46" s="142" t="e">
        <f>IF($Q$17&gt;=B46, 0, IF(O46&gt;1, IF(ASS!#REF!=1,$Q$14/(($Q$15*2)-$Q$17), -PMT($Q$16/2,($Q$15*2-B45),O46,0)-P46), 0))</f>
        <v>#REF!</v>
      </c>
      <c r="R46" s="143" t="e">
        <f t="shared" si="24"/>
        <v>#REF!</v>
      </c>
      <c r="S46" s="141" t="e">
        <f t="shared" si="9"/>
        <v>#REF!</v>
      </c>
      <c r="T46" s="142" t="e">
        <f t="shared" si="32"/>
        <v>#REF!</v>
      </c>
      <c r="U46" s="142" t="e">
        <f>IF($U$17&gt;=B46, 0, IF(S46&gt;1, IF(ASS!#REF!=1,$U$14/(($U$15*2)-$U$17), -PMT($U$16/2,($U$15*2-B45),S46,0)-T46), 0))</f>
        <v>#REF!</v>
      </c>
      <c r="V46" s="143" t="e">
        <f t="shared" si="25"/>
        <v>#REF!</v>
      </c>
      <c r="W46" s="141" t="e">
        <f t="shared" si="11"/>
        <v>#REF!</v>
      </c>
      <c r="X46" s="142" t="e">
        <f t="shared" si="33"/>
        <v>#REF!</v>
      </c>
      <c r="Y46" s="142" t="e">
        <f>IF($Y$17&gt;=B46, 0, IF(W46&gt;1, IF(ASS!#REF!=1,$Y$14/(($Y$15*2)-$Y$17), -PMT($Y$16/2,($Y$15*2-B45),W46,0)-X46), 0))</f>
        <v>#REF!</v>
      </c>
      <c r="Z46" s="143" t="e">
        <f t="shared" si="26"/>
        <v>#REF!</v>
      </c>
      <c r="AA46" s="142" t="e">
        <f>SUM(D45:D46,H45:H46,L45:L46, P45:P46, T45:T46, X45:X46)</f>
        <v>#REF!</v>
      </c>
      <c r="AB46" s="143" t="e">
        <f>SUM(E45:E46, I45:I46, M45:M46, Q45:Q46, U45:U46, Y45:Y46)</f>
        <v>#REF!</v>
      </c>
    </row>
    <row r="47" spans="1:28" x14ac:dyDescent="0.2">
      <c r="A47" s="53">
        <f t="shared" si="35"/>
        <v>2014</v>
      </c>
      <c r="B47" s="54">
        <f t="shared" si="27"/>
        <v>26</v>
      </c>
      <c r="C47" s="138" t="e">
        <f t="shared" si="2"/>
        <v>#REF!</v>
      </c>
      <c r="D47" s="139" t="e">
        <f t="shared" si="29"/>
        <v>#REF!</v>
      </c>
      <c r="E47" s="139" t="e">
        <f>IF($E$17&gt;=B47, 0, IF(C47&gt;1, IF(ASS!#REF!=1,$E$14/(($E$15*2)-$E$17), -PMT($E$16/2,($E$15*2-B46),C47,0)-D47), 0))</f>
        <v>#REF!</v>
      </c>
      <c r="F47" s="140" t="e">
        <f t="shared" si="28"/>
        <v>#REF!</v>
      </c>
      <c r="G47" s="138" t="e">
        <f t="shared" si="3"/>
        <v>#REF!</v>
      </c>
      <c r="H47" s="139" t="e">
        <f t="shared" si="30"/>
        <v>#REF!</v>
      </c>
      <c r="I47" s="139" t="e">
        <f>IF($I$17&gt;=B47, 0, IF(G47&gt;1, IF(ASS!#REF!=1,$I$14/(($I$15*2)-$I$17), -PMT($I$16/2,($I$15*2-B46),G47,0)-H47), 0))</f>
        <v>#REF!</v>
      </c>
      <c r="J47" s="140" t="e">
        <f t="shared" si="22"/>
        <v>#REF!</v>
      </c>
      <c r="K47" s="138" t="e">
        <f t="shared" si="5"/>
        <v>#REF!</v>
      </c>
      <c r="L47" s="139" t="e">
        <f t="shared" si="34"/>
        <v>#REF!</v>
      </c>
      <c r="M47" s="139" t="e">
        <f>IF($M$17&gt;=B47, 0, IF(K47&gt;1, IF(ASS!#REF!=1,$M$14/(($M$15*2)-$M$17), -PMT($M$16/2,($M$15*2-B46),K47,0)-L47), 0))</f>
        <v>#REF!</v>
      </c>
      <c r="N47" s="140" t="e">
        <f t="shared" si="23"/>
        <v>#REF!</v>
      </c>
      <c r="O47" s="138" t="e">
        <f t="shared" si="7"/>
        <v>#REF!</v>
      </c>
      <c r="P47" s="139" t="e">
        <f t="shared" si="31"/>
        <v>#REF!</v>
      </c>
      <c r="Q47" s="139" t="e">
        <f>IF($Q$17&gt;=B47, 0, IF(O47&gt;1, IF(ASS!#REF!=1,$Q$14/(($Q$15*2)-$Q$17), -PMT($Q$16/2,($Q$15*2-B46),O47,0)-P47), 0))</f>
        <v>#REF!</v>
      </c>
      <c r="R47" s="140" t="e">
        <f t="shared" si="24"/>
        <v>#REF!</v>
      </c>
      <c r="S47" s="138" t="e">
        <f t="shared" si="9"/>
        <v>#REF!</v>
      </c>
      <c r="T47" s="139" t="e">
        <f t="shared" si="32"/>
        <v>#REF!</v>
      </c>
      <c r="U47" s="139" t="e">
        <f>IF($U$17&gt;=B47, 0, IF(S47&gt;1, IF(ASS!#REF!=1,$U$14/(($U$15*2)-$U$17), -PMT($U$16/2,($U$15*2-B46),S47,0)-T47), 0))</f>
        <v>#REF!</v>
      </c>
      <c r="V47" s="140" t="e">
        <f t="shared" si="25"/>
        <v>#REF!</v>
      </c>
      <c r="W47" s="138" t="e">
        <f t="shared" si="11"/>
        <v>#REF!</v>
      </c>
      <c r="X47" s="139" t="e">
        <f t="shared" si="33"/>
        <v>#REF!</v>
      </c>
      <c r="Y47" s="139" t="e">
        <f>IF($Y$17&gt;=B47, 0, IF(W47&gt;1, IF(ASS!#REF!=1,$Y$14/(($Y$15*2)-$Y$17), -PMT($Y$16/2,($Y$15*2-B46),W47,0)-X47), 0))</f>
        <v>#REF!</v>
      </c>
      <c r="Z47" s="140" t="e">
        <f t="shared" si="26"/>
        <v>#REF!</v>
      </c>
      <c r="AA47" s="139"/>
      <c r="AB47" s="140"/>
    </row>
    <row r="48" spans="1:28" x14ac:dyDescent="0.2">
      <c r="A48" s="64">
        <f>A47</f>
        <v>2014</v>
      </c>
      <c r="B48" s="65">
        <f t="shared" si="27"/>
        <v>27</v>
      </c>
      <c r="C48" s="141" t="e">
        <f t="shared" si="2"/>
        <v>#REF!</v>
      </c>
      <c r="D48" s="142" t="e">
        <f t="shared" si="29"/>
        <v>#REF!</v>
      </c>
      <c r="E48" s="142" t="e">
        <f>IF($E$17&gt;=B48, 0, IF(C48&gt;1, IF(ASS!#REF!=1,$E$14/(($E$15*2)-$E$17), -PMT($E$16/2,($E$15*2-B47),C48,0)-D48), 0))</f>
        <v>#REF!</v>
      </c>
      <c r="F48" s="143" t="e">
        <f t="shared" si="28"/>
        <v>#REF!</v>
      </c>
      <c r="G48" s="141" t="e">
        <f t="shared" si="3"/>
        <v>#REF!</v>
      </c>
      <c r="H48" s="142" t="e">
        <f t="shared" si="30"/>
        <v>#REF!</v>
      </c>
      <c r="I48" s="142" t="e">
        <f>IF($I$17&gt;=B48, 0, IF(G48&gt;1, IF(ASS!#REF!=1,$I$14/(($I$15*2)-$I$17), -PMT($I$16/2,($I$15*2-B47),G48,0)-H48), 0))</f>
        <v>#REF!</v>
      </c>
      <c r="J48" s="143" t="e">
        <f t="shared" si="22"/>
        <v>#REF!</v>
      </c>
      <c r="K48" s="141" t="e">
        <f t="shared" si="5"/>
        <v>#REF!</v>
      </c>
      <c r="L48" s="142" t="e">
        <f t="shared" si="34"/>
        <v>#REF!</v>
      </c>
      <c r="M48" s="142" t="e">
        <f>IF($M$17&gt;=B48, 0, IF(K48&gt;1, IF(ASS!#REF!=1,$M$14/(($M$15*2)-$M$17), -PMT($M$16/2,($M$15*2-B47),K48,0)-L48), 0))</f>
        <v>#REF!</v>
      </c>
      <c r="N48" s="143" t="e">
        <f t="shared" si="23"/>
        <v>#REF!</v>
      </c>
      <c r="O48" s="141" t="e">
        <f t="shared" si="7"/>
        <v>#REF!</v>
      </c>
      <c r="P48" s="142" t="e">
        <f t="shared" si="31"/>
        <v>#REF!</v>
      </c>
      <c r="Q48" s="142" t="e">
        <f>IF($Q$17&gt;=B48, 0, IF(O48&gt;1, IF(ASS!#REF!=1,$Q$14/(($Q$15*2)-$Q$17), -PMT($Q$16/2,($Q$15*2-B47),O48,0)-P48), 0))</f>
        <v>#REF!</v>
      </c>
      <c r="R48" s="143" t="e">
        <f t="shared" si="24"/>
        <v>#REF!</v>
      </c>
      <c r="S48" s="141" t="e">
        <f t="shared" si="9"/>
        <v>#REF!</v>
      </c>
      <c r="T48" s="142" t="e">
        <f t="shared" si="32"/>
        <v>#REF!</v>
      </c>
      <c r="U48" s="142" t="e">
        <f>IF($U$17&gt;=B48, 0, IF(S48&gt;1, IF(ASS!#REF!=1,$U$14/(($U$15*2)-$U$17), -PMT($U$16/2,($U$15*2-B47),S48,0)-T48), 0))</f>
        <v>#REF!</v>
      </c>
      <c r="V48" s="143" t="e">
        <f t="shared" si="25"/>
        <v>#REF!</v>
      </c>
      <c r="W48" s="141" t="e">
        <f t="shared" si="11"/>
        <v>#REF!</v>
      </c>
      <c r="X48" s="142" t="e">
        <f t="shared" si="33"/>
        <v>#REF!</v>
      </c>
      <c r="Y48" s="142" t="e">
        <f>IF($Y$17&gt;=B48, 0, IF(W48&gt;1, IF(ASS!#REF!=1,$Y$14/(($Y$15*2)-$Y$17), -PMT($Y$16/2,($Y$15*2-B47),W48,0)-X48), 0))</f>
        <v>#REF!</v>
      </c>
      <c r="Z48" s="143" t="e">
        <f t="shared" si="26"/>
        <v>#REF!</v>
      </c>
      <c r="AA48" s="142" t="e">
        <f>SUM(D47:D48,H47:H48,L47:L48, P47:P48, T47:T48, X47:X48)</f>
        <v>#REF!</v>
      </c>
      <c r="AB48" s="143" t="e">
        <f>SUM(E47:E48, I47:I48, M47:M48, Q47:Q48, U47:U48, Y47:Y48)</f>
        <v>#REF!</v>
      </c>
    </row>
    <row r="49" spans="1:28" x14ac:dyDescent="0.2">
      <c r="A49" s="53">
        <f t="shared" si="35"/>
        <v>2015</v>
      </c>
      <c r="B49" s="54">
        <f t="shared" si="27"/>
        <v>28</v>
      </c>
      <c r="C49" s="138" t="e">
        <f t="shared" si="2"/>
        <v>#REF!</v>
      </c>
      <c r="D49" s="139" t="e">
        <f t="shared" si="29"/>
        <v>#REF!</v>
      </c>
      <c r="E49" s="139" t="e">
        <f>IF($E$17&gt;=B49, 0, IF(C49&gt;1, IF(ASS!#REF!=1,$E$14/(($E$15*2)-$E$17), -PMT($E$16/2,($E$15*2-B48),C49,0)-D49), 0))</f>
        <v>#REF!</v>
      </c>
      <c r="F49" s="140" t="e">
        <f t="shared" si="28"/>
        <v>#REF!</v>
      </c>
      <c r="G49" s="138" t="e">
        <f t="shared" si="3"/>
        <v>#REF!</v>
      </c>
      <c r="H49" s="139" t="e">
        <f t="shared" si="30"/>
        <v>#REF!</v>
      </c>
      <c r="I49" s="139" t="e">
        <f>IF($I$17&gt;=B49, 0, IF(G49&gt;1, IF(ASS!#REF!=1,$I$14/(($I$15*2)-$I$17), -PMT($I$16/2,($I$15*2-B48),G49,0)-H49), 0))</f>
        <v>#REF!</v>
      </c>
      <c r="J49" s="140" t="e">
        <f t="shared" si="22"/>
        <v>#REF!</v>
      </c>
      <c r="K49" s="138" t="e">
        <f t="shared" si="5"/>
        <v>#REF!</v>
      </c>
      <c r="L49" s="139" t="e">
        <f t="shared" si="34"/>
        <v>#REF!</v>
      </c>
      <c r="M49" s="139" t="e">
        <f>IF($M$17&gt;=B49, 0, IF(K49&gt;1, IF(ASS!#REF!=1,$M$14/(($M$15*2)-$M$17), -PMT($M$16/2,($M$15*2-B48),K49,0)-L49), 0))</f>
        <v>#REF!</v>
      </c>
      <c r="N49" s="140" t="e">
        <f t="shared" si="23"/>
        <v>#REF!</v>
      </c>
      <c r="O49" s="138" t="e">
        <f t="shared" si="7"/>
        <v>#REF!</v>
      </c>
      <c r="P49" s="139" t="e">
        <f t="shared" si="31"/>
        <v>#REF!</v>
      </c>
      <c r="Q49" s="139" t="e">
        <f>IF($Q$17&gt;=B49, 0, IF(O49&gt;1, IF(ASS!#REF!=1,$Q$14/(($Q$15*2)-$Q$17), -PMT($Q$16/2,($Q$15*2-B48),O49,0)-P49), 0))</f>
        <v>#REF!</v>
      </c>
      <c r="R49" s="140" t="e">
        <f t="shared" si="24"/>
        <v>#REF!</v>
      </c>
      <c r="S49" s="138" t="e">
        <f t="shared" si="9"/>
        <v>#REF!</v>
      </c>
      <c r="T49" s="139" t="e">
        <f t="shared" si="32"/>
        <v>#REF!</v>
      </c>
      <c r="U49" s="139" t="e">
        <f>IF($U$17&gt;=B49, 0, IF(S49&gt;1, IF(ASS!#REF!=1,$U$14/(($U$15*2)-$U$17), -PMT($U$16/2,($U$15*2-B48),S49,0)-T49), 0))</f>
        <v>#REF!</v>
      </c>
      <c r="V49" s="140" t="e">
        <f t="shared" si="25"/>
        <v>#REF!</v>
      </c>
      <c r="W49" s="138" t="e">
        <f t="shared" si="11"/>
        <v>#REF!</v>
      </c>
      <c r="X49" s="139" t="e">
        <f t="shared" si="33"/>
        <v>#REF!</v>
      </c>
      <c r="Y49" s="139" t="e">
        <f>IF($Y$17&gt;=B49, 0, IF(W49&gt;1, IF(ASS!#REF!=1,$Y$14/(($Y$15*2)-$Y$17), -PMT($Y$16/2,($Y$15*2-B48),W49,0)-X49), 0))</f>
        <v>#REF!</v>
      </c>
      <c r="Z49" s="140" t="e">
        <f t="shared" si="26"/>
        <v>#REF!</v>
      </c>
      <c r="AA49" s="139"/>
      <c r="AB49" s="140"/>
    </row>
    <row r="50" spans="1:28" x14ac:dyDescent="0.2">
      <c r="A50" s="64">
        <f>A49</f>
        <v>2015</v>
      </c>
      <c r="B50" s="65">
        <f t="shared" si="27"/>
        <v>29</v>
      </c>
      <c r="C50" s="141" t="e">
        <f t="shared" si="2"/>
        <v>#REF!</v>
      </c>
      <c r="D50" s="142" t="e">
        <f t="shared" si="29"/>
        <v>#REF!</v>
      </c>
      <c r="E50" s="142" t="e">
        <f>IF($E$17&gt;=B50, 0, IF(C50&gt;1, IF(ASS!#REF!=1,$E$14/(($E$15*2)-$E$17), -PMT($E$16/2,($E$15*2-B49),C50,0)-D50), 0))</f>
        <v>#REF!</v>
      </c>
      <c r="F50" s="143" t="e">
        <f t="shared" si="28"/>
        <v>#REF!</v>
      </c>
      <c r="G50" s="141" t="e">
        <f t="shared" si="3"/>
        <v>#REF!</v>
      </c>
      <c r="H50" s="142" t="e">
        <f t="shared" si="30"/>
        <v>#REF!</v>
      </c>
      <c r="I50" s="142" t="e">
        <f>IF($I$17&gt;=B50, 0, IF(G50&gt;1, IF(ASS!#REF!=1,$I$14/(($I$15*2)-$I$17), -PMT($I$16/2,($I$15*2-B49),G50,0)-H50), 0))</f>
        <v>#REF!</v>
      </c>
      <c r="J50" s="143" t="e">
        <f t="shared" si="22"/>
        <v>#REF!</v>
      </c>
      <c r="K50" s="141" t="e">
        <f t="shared" si="5"/>
        <v>#REF!</v>
      </c>
      <c r="L50" s="142" t="e">
        <f t="shared" si="34"/>
        <v>#REF!</v>
      </c>
      <c r="M50" s="142" t="e">
        <f>IF($M$17&gt;=B50, 0, IF(K50&gt;1, IF(ASS!#REF!=1,$M$14/(($M$15*2)-$M$17), -PMT($M$16/2,($M$15*2-B49),K50,0)-L50), 0))</f>
        <v>#REF!</v>
      </c>
      <c r="N50" s="143" t="e">
        <f t="shared" si="23"/>
        <v>#REF!</v>
      </c>
      <c r="O50" s="141" t="e">
        <f t="shared" si="7"/>
        <v>#REF!</v>
      </c>
      <c r="P50" s="142" t="e">
        <f t="shared" si="31"/>
        <v>#REF!</v>
      </c>
      <c r="Q50" s="142" t="e">
        <f>IF($Q$17&gt;=B50, 0, IF(O50&gt;1, IF(ASS!#REF!=1,$Q$14/(($Q$15*2)-$Q$17), -PMT($Q$16/2,($Q$15*2-B49),O50,0)-P50), 0))</f>
        <v>#REF!</v>
      </c>
      <c r="R50" s="143" t="e">
        <f t="shared" si="24"/>
        <v>#REF!</v>
      </c>
      <c r="S50" s="141" t="e">
        <f t="shared" si="9"/>
        <v>#REF!</v>
      </c>
      <c r="T50" s="142" t="e">
        <f t="shared" si="32"/>
        <v>#REF!</v>
      </c>
      <c r="U50" s="142" t="e">
        <f>IF($U$17&gt;=B50, 0, IF(S50&gt;1, IF(ASS!#REF!=1,$U$14/(($U$15*2)-$U$17), -PMT($U$16/2,($U$15*2-B49),S50,0)-T50), 0))</f>
        <v>#REF!</v>
      </c>
      <c r="V50" s="143" t="e">
        <f t="shared" si="25"/>
        <v>#REF!</v>
      </c>
      <c r="W50" s="141" t="e">
        <f t="shared" si="11"/>
        <v>#REF!</v>
      </c>
      <c r="X50" s="142" t="e">
        <f t="shared" si="33"/>
        <v>#REF!</v>
      </c>
      <c r="Y50" s="142" t="e">
        <f>IF($Y$17&gt;=B50, 0, IF(W50&gt;1, IF(ASS!#REF!=1,$Y$14/(($Y$15*2)-$Y$17), -PMT($Y$16/2,($Y$15*2-B49),W50,0)-X50), 0))</f>
        <v>#REF!</v>
      </c>
      <c r="Z50" s="143" t="e">
        <f t="shared" si="26"/>
        <v>#REF!</v>
      </c>
      <c r="AA50" s="142" t="e">
        <f>SUM(D49:D50,H49:H50,L49:L50, P49:P50, T49:T50, X49:X50)</f>
        <v>#REF!</v>
      </c>
      <c r="AB50" s="143" t="e">
        <f>SUM(E49:E50, I49:I50, M49:M50, Q49:Q50, U49:U50, Y49:Y50)</f>
        <v>#REF!</v>
      </c>
    </row>
    <row r="51" spans="1:28" x14ac:dyDescent="0.2">
      <c r="A51" s="53">
        <f t="shared" si="35"/>
        <v>2016</v>
      </c>
      <c r="B51" s="54">
        <f t="shared" si="27"/>
        <v>30</v>
      </c>
      <c r="C51" s="138" t="e">
        <f t="shared" si="2"/>
        <v>#REF!</v>
      </c>
      <c r="D51" s="139" t="e">
        <f t="shared" si="29"/>
        <v>#REF!</v>
      </c>
      <c r="E51" s="139" t="e">
        <f>IF($E$17&gt;=B51, 0, IF(C51&gt;1, IF(ASS!#REF!=1,$E$14/(($E$15*2)-$E$17), -PMT($E$16/2,($E$15*2-B50),C51,0)-D51), 0))</f>
        <v>#REF!</v>
      </c>
      <c r="F51" s="140" t="e">
        <f t="shared" si="28"/>
        <v>#REF!</v>
      </c>
      <c r="G51" s="138" t="e">
        <f t="shared" si="3"/>
        <v>#REF!</v>
      </c>
      <c r="H51" s="139" t="e">
        <f t="shared" si="30"/>
        <v>#REF!</v>
      </c>
      <c r="I51" s="139" t="e">
        <f>IF($I$17&gt;=B51, 0, IF(G51&gt;1, IF(ASS!#REF!=1,$I$14/(($I$15*2)-$I$17), -PMT($I$16/2,($I$15*2-B50),G51,0)-H51), 0))</f>
        <v>#REF!</v>
      </c>
      <c r="J51" s="140" t="e">
        <f t="shared" si="22"/>
        <v>#REF!</v>
      </c>
      <c r="K51" s="138" t="e">
        <f t="shared" si="5"/>
        <v>#REF!</v>
      </c>
      <c r="L51" s="139" t="e">
        <f t="shared" si="34"/>
        <v>#REF!</v>
      </c>
      <c r="M51" s="139" t="e">
        <f>IF($M$17&gt;=B51, 0, IF(K51&gt;1, IF(ASS!#REF!=1,$M$14/(($M$15*2)-$M$17), -PMT($M$16/2,($M$15*2-B50),K51,0)-L51), 0))</f>
        <v>#REF!</v>
      </c>
      <c r="N51" s="140" t="e">
        <f t="shared" si="23"/>
        <v>#REF!</v>
      </c>
      <c r="O51" s="138" t="e">
        <f t="shared" si="7"/>
        <v>#REF!</v>
      </c>
      <c r="P51" s="139" t="e">
        <f t="shared" si="31"/>
        <v>#REF!</v>
      </c>
      <c r="Q51" s="139" t="e">
        <f>IF($Q$17&gt;=B51, 0, IF(O51&gt;1, IF(ASS!#REF!=1,$Q$14/(($Q$15*2)-$Q$17), -PMT($Q$16/2,($Q$15*2-B50),O51,0)-P51), 0))</f>
        <v>#REF!</v>
      </c>
      <c r="R51" s="140" t="e">
        <f t="shared" si="24"/>
        <v>#REF!</v>
      </c>
      <c r="S51" s="138" t="e">
        <f t="shared" si="9"/>
        <v>#REF!</v>
      </c>
      <c r="T51" s="139" t="e">
        <f t="shared" si="32"/>
        <v>#REF!</v>
      </c>
      <c r="U51" s="139" t="e">
        <f>IF($U$17&gt;=B51, 0, IF(S51&gt;1, IF(ASS!#REF!=1,$U$14/(($U$15*2)-$U$17), -PMT($U$16/2,($U$15*2-B50),S51,0)-T51), 0))</f>
        <v>#REF!</v>
      </c>
      <c r="V51" s="140" t="e">
        <f t="shared" si="25"/>
        <v>#REF!</v>
      </c>
      <c r="W51" s="138" t="e">
        <f t="shared" si="11"/>
        <v>#REF!</v>
      </c>
      <c r="X51" s="139" t="e">
        <f t="shared" si="33"/>
        <v>#REF!</v>
      </c>
      <c r="Y51" s="139" t="e">
        <f>IF($Y$17&gt;=B51, 0, IF(W51&gt;1, IF(ASS!#REF!=1,$Y$14/(($Y$15*2)-$Y$17), -PMT($Y$16/2,($Y$15*2-B50),W51,0)-X51), 0))</f>
        <v>#REF!</v>
      </c>
      <c r="Z51" s="140" t="e">
        <f t="shared" si="26"/>
        <v>#REF!</v>
      </c>
      <c r="AA51" s="139"/>
      <c r="AB51" s="140"/>
    </row>
    <row r="52" spans="1:28" x14ac:dyDescent="0.2">
      <c r="A52" s="64">
        <f>A51</f>
        <v>2016</v>
      </c>
      <c r="B52" s="65">
        <f t="shared" si="27"/>
        <v>31</v>
      </c>
      <c r="C52" s="141" t="e">
        <f t="shared" si="2"/>
        <v>#REF!</v>
      </c>
      <c r="D52" s="142" t="e">
        <f t="shared" si="29"/>
        <v>#REF!</v>
      </c>
      <c r="E52" s="142" t="e">
        <f>IF($E$17&gt;=B52, 0, IF(C52&gt;1, IF(ASS!#REF!=1,$E$14/(($E$15*2)-$E$17), -PMT($E$16/2,($E$15*2-B51),C52,0)-D52), 0))</f>
        <v>#REF!</v>
      </c>
      <c r="F52" s="143" t="e">
        <f t="shared" si="28"/>
        <v>#REF!</v>
      </c>
      <c r="G52" s="141" t="e">
        <f t="shared" si="3"/>
        <v>#REF!</v>
      </c>
      <c r="H52" s="142" t="e">
        <f t="shared" si="30"/>
        <v>#REF!</v>
      </c>
      <c r="I52" s="142" t="e">
        <f>IF($I$17&gt;=B52, 0, IF(G52&gt;1, IF(ASS!#REF!=1,$I$14/(($I$15*2)-$I$17), -PMT($I$16/2,($I$15*2-B51),G52,0)-H52), 0))</f>
        <v>#REF!</v>
      </c>
      <c r="J52" s="143" t="e">
        <f t="shared" si="22"/>
        <v>#REF!</v>
      </c>
      <c r="K52" s="141" t="e">
        <f t="shared" si="5"/>
        <v>#REF!</v>
      </c>
      <c r="L52" s="142" t="e">
        <f t="shared" si="34"/>
        <v>#REF!</v>
      </c>
      <c r="M52" s="142" t="e">
        <f>IF($M$17&gt;=B52, 0, IF(K52&gt;1, IF(ASS!#REF!=1,$M$14/(($M$15*2)-$M$17), -PMT($M$16/2,($M$15*2-B51),K52,0)-L52), 0))</f>
        <v>#REF!</v>
      </c>
      <c r="N52" s="143" t="e">
        <f t="shared" si="23"/>
        <v>#REF!</v>
      </c>
      <c r="O52" s="141" t="e">
        <f t="shared" si="7"/>
        <v>#REF!</v>
      </c>
      <c r="P52" s="142" t="e">
        <f t="shared" si="31"/>
        <v>#REF!</v>
      </c>
      <c r="Q52" s="142" t="e">
        <f>IF($Q$17&gt;=B52, 0, IF(O52&gt;1, IF(ASS!#REF!=1,$Q$14/(($Q$15*2)-$Q$17), -PMT($Q$16/2,($Q$15*2-B51),O52,0)-P52), 0))</f>
        <v>#REF!</v>
      </c>
      <c r="R52" s="143" t="e">
        <f t="shared" si="24"/>
        <v>#REF!</v>
      </c>
      <c r="S52" s="141" t="e">
        <f t="shared" si="9"/>
        <v>#REF!</v>
      </c>
      <c r="T52" s="142" t="e">
        <f t="shared" si="32"/>
        <v>#REF!</v>
      </c>
      <c r="U52" s="142" t="e">
        <f>IF($U$17&gt;=B52, 0, IF(S52&gt;1, IF(ASS!#REF!=1,$U$14/(($U$15*2)-$U$17), -PMT($U$16/2,($U$15*2-B51),S52,0)-T52), 0))</f>
        <v>#REF!</v>
      </c>
      <c r="V52" s="143" t="e">
        <f t="shared" si="25"/>
        <v>#REF!</v>
      </c>
      <c r="W52" s="141" t="e">
        <f t="shared" si="11"/>
        <v>#REF!</v>
      </c>
      <c r="X52" s="142" t="e">
        <f t="shared" si="33"/>
        <v>#REF!</v>
      </c>
      <c r="Y52" s="142" t="e">
        <f>IF($Y$17&gt;=B52, 0, IF(W52&gt;1, IF(ASS!#REF!=1,$Y$14/(($Y$15*2)-$Y$17), -PMT($Y$16/2,($Y$15*2-B51),W52,0)-X52), 0))</f>
        <v>#REF!</v>
      </c>
      <c r="Z52" s="143" t="e">
        <f t="shared" si="26"/>
        <v>#REF!</v>
      </c>
      <c r="AA52" s="142" t="e">
        <f>SUM(D51:D52,H51:H52,L51:L52, P51:P52, T51:T52, X51:X52)</f>
        <v>#REF!</v>
      </c>
      <c r="AB52" s="143" t="e">
        <f>SUM(E51:E52, I51:I52, M51:M52, Q51:Q52, U51:U52, Y51:Y52)</f>
        <v>#REF!</v>
      </c>
    </row>
    <row r="53" spans="1:28" x14ac:dyDescent="0.2">
      <c r="A53" s="53">
        <f t="shared" si="35"/>
        <v>2017</v>
      </c>
      <c r="B53" s="54">
        <f t="shared" si="27"/>
        <v>32</v>
      </c>
      <c r="C53" s="138" t="e">
        <f t="shared" si="2"/>
        <v>#REF!</v>
      </c>
      <c r="D53" s="139" t="e">
        <f t="shared" si="29"/>
        <v>#REF!</v>
      </c>
      <c r="E53" s="139" t="e">
        <f>IF($E$17&gt;=B53, 0, IF(C53&gt;1, IF(ASS!#REF!=1,$E$14/(($E$15*2)-$E$17), -PMT($E$16/2,($E$15*2-B52),C53,0)-D53), 0))</f>
        <v>#REF!</v>
      </c>
      <c r="F53" s="140" t="e">
        <f t="shared" si="28"/>
        <v>#REF!</v>
      </c>
      <c r="G53" s="138" t="e">
        <f t="shared" si="3"/>
        <v>#REF!</v>
      </c>
      <c r="H53" s="139" t="e">
        <f t="shared" si="30"/>
        <v>#REF!</v>
      </c>
      <c r="I53" s="139" t="e">
        <f>IF($I$17&gt;=B53, 0, IF(G53&gt;1, IF(ASS!#REF!=1,$I$14/(($I$15*2)-$I$17), -PMT($I$16/2,($I$15*2-B52),G53,0)-H53), 0))</f>
        <v>#REF!</v>
      </c>
      <c r="J53" s="140" t="e">
        <f t="shared" si="22"/>
        <v>#REF!</v>
      </c>
      <c r="K53" s="138" t="e">
        <f t="shared" si="5"/>
        <v>#REF!</v>
      </c>
      <c r="L53" s="139" t="e">
        <f t="shared" si="34"/>
        <v>#REF!</v>
      </c>
      <c r="M53" s="139" t="e">
        <f>IF($M$17&gt;=B53, 0, IF(K53&gt;1, IF(ASS!#REF!=1,$M$14/(($M$15*2)-$M$17), -PMT($M$16/2,($M$15*2-B52),K53,0)-L53), 0))</f>
        <v>#REF!</v>
      </c>
      <c r="N53" s="140" t="e">
        <f t="shared" si="23"/>
        <v>#REF!</v>
      </c>
      <c r="O53" s="138" t="e">
        <f t="shared" si="7"/>
        <v>#REF!</v>
      </c>
      <c r="P53" s="139" t="e">
        <f t="shared" si="31"/>
        <v>#REF!</v>
      </c>
      <c r="Q53" s="139" t="e">
        <f>IF($Q$17&gt;=B53, 0, IF(O53&gt;1, IF(ASS!#REF!=1,$Q$14/(($Q$15*2)-$Q$17), -PMT($Q$16/2,($Q$15*2-B52),O53,0)-P53), 0))</f>
        <v>#REF!</v>
      </c>
      <c r="R53" s="140" t="e">
        <f t="shared" si="24"/>
        <v>#REF!</v>
      </c>
      <c r="S53" s="138" t="e">
        <f t="shared" si="9"/>
        <v>#REF!</v>
      </c>
      <c r="T53" s="139" t="e">
        <f t="shared" si="32"/>
        <v>#REF!</v>
      </c>
      <c r="U53" s="139" t="e">
        <f>IF($U$17&gt;=B53, 0, IF(S53&gt;1, IF(ASS!#REF!=1,$U$14/(($U$15*2)-$U$17), -PMT($U$16/2,($U$15*2-B52),S53,0)-T53), 0))</f>
        <v>#REF!</v>
      </c>
      <c r="V53" s="140" t="e">
        <f t="shared" si="25"/>
        <v>#REF!</v>
      </c>
      <c r="W53" s="138" t="e">
        <f t="shared" si="11"/>
        <v>#REF!</v>
      </c>
      <c r="X53" s="139" t="e">
        <f t="shared" si="33"/>
        <v>#REF!</v>
      </c>
      <c r="Y53" s="139" t="e">
        <f>IF($Y$17&gt;=B53, 0, IF(W53&gt;1, IF(ASS!#REF!=1,$Y$14/(($Y$15*2)-$Y$17), -PMT($Y$16/2,($Y$15*2-B52),W53,0)-X53), 0))</f>
        <v>#REF!</v>
      </c>
      <c r="Z53" s="140" t="e">
        <f t="shared" si="26"/>
        <v>#REF!</v>
      </c>
      <c r="AA53" s="139"/>
      <c r="AB53" s="140"/>
    </row>
    <row r="54" spans="1:28" x14ac:dyDescent="0.2">
      <c r="A54" s="64">
        <f>A53</f>
        <v>2017</v>
      </c>
      <c r="B54" s="65">
        <f t="shared" si="27"/>
        <v>33</v>
      </c>
      <c r="C54" s="141" t="e">
        <f t="shared" si="2"/>
        <v>#REF!</v>
      </c>
      <c r="D54" s="142" t="e">
        <f t="shared" si="29"/>
        <v>#REF!</v>
      </c>
      <c r="E54" s="142" t="e">
        <f>IF($E$17&gt;=B54, 0, IF(C54&gt;1, IF(ASS!#REF!=1,$E$14/(($E$15*2)-$E$17), -PMT($E$16/2,($E$15*2-B53),C54,0)-D54), 0))</f>
        <v>#REF!</v>
      </c>
      <c r="F54" s="143" t="e">
        <f t="shared" si="28"/>
        <v>#REF!</v>
      </c>
      <c r="G54" s="141" t="e">
        <f t="shared" si="3"/>
        <v>#REF!</v>
      </c>
      <c r="H54" s="142" t="e">
        <f t="shared" si="30"/>
        <v>#REF!</v>
      </c>
      <c r="I54" s="142" t="e">
        <f>IF($I$17&gt;=B54, 0, IF(G54&gt;1, IF(ASS!#REF!=1,$I$14/(($I$15*2)-$I$17), -PMT($I$16/2,($I$15*2-B53),G54,0)-H54), 0))</f>
        <v>#REF!</v>
      </c>
      <c r="J54" s="143" t="e">
        <f t="shared" ref="J54:J60" si="36">G54-I54</f>
        <v>#REF!</v>
      </c>
      <c r="K54" s="141" t="e">
        <f t="shared" si="5"/>
        <v>#REF!</v>
      </c>
      <c r="L54" s="142" t="e">
        <f t="shared" si="34"/>
        <v>#REF!</v>
      </c>
      <c r="M54" s="142" t="e">
        <f>IF($M$17&gt;=B54, 0, IF(K54&gt;1, IF(ASS!#REF!=1,$M$14/(($M$15*2)-$M$17), -PMT($M$16/2,($M$15*2-B53),K54,0)-L54), 0))</f>
        <v>#REF!</v>
      </c>
      <c r="N54" s="143" t="e">
        <f t="shared" ref="N54:N60" si="37">K54-M54</f>
        <v>#REF!</v>
      </c>
      <c r="O54" s="141" t="e">
        <f t="shared" si="7"/>
        <v>#REF!</v>
      </c>
      <c r="P54" s="142" t="e">
        <f t="shared" si="31"/>
        <v>#REF!</v>
      </c>
      <c r="Q54" s="142" t="e">
        <f>IF($Q$17&gt;=B54, 0, IF(O54&gt;1, IF(ASS!#REF!=1,$Q$14/(($Q$15*2)-$Q$17), -PMT($Q$16/2,($Q$15*2-B53),O54,0)-P54), 0))</f>
        <v>#REF!</v>
      </c>
      <c r="R54" s="143" t="e">
        <f t="shared" ref="R54:R60" si="38">O54-Q54</f>
        <v>#REF!</v>
      </c>
      <c r="S54" s="141" t="e">
        <f t="shared" si="9"/>
        <v>#REF!</v>
      </c>
      <c r="T54" s="142" t="e">
        <f t="shared" si="32"/>
        <v>#REF!</v>
      </c>
      <c r="U54" s="142" t="e">
        <f>IF($U$17&gt;=B54, 0, IF(S54&gt;1, IF(ASS!#REF!=1,$U$14/(($U$15*2)-$U$17), -PMT($U$16/2,($U$15*2-B53),S54,0)-T54), 0))</f>
        <v>#REF!</v>
      </c>
      <c r="V54" s="143" t="e">
        <f t="shared" ref="V54:V60" si="39">S54-U54</f>
        <v>#REF!</v>
      </c>
      <c r="W54" s="141" t="e">
        <f t="shared" si="11"/>
        <v>#REF!</v>
      </c>
      <c r="X54" s="142" t="e">
        <f t="shared" si="33"/>
        <v>#REF!</v>
      </c>
      <c r="Y54" s="142" t="e">
        <f>IF($Y$17&gt;=B54, 0, IF(W54&gt;1, IF(ASS!#REF!=1,$Y$14/(($Y$15*2)-$Y$17), -PMT($Y$16/2,($Y$15*2-B53),W54,0)-X54), 0))</f>
        <v>#REF!</v>
      </c>
      <c r="Z54" s="143" t="e">
        <f t="shared" ref="Z54:Z60" si="40">W54-Y54</f>
        <v>#REF!</v>
      </c>
      <c r="AA54" s="142" t="e">
        <f>SUM(D53:D54,H53:H54,L53:L54, P53:P54, T53:T54, X53:X54)</f>
        <v>#REF!</v>
      </c>
      <c r="AB54" s="143" t="e">
        <f>SUM(E53:E54, I53:I54, M53:M54, Q53:Q54, U53:U54, Y53:Y54)</f>
        <v>#REF!</v>
      </c>
    </row>
    <row r="55" spans="1:28" x14ac:dyDescent="0.2">
      <c r="A55" s="53">
        <f t="shared" si="35"/>
        <v>2018</v>
      </c>
      <c r="B55" s="54">
        <f t="shared" ref="B55:B60" si="41">B54+1</f>
        <v>34</v>
      </c>
      <c r="C55" s="138" t="e">
        <f t="shared" si="2"/>
        <v>#REF!</v>
      </c>
      <c r="D55" s="139" t="e">
        <f t="shared" si="29"/>
        <v>#REF!</v>
      </c>
      <c r="E55" s="139" t="e">
        <f>IF($E$17&gt;=B55, 0, IF(C55&gt;1, IF(ASS!#REF!=1,$E$14/(($E$15*2)-$E$17), -PMT($E$16/2,($E$15*2-B54),C55,0)-D55), 0))</f>
        <v>#REF!</v>
      </c>
      <c r="F55" s="140" t="e">
        <f t="shared" ref="F55:F60" si="42">C55-E55</f>
        <v>#REF!</v>
      </c>
      <c r="G55" s="138" t="e">
        <f t="shared" si="3"/>
        <v>#REF!</v>
      </c>
      <c r="H55" s="139" t="e">
        <f t="shared" si="30"/>
        <v>#REF!</v>
      </c>
      <c r="I55" s="139" t="e">
        <f>IF($I$17&gt;=B55, 0, IF(G55&gt;1, IF(ASS!#REF!=1,$I$14/(($I$15*2)-$I$17), -PMT($I$16/2,($I$15*2-B54),G55,0)-H55), 0))</f>
        <v>#REF!</v>
      </c>
      <c r="J55" s="140" t="e">
        <f t="shared" si="36"/>
        <v>#REF!</v>
      </c>
      <c r="K55" s="138" t="e">
        <f t="shared" si="5"/>
        <v>#REF!</v>
      </c>
      <c r="L55" s="139" t="e">
        <f t="shared" si="34"/>
        <v>#REF!</v>
      </c>
      <c r="M55" s="139" t="e">
        <f>IF($M$17&gt;=B55, 0, IF(K55&gt;1, IF(ASS!#REF!=1,$M$14/(($M$15*2)-$M$17), -PMT($M$16/2,($M$15*2-B54),K55,0)-L55), 0))</f>
        <v>#REF!</v>
      </c>
      <c r="N55" s="140" t="e">
        <f t="shared" si="37"/>
        <v>#REF!</v>
      </c>
      <c r="O55" s="138" t="e">
        <f t="shared" si="7"/>
        <v>#REF!</v>
      </c>
      <c r="P55" s="139" t="e">
        <f t="shared" si="31"/>
        <v>#REF!</v>
      </c>
      <c r="Q55" s="139" t="e">
        <f>IF($Q$17&gt;=B55, 0, IF(O55&gt;1, IF(ASS!#REF!=1,$Q$14/(($Q$15*2)-$Q$17), -PMT($Q$16/2,($Q$15*2-B54),O55,0)-P55), 0))</f>
        <v>#REF!</v>
      </c>
      <c r="R55" s="140" t="e">
        <f t="shared" si="38"/>
        <v>#REF!</v>
      </c>
      <c r="S55" s="138" t="e">
        <f t="shared" si="9"/>
        <v>#REF!</v>
      </c>
      <c r="T55" s="139" t="e">
        <f t="shared" si="32"/>
        <v>#REF!</v>
      </c>
      <c r="U55" s="139" t="e">
        <f>IF($U$17&gt;=B55, 0, IF(S55&gt;1, IF(ASS!#REF!=1,$U$14/(($U$15*2)-$U$17), -PMT($U$16/2,($U$15*2-B54),S55,0)-T55), 0))</f>
        <v>#REF!</v>
      </c>
      <c r="V55" s="140" t="e">
        <f t="shared" si="39"/>
        <v>#REF!</v>
      </c>
      <c r="W55" s="138" t="e">
        <f t="shared" si="11"/>
        <v>#REF!</v>
      </c>
      <c r="X55" s="139" t="e">
        <f t="shared" si="33"/>
        <v>#REF!</v>
      </c>
      <c r="Y55" s="139" t="e">
        <f>IF($Y$17&gt;=B55, 0, IF(W55&gt;1, IF(ASS!#REF!=1,$Y$14/(($Y$15*2)-$Y$17), -PMT($Y$16/2,($Y$15*2-B54),W55,0)-X55), 0))</f>
        <v>#REF!</v>
      </c>
      <c r="Z55" s="140" t="e">
        <f t="shared" si="40"/>
        <v>#REF!</v>
      </c>
      <c r="AA55" s="139"/>
      <c r="AB55" s="140"/>
    </row>
    <row r="56" spans="1:28" x14ac:dyDescent="0.2">
      <c r="A56" s="64">
        <f>A55</f>
        <v>2018</v>
      </c>
      <c r="B56" s="65">
        <f t="shared" si="41"/>
        <v>35</v>
      </c>
      <c r="C56" s="141" t="e">
        <f t="shared" si="2"/>
        <v>#REF!</v>
      </c>
      <c r="D56" s="142" t="e">
        <f>C56*$E$16*0.5</f>
        <v>#REF!</v>
      </c>
      <c r="E56" s="142" t="e">
        <f>IF($E$17&gt;=B56, 0, IF(C56&gt;1, IF(ASS!#REF!=1,$E$14/(($E$15*2)-$E$17), -PMT($E$16/2,($E$15*2-B55),C56,0)-D56), 0))</f>
        <v>#REF!</v>
      </c>
      <c r="F56" s="143" t="e">
        <f t="shared" si="42"/>
        <v>#REF!</v>
      </c>
      <c r="G56" s="141" t="e">
        <f t="shared" si="3"/>
        <v>#REF!</v>
      </c>
      <c r="H56" s="142" t="e">
        <f>G56*$I$16*0.5</f>
        <v>#REF!</v>
      </c>
      <c r="I56" s="142" t="e">
        <f>IF($I$17&gt;=B56, 0, IF(G56&gt;1, IF(ASS!#REF!=1,$I$14/(($I$15*2)-$I$17), -PMT($I$16/2,($I$15*2-B55),G56,0)-H56), 0))</f>
        <v>#REF!</v>
      </c>
      <c r="J56" s="143" t="e">
        <f t="shared" si="36"/>
        <v>#REF!</v>
      </c>
      <c r="K56" s="141" t="e">
        <f t="shared" si="5"/>
        <v>#REF!</v>
      </c>
      <c r="L56" s="142" t="e">
        <f t="shared" si="34"/>
        <v>#REF!</v>
      </c>
      <c r="M56" s="142" t="e">
        <f>IF($M$17&gt;=B56, 0, IF(K56&gt;1, IF(ASS!#REF!=1,$M$14/(($M$15*2)-$M$17), -PMT($M$16/2,($M$15*2-B55),K56,0)-L56), 0))</f>
        <v>#REF!</v>
      </c>
      <c r="N56" s="143" t="e">
        <f t="shared" si="37"/>
        <v>#REF!</v>
      </c>
      <c r="O56" s="141" t="e">
        <f t="shared" si="7"/>
        <v>#REF!</v>
      </c>
      <c r="P56" s="142" t="e">
        <f>O56*$Q$16*0.5</f>
        <v>#REF!</v>
      </c>
      <c r="Q56" s="142" t="e">
        <f>IF($Q$17&gt;=B56, 0, IF(O56&gt;1, IF(ASS!#REF!=1,$Q$14/(($Q$15*2)-$Q$17), -PMT($Q$16/2,($Q$15*2-B55),O56,0)-P56), 0))</f>
        <v>#REF!</v>
      </c>
      <c r="R56" s="143" t="e">
        <f t="shared" si="38"/>
        <v>#REF!</v>
      </c>
      <c r="S56" s="141" t="e">
        <f t="shared" si="9"/>
        <v>#REF!</v>
      </c>
      <c r="T56" s="142" t="e">
        <f>S56*$U$16*0.5</f>
        <v>#REF!</v>
      </c>
      <c r="U56" s="142" t="e">
        <f>IF($U$17&gt;=B56, 0, IF(S56&gt;1, IF(ASS!#REF!=1,$U$14/(($U$15*2)-$U$17), -PMT($U$16/2,($U$15*2-B55),S56,0)-T56), 0))</f>
        <v>#REF!</v>
      </c>
      <c r="V56" s="143" t="e">
        <f t="shared" si="39"/>
        <v>#REF!</v>
      </c>
      <c r="W56" s="141" t="e">
        <f t="shared" si="11"/>
        <v>#REF!</v>
      </c>
      <c r="X56" s="142" t="e">
        <f>W56*$Y$16*0.5</f>
        <v>#REF!</v>
      </c>
      <c r="Y56" s="142" t="e">
        <f>IF($Y$17&gt;=B56, 0, IF(W56&gt;1, IF(ASS!#REF!=1,$Y$14/(($Y$15*2)-$Y$17), -PMT($Y$16/2,($Y$15*2-B55),W56,0)-X56), 0))</f>
        <v>#REF!</v>
      </c>
      <c r="Z56" s="143" t="e">
        <f t="shared" si="40"/>
        <v>#REF!</v>
      </c>
      <c r="AA56" s="142" t="e">
        <f>SUM(D55:D56,H55:H56,L55:L56, P55:P56, T55:T56, X55:X56)</f>
        <v>#REF!</v>
      </c>
      <c r="AB56" s="143" t="e">
        <f>SUM(E55:E56, I55:I56, M55:M56, Q55:Q56, U55:U56, Y55:Y56)</f>
        <v>#REF!</v>
      </c>
    </row>
    <row r="57" spans="1:28" x14ac:dyDescent="0.2">
      <c r="A57" s="53">
        <f t="shared" si="35"/>
        <v>2019</v>
      </c>
      <c r="B57" s="54">
        <f t="shared" si="41"/>
        <v>36</v>
      </c>
      <c r="C57" s="138" t="e">
        <f t="shared" si="2"/>
        <v>#REF!</v>
      </c>
      <c r="D57" s="139" t="e">
        <f>C57*$E$16*0.5</f>
        <v>#REF!</v>
      </c>
      <c r="E57" s="139" t="e">
        <f>IF($E$17&gt;=B57, 0, IF(C57&gt;1, IF(ASS!#REF!=1,$E$14/(($E$15*2)-$E$17), -PMT($E$16/2,($E$15*2-B56),C57,0)-D57), 0))</f>
        <v>#REF!</v>
      </c>
      <c r="F57" s="140" t="e">
        <f t="shared" si="42"/>
        <v>#REF!</v>
      </c>
      <c r="G57" s="138" t="e">
        <f t="shared" si="3"/>
        <v>#REF!</v>
      </c>
      <c r="H57" s="139" t="e">
        <f>G57*$I$16*0.5</f>
        <v>#REF!</v>
      </c>
      <c r="I57" s="139" t="e">
        <f>IF($I$17&gt;=B57, 0, IF(G57&gt;1, IF(ASS!#REF!=1,$I$14/(($I$15*2)-$I$17), -PMT($I$16/2,($I$15*2-B56),G57,0)-H57), 0))</f>
        <v>#REF!</v>
      </c>
      <c r="J57" s="140" t="e">
        <f t="shared" si="36"/>
        <v>#REF!</v>
      </c>
      <c r="K57" s="138" t="e">
        <f t="shared" si="5"/>
        <v>#REF!</v>
      </c>
      <c r="L57" s="139" t="e">
        <f>K57*$M$16*0.5</f>
        <v>#REF!</v>
      </c>
      <c r="M57" s="139" t="e">
        <f>IF($M$17&gt;=B57, 0, IF(K57&gt;1, IF(ASS!#REF!=1,$M$14/(($M$15*2)-$M$17), -PMT($M$16/2,($M$15*2-B56),K57,0)-L57), 0))</f>
        <v>#REF!</v>
      </c>
      <c r="N57" s="140" t="e">
        <f t="shared" si="37"/>
        <v>#REF!</v>
      </c>
      <c r="O57" s="138" t="e">
        <f t="shared" si="7"/>
        <v>#REF!</v>
      </c>
      <c r="P57" s="139" t="e">
        <f>O57*$Q$16*0.5</f>
        <v>#REF!</v>
      </c>
      <c r="Q57" s="139" t="e">
        <f>IF($Q$17&gt;=B57, 0, IF(O57&gt;1, IF(ASS!#REF!=1,$Q$14/(($Q$15*2)-$Q$17), -PMT($Q$16/2,($Q$15*2-B56),O57,0)-P57), 0))</f>
        <v>#REF!</v>
      </c>
      <c r="R57" s="140" t="e">
        <f t="shared" si="38"/>
        <v>#REF!</v>
      </c>
      <c r="S57" s="138" t="e">
        <f t="shared" si="9"/>
        <v>#REF!</v>
      </c>
      <c r="T57" s="139" t="e">
        <f>S57*$U$16*0.5</f>
        <v>#REF!</v>
      </c>
      <c r="U57" s="139" t="e">
        <f>IF($U$17&gt;=B57, 0, IF(S57&gt;1, IF(ASS!#REF!=1,$U$14/(($U$15*2)-$U$17), -PMT($U$16/2,($U$15*2-B56),S57,0)-T57), 0))</f>
        <v>#REF!</v>
      </c>
      <c r="V57" s="140" t="e">
        <f t="shared" si="39"/>
        <v>#REF!</v>
      </c>
      <c r="W57" s="138" t="e">
        <f t="shared" si="11"/>
        <v>#REF!</v>
      </c>
      <c r="X57" s="139" t="e">
        <f>W57*$Y$16*0.5</f>
        <v>#REF!</v>
      </c>
      <c r="Y57" s="139" t="e">
        <f>IF($Y$17&gt;=B57, 0, IF(W57&gt;1, IF(ASS!#REF!=1,$Y$14/(($Y$15*2)-$Y$17), -PMT($Y$16/2,($Y$15*2-B56),W57,0)-X57), 0))</f>
        <v>#REF!</v>
      </c>
      <c r="Z57" s="140" t="e">
        <f t="shared" si="40"/>
        <v>#REF!</v>
      </c>
      <c r="AA57" s="139"/>
      <c r="AB57" s="140"/>
    </row>
    <row r="58" spans="1:28" x14ac:dyDescent="0.2">
      <c r="A58" s="64">
        <f>A57</f>
        <v>2019</v>
      </c>
      <c r="B58" s="65">
        <f t="shared" si="41"/>
        <v>37</v>
      </c>
      <c r="C58" s="141" t="e">
        <f t="shared" si="2"/>
        <v>#REF!</v>
      </c>
      <c r="D58" s="142" t="e">
        <f>C58*$E$16*0.5</f>
        <v>#REF!</v>
      </c>
      <c r="E58" s="142" t="e">
        <f>IF($E$17&gt;=B58, 0, IF(C58&gt;1, IF(ASS!#REF!=1,$E$14/(($E$15*2)-$E$17), -PMT($E$16/2,($E$15*2-B57),C58,0)-D58), 0))</f>
        <v>#REF!</v>
      </c>
      <c r="F58" s="143" t="e">
        <f t="shared" si="42"/>
        <v>#REF!</v>
      </c>
      <c r="G58" s="141" t="e">
        <f t="shared" si="3"/>
        <v>#REF!</v>
      </c>
      <c r="H58" s="142" t="e">
        <f>G58*$I$16*0.5</f>
        <v>#REF!</v>
      </c>
      <c r="I58" s="142" t="e">
        <f>IF($I$17&gt;=B58, 0, IF(G58&gt;1, IF(ASS!#REF!=1,$I$14/(($I$15*2)-$I$17), -PMT($I$16/2,($I$15*2-B57),G58,0)-H58), 0))</f>
        <v>#REF!</v>
      </c>
      <c r="J58" s="143" t="e">
        <f t="shared" si="36"/>
        <v>#REF!</v>
      </c>
      <c r="K58" s="141" t="e">
        <f t="shared" si="5"/>
        <v>#REF!</v>
      </c>
      <c r="L58" s="142" t="e">
        <f>K58*$M$16*0.5</f>
        <v>#REF!</v>
      </c>
      <c r="M58" s="142" t="e">
        <f>IF($M$17&gt;=B58, 0, IF(K58&gt;1, IF(ASS!#REF!=1,$M$14/(($M$15*2)-$M$17), -PMT($M$16/2,($M$15*2-B57),K58,0)-L58), 0))</f>
        <v>#REF!</v>
      </c>
      <c r="N58" s="143" t="e">
        <f t="shared" si="37"/>
        <v>#REF!</v>
      </c>
      <c r="O58" s="141" t="e">
        <f t="shared" si="7"/>
        <v>#REF!</v>
      </c>
      <c r="P58" s="142" t="e">
        <f>O58*$Q$16*0.5</f>
        <v>#REF!</v>
      </c>
      <c r="Q58" s="142" t="e">
        <f>IF($Q$17&gt;=B58, 0, IF(O58&gt;1, IF(ASS!#REF!=1,$Q$14/(($Q$15*2)-$Q$17), -PMT($Q$16/2,($Q$15*2-B57),O58,0)-P58), 0))</f>
        <v>#REF!</v>
      </c>
      <c r="R58" s="143" t="e">
        <f t="shared" si="38"/>
        <v>#REF!</v>
      </c>
      <c r="S58" s="141" t="e">
        <f t="shared" si="9"/>
        <v>#REF!</v>
      </c>
      <c r="T58" s="142" t="e">
        <f>S58*$U$16*0.5</f>
        <v>#REF!</v>
      </c>
      <c r="U58" s="142" t="e">
        <f>IF($U$17&gt;=B58, 0, IF(S58&gt;1, IF(ASS!#REF!=1,$U$14/(($U$15*2)-$U$17), -PMT($U$16/2,($U$15*2-B57),S58,0)-T58), 0))</f>
        <v>#REF!</v>
      </c>
      <c r="V58" s="143" t="e">
        <f t="shared" si="39"/>
        <v>#REF!</v>
      </c>
      <c r="W58" s="141" t="e">
        <f t="shared" si="11"/>
        <v>#REF!</v>
      </c>
      <c r="X58" s="142" t="e">
        <f>W58*$Y$16*0.5</f>
        <v>#REF!</v>
      </c>
      <c r="Y58" s="142" t="e">
        <f>IF($Y$17&gt;=B58, 0, IF(W58&gt;1, IF(ASS!#REF!=1,$Y$14/(($Y$15*2)-$Y$17), -PMT($Y$16/2,($Y$15*2-B57),W58,0)-X58), 0))</f>
        <v>#REF!</v>
      </c>
      <c r="Z58" s="143" t="e">
        <f t="shared" si="40"/>
        <v>#REF!</v>
      </c>
      <c r="AA58" s="142" t="e">
        <f>SUM(D57:D58,H57:H58,L57:L58, P57:P58, T57:T58, X57:X58)</f>
        <v>#REF!</v>
      </c>
      <c r="AB58" s="143" t="e">
        <f>SUM(E57:E58, I57:I58, M57:M58, Q57:Q58, U57:U58, Y57:Y58)</f>
        <v>#REF!</v>
      </c>
    </row>
    <row r="59" spans="1:28" x14ac:dyDescent="0.2">
      <c r="A59" s="53">
        <f>A57+1</f>
        <v>2020</v>
      </c>
      <c r="B59" s="54">
        <f t="shared" si="41"/>
        <v>38</v>
      </c>
      <c r="C59" s="138" t="e">
        <f t="shared" si="2"/>
        <v>#REF!</v>
      </c>
      <c r="D59" s="139" t="e">
        <f>C59*$E$16*0.5</f>
        <v>#REF!</v>
      </c>
      <c r="E59" s="139" t="e">
        <f>IF($E$17&gt;=B59, 0, IF(C59&gt;1, IF(ASS!#REF!=1,$E$14/(($E$15*2)-$E$17), -PMT($E$16/2,($E$15*2-B58),C59,0)-D59), 0))</f>
        <v>#REF!</v>
      </c>
      <c r="F59" s="140" t="e">
        <f t="shared" si="42"/>
        <v>#REF!</v>
      </c>
      <c r="G59" s="138" t="e">
        <f t="shared" si="3"/>
        <v>#REF!</v>
      </c>
      <c r="H59" s="139" t="e">
        <f>G59*$I$16*0.5</f>
        <v>#REF!</v>
      </c>
      <c r="I59" s="139" t="e">
        <f>IF($I$17&gt;=B59, 0, IF(G59&gt;1, IF(ASS!#REF!=1,$I$14/(($I$15*2)-$I$17), -PMT($I$16/2,($I$15*2-B58),G59,0)-H59), 0))</f>
        <v>#REF!</v>
      </c>
      <c r="J59" s="140" t="e">
        <f t="shared" si="36"/>
        <v>#REF!</v>
      </c>
      <c r="K59" s="138" t="e">
        <f t="shared" si="5"/>
        <v>#REF!</v>
      </c>
      <c r="L59" s="139" t="e">
        <f>K59*$M$16*0.5</f>
        <v>#REF!</v>
      </c>
      <c r="M59" s="139" t="e">
        <f>IF($M$17&gt;=B59, 0, IF(K59&gt;1, IF(ASS!#REF!=1,$M$14/(($M$15*2)-$M$17), -PMT($M$16/2,($M$15*2-B58),K59,0)-L59), 0))</f>
        <v>#REF!</v>
      </c>
      <c r="N59" s="140" t="e">
        <f t="shared" si="37"/>
        <v>#REF!</v>
      </c>
      <c r="O59" s="138" t="e">
        <f t="shared" si="7"/>
        <v>#REF!</v>
      </c>
      <c r="P59" s="139" t="e">
        <f>O59*$Q$16*0.5</f>
        <v>#REF!</v>
      </c>
      <c r="Q59" s="139" t="e">
        <f>IF($Q$17&gt;=B59, 0, IF(O59&gt;1, IF(ASS!#REF!=1,$Q$14/(($Q$15*2)-$Q$17), -PMT($Q$16/2,($Q$15*2-B58),O59,0)-P59), 0))</f>
        <v>#REF!</v>
      </c>
      <c r="R59" s="140" t="e">
        <f t="shared" si="38"/>
        <v>#REF!</v>
      </c>
      <c r="S59" s="138" t="e">
        <f t="shared" si="9"/>
        <v>#REF!</v>
      </c>
      <c r="T59" s="139" t="e">
        <f>S59*$U$16*0.5</f>
        <v>#REF!</v>
      </c>
      <c r="U59" s="139" t="e">
        <f>IF($U$17&gt;=B59, 0, IF(S59&gt;1, IF(ASS!#REF!=1,$U$14/(($U$15*2)-$U$17), -PMT($U$16/2,($U$15*2-B58),S59,0)-T59), 0))</f>
        <v>#REF!</v>
      </c>
      <c r="V59" s="140" t="e">
        <f t="shared" si="39"/>
        <v>#REF!</v>
      </c>
      <c r="W59" s="138" t="e">
        <f t="shared" si="11"/>
        <v>#REF!</v>
      </c>
      <c r="X59" s="139" t="e">
        <f>W59*$Y$16*0.5</f>
        <v>#REF!</v>
      </c>
      <c r="Y59" s="139" t="e">
        <f>IF($Y$17&gt;=B59, 0, IF(W59&gt;1, IF(ASS!#REF!=1,$Y$14/(($Y$15*2)-$Y$17), -PMT($Y$16/2,($Y$15*2-B58),W59,0)-X59), 0))</f>
        <v>#REF!</v>
      </c>
      <c r="Z59" s="140" t="e">
        <f t="shared" si="40"/>
        <v>#REF!</v>
      </c>
      <c r="AA59" s="139"/>
      <c r="AB59" s="140"/>
    </row>
    <row r="60" spans="1:28" ht="13.5" thickBot="1" x14ac:dyDescent="0.25">
      <c r="A60" s="64">
        <f>A59</f>
        <v>2020</v>
      </c>
      <c r="B60" s="65">
        <f t="shared" si="41"/>
        <v>39</v>
      </c>
      <c r="C60" s="141" t="e">
        <f t="shared" si="2"/>
        <v>#REF!</v>
      </c>
      <c r="D60" s="142" t="e">
        <f>C60*$E$16*0.5</f>
        <v>#REF!</v>
      </c>
      <c r="E60" s="142" t="e">
        <f>IF($E$17&gt;=B60, 0, IF(C60&gt;1, IF(ASS!#REF!=1,$E$14/(($E$15*2)-$E$17), -PMT($E$16/2,($E$15*2-B59),C60,0)-D60), 0))</f>
        <v>#REF!</v>
      </c>
      <c r="F60" s="143" t="e">
        <f t="shared" si="42"/>
        <v>#REF!</v>
      </c>
      <c r="G60" s="141" t="e">
        <f t="shared" si="3"/>
        <v>#REF!</v>
      </c>
      <c r="H60" s="142" t="e">
        <f>G60*$I$16*0.5</f>
        <v>#REF!</v>
      </c>
      <c r="I60" s="142" t="e">
        <f>IF($I$17&gt;=B60, 0, IF(G60&gt;1, IF(ASS!#REF!=1,$I$14/(($I$15*2)-$I$17), -PMT($I$16/2,($I$15*2-B59),G60,0)-H60), 0))</f>
        <v>#REF!</v>
      </c>
      <c r="J60" s="143" t="e">
        <f t="shared" si="36"/>
        <v>#REF!</v>
      </c>
      <c r="K60" s="141" t="e">
        <f t="shared" si="5"/>
        <v>#REF!</v>
      </c>
      <c r="L60" s="142" t="e">
        <f>K60*$M$16*0.5</f>
        <v>#REF!</v>
      </c>
      <c r="M60" s="142" t="e">
        <f>IF($M$17&gt;=B60, 0, IF(K60&gt;1, IF(ASS!#REF!=1,$M$14/(($M$15*2)-$M$17), -PMT($M$16/2,($M$15*2-B59),K60,0)-L60), 0))</f>
        <v>#REF!</v>
      </c>
      <c r="N60" s="143" t="e">
        <f t="shared" si="37"/>
        <v>#REF!</v>
      </c>
      <c r="O60" s="141" t="e">
        <f t="shared" si="7"/>
        <v>#REF!</v>
      </c>
      <c r="P60" s="142" t="e">
        <f>O60*$Q$16*0.5</f>
        <v>#REF!</v>
      </c>
      <c r="Q60" s="142" t="e">
        <f>IF($Q$17&gt;=B60, 0, IF(O60&gt;1, IF(ASS!#REF!=1,$Q$14/(($Q$15*2)-$Q$17), -PMT($Q$16/2,($Q$15*2-B59),O60,0)-P60), 0))</f>
        <v>#REF!</v>
      </c>
      <c r="R60" s="143" t="e">
        <f t="shared" si="38"/>
        <v>#REF!</v>
      </c>
      <c r="S60" s="141" t="e">
        <f t="shared" si="9"/>
        <v>#REF!</v>
      </c>
      <c r="T60" s="142" t="e">
        <f>S60*$U$16*0.5</f>
        <v>#REF!</v>
      </c>
      <c r="U60" s="142" t="e">
        <f>IF($U$17&gt;=B60, 0, IF(S60&gt;1, IF(ASS!#REF!=1,$U$14/(($U$15*2)-$U$17), -PMT($U$16/2,($U$15*2-B59),S60,0)-T60), 0))</f>
        <v>#REF!</v>
      </c>
      <c r="V60" s="143" t="e">
        <f t="shared" si="39"/>
        <v>#REF!</v>
      </c>
      <c r="W60" s="141" t="e">
        <f t="shared" si="11"/>
        <v>#REF!</v>
      </c>
      <c r="X60" s="142" t="e">
        <f>W60*$Y$16*0.5</f>
        <v>#REF!</v>
      </c>
      <c r="Y60" s="142" t="e">
        <f>IF($Y$17&gt;=B60, 0, IF(W60&gt;1, IF(ASS!#REF!=1,$Y$14/(($Y$15*2)-$Y$17), -PMT($Y$16/2,($Y$15*2-B59),W60,0)-X60), 0))</f>
        <v>#REF!</v>
      </c>
      <c r="Z60" s="143" t="e">
        <f t="shared" si="40"/>
        <v>#REF!</v>
      </c>
      <c r="AA60" s="142" t="e">
        <f>SUM(D59:D60,H59:H60,L59:L60, P59:P60, T59:T60, X59:X60)</f>
        <v>#REF!</v>
      </c>
      <c r="AB60" s="143" t="e">
        <f>SUM(E59:E60, I59:I60, M59:M60, Q59:Q60, U59:U60, Y59:Y60)</f>
        <v>#REF!</v>
      </c>
    </row>
    <row r="61" spans="1:28" ht="14.25" thickTop="1" thickBot="1" x14ac:dyDescent="0.25">
      <c r="A61" s="220" t="s">
        <v>217</v>
      </c>
      <c r="B61" s="221"/>
      <c r="C61" s="222"/>
      <c r="D61" s="223" t="e">
        <f>SUM(D21:D60)</f>
        <v>#REF!</v>
      </c>
      <c r="E61" s="223" t="e">
        <f>SUM(E21:E60)</f>
        <v>#REF!</v>
      </c>
      <c r="F61" s="222"/>
      <c r="G61" s="222"/>
      <c r="H61" s="223" t="e">
        <f>SUM(H21:H60)</f>
        <v>#REF!</v>
      </c>
      <c r="I61" s="223" t="e">
        <f>SUM(I21:I60)</f>
        <v>#REF!</v>
      </c>
      <c r="J61" s="222"/>
      <c r="K61" s="222"/>
      <c r="L61" s="223" t="e">
        <f>SUM(L21:L60)</f>
        <v>#REF!</v>
      </c>
      <c r="M61" s="223" t="e">
        <f>SUM(M21:M60)</f>
        <v>#REF!</v>
      </c>
      <c r="N61" s="222"/>
      <c r="O61" s="222"/>
      <c r="P61" s="223" t="e">
        <f>SUM(P21:P60)</f>
        <v>#REF!</v>
      </c>
      <c r="Q61" s="223" t="e">
        <f>SUM(Q21:Q60)</f>
        <v>#REF!</v>
      </c>
      <c r="R61" s="222"/>
      <c r="S61" s="222"/>
      <c r="T61" s="223" t="e">
        <f>SUM(T21:T60)</f>
        <v>#REF!</v>
      </c>
      <c r="U61" s="223" t="e">
        <f>SUM(U21:U60)</f>
        <v>#REF!</v>
      </c>
      <c r="V61" s="222"/>
      <c r="W61" s="222"/>
      <c r="X61" s="223" t="e">
        <f>SUM(X21:X60)</f>
        <v>#REF!</v>
      </c>
      <c r="Y61" s="223" t="e">
        <f>SUM(Y21:Y60)</f>
        <v>#REF!</v>
      </c>
      <c r="Z61" s="222"/>
      <c r="AA61" s="223" t="e">
        <f>SUM(AA21:AA60)</f>
        <v>#REF!</v>
      </c>
      <c r="AB61" s="224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14"/>
  <sheetViews>
    <sheetView workbookViewId="0">
      <selection activeCell="C19" sqref="C19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24" width="11.7109375" style="1" customWidth="1"/>
    <col min="25" max="16384" width="9.140625" style="1"/>
  </cols>
  <sheetData>
    <row r="1" spans="1:7" ht="15.75" x14ac:dyDescent="0.25">
      <c r="A1" s="194" t="s">
        <v>218</v>
      </c>
      <c r="B1" s="195"/>
      <c r="C1" s="196"/>
      <c r="D1" s="198"/>
    </row>
    <row r="2" spans="1:7" ht="15.75" x14ac:dyDescent="0.25">
      <c r="A2" s="197">
        <f>ASS!A4</f>
        <v>0</v>
      </c>
      <c r="B2" s="198"/>
      <c r="C2" s="199"/>
      <c r="D2" s="198"/>
    </row>
    <row r="3" spans="1:7" x14ac:dyDescent="0.2">
      <c r="A3" s="13" t="s">
        <v>122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19"/>
    </row>
    <row r="4" spans="1:7" x14ac:dyDescent="0.2">
      <c r="A4" s="14" t="s">
        <v>123</v>
      </c>
      <c r="B4" s="4"/>
      <c r="C4" s="4"/>
      <c r="D4" s="200">
        <f>CF!D4</f>
        <v>2001</v>
      </c>
      <c r="E4" s="200">
        <f>CF!E4</f>
        <v>2002</v>
      </c>
      <c r="F4" s="200">
        <f>CF!F4</f>
        <v>2003</v>
      </c>
      <c r="G4" s="20" t="s">
        <v>201</v>
      </c>
    </row>
    <row r="5" spans="1:7" x14ac:dyDescent="0.2">
      <c r="A5" s="5" t="s">
        <v>125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201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7" t="s">
        <v>219</v>
      </c>
      <c r="B7" s="10"/>
      <c r="C7" s="2"/>
      <c r="D7" s="2"/>
      <c r="E7" s="2"/>
      <c r="F7" s="2"/>
      <c r="G7" s="19"/>
    </row>
    <row r="8" spans="1:7" x14ac:dyDescent="0.2">
      <c r="A8" s="3" t="s">
        <v>220</v>
      </c>
      <c r="B8" s="4"/>
      <c r="C8" s="4"/>
      <c r="D8" s="29">
        <f>CF!D49</f>
        <v>7051.04</v>
      </c>
      <c r="E8" s="29">
        <f>CF!E49</f>
        <v>6150.0608000000002</v>
      </c>
      <c r="F8" s="29">
        <f>CF!F49</f>
        <v>5249.0620159999999</v>
      </c>
      <c r="G8" s="30">
        <f>SUM(D8:F8)</f>
        <v>18450.162816</v>
      </c>
    </row>
    <row r="9" spans="1:7" x14ac:dyDescent="0.2">
      <c r="A9" s="3" t="s">
        <v>221</v>
      </c>
      <c r="B9" s="4"/>
      <c r="C9" s="4"/>
      <c r="D9" s="29">
        <f>-DEPR!F16</f>
        <v>-487.5</v>
      </c>
      <c r="E9" s="29">
        <f>-DEPR!G16</f>
        <v>-938.47</v>
      </c>
      <c r="F9" s="29">
        <f>-DEPR!H16</f>
        <v>-866.70999999999992</v>
      </c>
      <c r="G9" s="30">
        <f>SUM(D9:F9)</f>
        <v>-2292.6799999999998</v>
      </c>
    </row>
    <row r="10" spans="1:7" x14ac:dyDescent="0.2">
      <c r="A10" s="3" t="s">
        <v>222</v>
      </c>
      <c r="B10" s="4"/>
      <c r="C10" s="4"/>
      <c r="D10" s="402">
        <f>ASS!V31*DEBT</f>
        <v>0</v>
      </c>
      <c r="E10" s="402">
        <f>ASS!W31*DEBT</f>
        <v>0</v>
      </c>
      <c r="F10" s="402">
        <f>ASS!X31*DEBT</f>
        <v>0</v>
      </c>
      <c r="G10" s="30">
        <f>SUM(D10:F10)</f>
        <v>0</v>
      </c>
    </row>
    <row r="11" spans="1:7" x14ac:dyDescent="0.2">
      <c r="A11" s="3" t="s">
        <v>223</v>
      </c>
      <c r="B11" s="4"/>
      <c r="C11" s="4"/>
      <c r="D11" s="32">
        <f>SUM(D8:D10)</f>
        <v>6563.54</v>
      </c>
      <c r="E11" s="32">
        <f>SUM(E8:E10)</f>
        <v>5211.5907999999999</v>
      </c>
      <c r="F11" s="32">
        <f>SUM(F8:F10)</f>
        <v>4382.3520159999998</v>
      </c>
      <c r="G11" s="66">
        <f>SUM(D11:F11)</f>
        <v>16157.482816</v>
      </c>
    </row>
    <row r="12" spans="1:7" x14ac:dyDescent="0.2">
      <c r="A12" s="3" t="s">
        <v>362</v>
      </c>
      <c r="B12" s="4"/>
      <c r="C12" s="4"/>
      <c r="D12" s="9">
        <f>ASS!I14+USTAX</f>
        <v>0.39999999999999997</v>
      </c>
      <c r="E12" s="9">
        <f>ASS!I14+USTAX</f>
        <v>0.39999999999999997</v>
      </c>
      <c r="F12" s="9">
        <f>ASS!I14+USTAX</f>
        <v>0.39999999999999997</v>
      </c>
      <c r="G12" s="18"/>
    </row>
    <row r="13" spans="1:7" x14ac:dyDescent="0.2">
      <c r="A13" s="3"/>
      <c r="B13" s="4"/>
      <c r="C13" s="4"/>
      <c r="D13" s="4"/>
      <c r="E13" s="4"/>
      <c r="F13" s="4"/>
      <c r="G13" s="18"/>
    </row>
    <row r="14" spans="1:7" x14ac:dyDescent="0.2">
      <c r="A14" s="16" t="s">
        <v>224</v>
      </c>
      <c r="B14" s="17"/>
      <c r="C14" s="6"/>
      <c r="D14" s="202">
        <f>IF(D11&lt;0, 0, D11*D12)</f>
        <v>2625.4159999999997</v>
      </c>
      <c r="E14" s="202">
        <f>IF(E11&lt;0, 0, E11*E12)</f>
        <v>2084.6363199999996</v>
      </c>
      <c r="F14" s="202">
        <f>IF(F11&lt;0, 0, F11*F12)</f>
        <v>1752.9408063999997</v>
      </c>
      <c r="G14" s="203">
        <f>SUM(D14:F14)</f>
        <v>6462.9931263999988</v>
      </c>
    </row>
  </sheetData>
  <printOptions horizontalCentered="1"/>
  <pageMargins left="0.5" right="1" top="0.75" bottom="0.75" header="0.5" footer="0.5"/>
  <pageSetup scale="3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J44"/>
  <sheetViews>
    <sheetView topLeftCell="A27" workbookViewId="0">
      <selection activeCell="K21" sqref="K21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0" ht="15.75" x14ac:dyDescent="0.25">
      <c r="A1" s="194" t="s">
        <v>225</v>
      </c>
      <c r="B1" s="204"/>
      <c r="C1" s="205"/>
      <c r="D1"/>
    </row>
    <row r="2" spans="1:10" ht="16.5" thickBot="1" x14ac:dyDescent="0.3">
      <c r="A2" s="197">
        <f>ASS!A4</f>
        <v>0</v>
      </c>
      <c r="B2" s="206"/>
      <c r="C2" s="207"/>
      <c r="D2"/>
    </row>
    <row r="3" spans="1:10" ht="13.5" thickTop="1" x14ac:dyDescent="0.2">
      <c r="A3" s="21"/>
      <c r="B3" s="22"/>
      <c r="C3" s="253" t="s">
        <v>226</v>
      </c>
      <c r="D3" s="253" t="s">
        <v>227</v>
      </c>
      <c r="E3" s="254" t="s">
        <v>228</v>
      </c>
    </row>
    <row r="4" spans="1:10" ht="13.5" thickBot="1" x14ac:dyDescent="0.25">
      <c r="A4" s="23" t="s">
        <v>229</v>
      </c>
      <c r="B4" s="4"/>
      <c r="C4" s="29">
        <f>COST</f>
        <v>13000</v>
      </c>
      <c r="D4" s="29">
        <f t="shared" ref="D4:E6" si="0">C4</f>
        <v>13000</v>
      </c>
      <c r="E4" s="245">
        <f t="shared" si="0"/>
        <v>13000</v>
      </c>
    </row>
    <row r="5" spans="1:10" x14ac:dyDescent="0.2">
      <c r="A5" s="23" t="s">
        <v>380</v>
      </c>
      <c r="B5" s="4"/>
      <c r="C5" s="29">
        <f>-option</f>
        <v>-900</v>
      </c>
      <c r="D5" s="29">
        <f t="shared" si="0"/>
        <v>-900</v>
      </c>
      <c r="E5" s="29">
        <f t="shared" si="0"/>
        <v>-900</v>
      </c>
      <c r="F5" s="293" t="s">
        <v>328</v>
      </c>
      <c r="G5" s="294"/>
      <c r="H5" s="294"/>
    </row>
    <row r="6" spans="1:10" ht="13.5" thickBot="1" x14ac:dyDescent="0.25">
      <c r="A6" s="23" t="s">
        <v>230</v>
      </c>
      <c r="B6" s="4"/>
      <c r="C6" s="31">
        <f>-WCAP</f>
        <v>0</v>
      </c>
      <c r="D6" s="31">
        <f t="shared" si="0"/>
        <v>0</v>
      </c>
      <c r="E6" s="147">
        <f t="shared" si="0"/>
        <v>0</v>
      </c>
      <c r="F6" s="295">
        <v>3.7499999999999999E-2</v>
      </c>
      <c r="G6" s="296">
        <v>7.2190000000000004E-2</v>
      </c>
      <c r="H6" s="296">
        <v>6.6669999999999993E-2</v>
      </c>
    </row>
    <row r="7" spans="1:10" ht="13.5" thickBot="1" x14ac:dyDescent="0.25">
      <c r="A7" s="24" t="s">
        <v>231</v>
      </c>
      <c r="B7" s="25"/>
      <c r="C7" s="246">
        <f>SUM(C4:C6)</f>
        <v>12100</v>
      </c>
      <c r="D7" s="246">
        <f>SUM(D4:D6)</f>
        <v>12100</v>
      </c>
      <c r="E7" s="247">
        <f>SUM(E4:E6)</f>
        <v>12100</v>
      </c>
      <c r="F7" s="283">
        <f>F11/12*F6</f>
        <v>3.7499999999999999E-2</v>
      </c>
      <c r="G7" s="283">
        <f>IF($F$11=12,G6,(12-$F$11)/12*F6+($F$11)/12*G6)</f>
        <v>7.2190000000000004E-2</v>
      </c>
      <c r="H7" s="283">
        <f>IF($F$11=12,H6,(12-$F$11)/12*G6+($F$11)/12*H6)</f>
        <v>6.6669999999999993E-2</v>
      </c>
    </row>
    <row r="8" spans="1:10" ht="13.5" thickTop="1" x14ac:dyDescent="0.2">
      <c r="F8" s="283"/>
      <c r="G8" s="283"/>
      <c r="H8" s="283"/>
    </row>
    <row r="9" spans="1:10" x14ac:dyDescent="0.2">
      <c r="A9" s="13" t="s">
        <v>122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19"/>
    </row>
    <row r="10" spans="1:10" x14ac:dyDescent="0.2">
      <c r="A10" s="208" t="s">
        <v>123</v>
      </c>
      <c r="B10" s="4"/>
      <c r="C10" s="4"/>
      <c r="D10" s="4"/>
      <c r="E10" s="4"/>
      <c r="F10" s="15">
        <f>CF!D4</f>
        <v>2001</v>
      </c>
      <c r="G10" s="15">
        <f>CF!E4</f>
        <v>2002</v>
      </c>
      <c r="H10" s="15">
        <f>CF!F4</f>
        <v>2003</v>
      </c>
      <c r="I10" s="20" t="s">
        <v>201</v>
      </c>
    </row>
    <row r="11" spans="1:10" x14ac:dyDescent="0.2">
      <c r="A11" s="5" t="s">
        <v>125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201"/>
    </row>
    <row r="12" spans="1:10" x14ac:dyDescent="0.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7" t="s">
        <v>232</v>
      </c>
      <c r="B13" s="10"/>
      <c r="C13" s="10"/>
      <c r="D13" s="10"/>
      <c r="E13" s="26" t="s">
        <v>233</v>
      </c>
      <c r="F13" s="2"/>
      <c r="G13" s="2"/>
      <c r="H13" s="2"/>
      <c r="I13" s="19"/>
      <c r="J13" s="4"/>
    </row>
    <row r="14" spans="1:10" x14ac:dyDescent="0.2">
      <c r="A14" s="3" t="s">
        <v>234</v>
      </c>
      <c r="B14" s="4"/>
      <c r="C14" s="4"/>
      <c r="D14" s="4"/>
      <c r="E14" s="20" t="s">
        <v>235</v>
      </c>
      <c r="F14" s="4"/>
      <c r="G14" s="4"/>
      <c r="H14" s="4"/>
      <c r="I14" s="18"/>
      <c r="J14" s="4"/>
    </row>
    <row r="15" spans="1:10" x14ac:dyDescent="0.2">
      <c r="A15" s="3"/>
      <c r="B15" s="4" t="s">
        <v>346</v>
      </c>
      <c r="C15" s="4"/>
      <c r="D15" s="4"/>
      <c r="E15" s="30">
        <f>ASS!I19</f>
        <v>13000</v>
      </c>
      <c r="F15" s="313">
        <f>$E$15*F7</f>
        <v>487.5</v>
      </c>
      <c r="G15" s="401">
        <f>$E$15*G7</f>
        <v>938.47</v>
      </c>
      <c r="H15" s="37">
        <f>$E$15*H7</f>
        <v>866.70999999999992</v>
      </c>
      <c r="I15" s="30">
        <f>SUM(F15:H15)</f>
        <v>2292.6799999999998</v>
      </c>
      <c r="J15" s="4"/>
    </row>
    <row r="16" spans="1:10" x14ac:dyDescent="0.2">
      <c r="A16" s="3"/>
      <c r="B16" s="4" t="s">
        <v>236</v>
      </c>
      <c r="C16" s="4" t="s">
        <v>5</v>
      </c>
      <c r="D16" s="4"/>
      <c r="E16" s="30">
        <f>SUM(E15:E15)</f>
        <v>13000</v>
      </c>
      <c r="F16" s="29">
        <f>SUM(F15:F15)</f>
        <v>487.5</v>
      </c>
      <c r="G16" s="29">
        <f>SUM(G15:G15)</f>
        <v>938.47</v>
      </c>
      <c r="H16" s="29">
        <f>SUM(H15:H15)</f>
        <v>866.70999999999992</v>
      </c>
      <c r="I16" s="30">
        <f>SUM(F16:H16)</f>
        <v>2292.6799999999998</v>
      </c>
      <c r="J16" s="4"/>
    </row>
    <row r="17" spans="1:10" x14ac:dyDescent="0.2">
      <c r="A17" s="3"/>
      <c r="B17" s="256" t="s">
        <v>237</v>
      </c>
      <c r="C17" s="4" t="s">
        <v>5</v>
      </c>
      <c r="D17" s="4"/>
      <c r="E17" s="30"/>
      <c r="F17" s="257">
        <f>F16</f>
        <v>487.5</v>
      </c>
      <c r="G17" s="257">
        <f>F17+G16</f>
        <v>1425.97</v>
      </c>
      <c r="H17" s="257">
        <f>G17+H16</f>
        <v>2292.6799999999998</v>
      </c>
      <c r="I17" s="30"/>
      <c r="J17" s="4"/>
    </row>
    <row r="18" spans="1:10" x14ac:dyDescent="0.2">
      <c r="A18" s="3"/>
      <c r="B18" s="4"/>
      <c r="C18" s="4" t="s">
        <v>5</v>
      </c>
      <c r="D18" s="4"/>
      <c r="E18" s="30"/>
      <c r="F18" s="29"/>
      <c r="G18" s="29"/>
      <c r="H18" s="29"/>
      <c r="I18" s="30"/>
      <c r="J18" s="4"/>
    </row>
    <row r="19" spans="1:10" x14ac:dyDescent="0.2">
      <c r="A19" s="3"/>
      <c r="B19" s="4" t="s">
        <v>238</v>
      </c>
      <c r="C19" s="209"/>
      <c r="D19" s="4"/>
      <c r="E19" s="30"/>
      <c r="F19" s="29">
        <v>0</v>
      </c>
      <c r="G19" s="29">
        <f>F22</f>
        <v>12512.5</v>
      </c>
      <c r="H19" s="29">
        <f>G22</f>
        <v>11574.03</v>
      </c>
      <c r="I19" s="30"/>
      <c r="J19" s="4"/>
    </row>
    <row r="20" spans="1:10" x14ac:dyDescent="0.2">
      <c r="A20" s="3"/>
      <c r="B20" s="4" t="s">
        <v>239</v>
      </c>
      <c r="C20" s="4"/>
      <c r="D20" s="4"/>
      <c r="E20" s="30"/>
      <c r="F20" s="29">
        <f>E16</f>
        <v>13000</v>
      </c>
      <c r="G20" s="29">
        <v>0</v>
      </c>
      <c r="H20" s="29">
        <v>0</v>
      </c>
      <c r="I20" s="30">
        <f>SUM(F20:H20)</f>
        <v>13000</v>
      </c>
      <c r="J20" s="4"/>
    </row>
    <row r="21" spans="1:10" x14ac:dyDescent="0.2">
      <c r="A21" s="3"/>
      <c r="B21" s="4" t="s">
        <v>240</v>
      </c>
      <c r="C21" s="4"/>
      <c r="D21" s="4"/>
      <c r="E21" s="30"/>
      <c r="F21" s="31">
        <f>-F16</f>
        <v>-487.5</v>
      </c>
      <c r="G21" s="31">
        <f>-G15</f>
        <v>-938.47</v>
      </c>
      <c r="H21" s="31">
        <f>-H15</f>
        <v>-866.70999999999992</v>
      </c>
      <c r="I21" s="30">
        <f>SUM(F21:H21)</f>
        <v>-2292.6799999999998</v>
      </c>
      <c r="J21" s="4"/>
    </row>
    <row r="22" spans="1:10" x14ac:dyDescent="0.2">
      <c r="A22" s="5"/>
      <c r="B22" s="6" t="s">
        <v>241</v>
      </c>
      <c r="C22" s="6" t="s">
        <v>5</v>
      </c>
      <c r="D22" s="6"/>
      <c r="E22" s="38"/>
      <c r="F22" s="37">
        <f>SUM(F19:F21)</f>
        <v>12512.5</v>
      </c>
      <c r="G22" s="37">
        <f>SUM(G19:G21)</f>
        <v>11574.03</v>
      </c>
      <c r="H22" s="37">
        <f>SUM(H19:H21)</f>
        <v>10707.320000000002</v>
      </c>
      <c r="I22" s="38"/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7" t="s">
        <v>242</v>
      </c>
      <c r="B24" s="10"/>
      <c r="C24" s="10"/>
      <c r="D24" s="2"/>
      <c r="E24" s="19"/>
      <c r="F24" s="2"/>
      <c r="G24" s="2"/>
      <c r="H24" s="2"/>
      <c r="I24" s="19"/>
      <c r="J24" s="4"/>
    </row>
    <row r="25" spans="1:10" x14ac:dyDescent="0.2">
      <c r="A25" s="3" t="s">
        <v>243</v>
      </c>
      <c r="B25" s="4"/>
      <c r="C25" s="4"/>
      <c r="D25" s="4"/>
      <c r="E25" s="18"/>
      <c r="F25" s="4"/>
      <c r="G25" s="4"/>
      <c r="H25" s="4"/>
      <c r="I25" s="18"/>
      <c r="J25" s="4"/>
    </row>
    <row r="26" spans="1:10" x14ac:dyDescent="0.2">
      <c r="A26" s="3"/>
      <c r="B26" s="4" t="s">
        <v>346</v>
      </c>
      <c r="C26" s="4"/>
      <c r="D26" s="4"/>
      <c r="E26" s="30">
        <f>ASS!$I21</f>
        <v>13000</v>
      </c>
      <c r="F26" s="255">
        <f>IF(ASS!$J$21=0, 0,  IF(F9&lt;ASS!$J$21+1, SLN(ASS!$I$21,0,ASS!$J$21)*F11/12, IF(F9=ASS!$J$21+1, SLN(ASS!$I$21,0,ASS!$J$21)*(12-F11)/12, 0)))</f>
        <v>456.14035087719299</v>
      </c>
      <c r="G26" s="29">
        <f>IF(ASS!$J$21=0, 0, IF(G9=ASS!$J$21,$E$26-SUM($F$26:F26),IF(G9&gt;TERM,0,IF(G9&lt;ASS!$J$21+1, SLN(ASS!$I$21,0,ASS!$J$21)*G11/12, IF(G9=ASS!$J$21+1, SLN(ASS!$I$21,0,ASS!$J$21)*(12-G11)/12, 0)))))</f>
        <v>456.14035087719299</v>
      </c>
      <c r="H26" s="29">
        <f>IF(ASS!$J$21=0, 0, IF(H9=ASS!$J$21,$E$26-SUM($F$26:G26),IF(H9&gt;TERM,0,IF(H9&lt;ASS!$J$21+1, SLN(ASS!$I$21,0,ASS!$J$21)*H11/12, IF(H9=ASS!$J$21+1, SLN(ASS!$I$21,0,ASS!$J$21)*(12-H11)/12, 0)))))</f>
        <v>456.14035087719299</v>
      </c>
      <c r="I26" s="30">
        <f>SUM(F26:H26)</f>
        <v>1368.421052631579</v>
      </c>
      <c r="J26" s="4"/>
    </row>
    <row r="27" spans="1:10" x14ac:dyDescent="0.2">
      <c r="A27" s="3"/>
      <c r="B27" s="4" t="s">
        <v>244</v>
      </c>
      <c r="C27" s="209"/>
      <c r="D27" s="4"/>
      <c r="E27" s="30">
        <f>SUM(E26:E26)</f>
        <v>13000</v>
      </c>
      <c r="F27" s="29">
        <f>SUM(F26:F26)</f>
        <v>456.14035087719299</v>
      </c>
      <c r="G27" s="29">
        <f>G26</f>
        <v>456.14035087719299</v>
      </c>
      <c r="H27" s="29">
        <f>H26</f>
        <v>456.14035087719299</v>
      </c>
      <c r="I27" s="30">
        <f>SUM(F27:H27)</f>
        <v>1368.421052631579</v>
      </c>
      <c r="J27" s="4"/>
    </row>
    <row r="28" spans="1:10" x14ac:dyDescent="0.2">
      <c r="A28" s="3"/>
      <c r="B28" s="258" t="s">
        <v>245</v>
      </c>
      <c r="C28" s="259"/>
      <c r="D28" s="258"/>
      <c r="E28" s="260"/>
      <c r="F28" s="261">
        <f>F27</f>
        <v>456.14035087719299</v>
      </c>
      <c r="G28" s="261">
        <f>F28+G27</f>
        <v>912.28070175438597</v>
      </c>
      <c r="H28" s="261">
        <f>G28+H27</f>
        <v>1368.421052631579</v>
      </c>
      <c r="I28" s="30"/>
      <c r="J28" s="4"/>
    </row>
    <row r="29" spans="1:10" x14ac:dyDescent="0.2">
      <c r="A29" s="3"/>
      <c r="B29" s="4"/>
      <c r="C29" s="209"/>
      <c r="D29" s="4"/>
      <c r="E29" s="30"/>
      <c r="F29" s="29"/>
      <c r="G29" s="29"/>
      <c r="H29" s="29"/>
      <c r="I29" s="30"/>
      <c r="J29" s="4"/>
    </row>
    <row r="30" spans="1:10" x14ac:dyDescent="0.2">
      <c r="A30" s="3"/>
      <c r="B30" s="4" t="s">
        <v>246</v>
      </c>
      <c r="C30" s="209"/>
      <c r="D30" s="4"/>
      <c r="E30" s="30"/>
      <c r="F30" s="29">
        <v>0</v>
      </c>
      <c r="G30" s="29">
        <f>F33</f>
        <v>12543.859649122807</v>
      </c>
      <c r="H30" s="29">
        <f>G33</f>
        <v>12087.719298245614</v>
      </c>
      <c r="I30" s="30"/>
      <c r="J30" s="4"/>
    </row>
    <row r="31" spans="1:10" x14ac:dyDescent="0.2">
      <c r="A31" s="3"/>
      <c r="B31" s="4" t="s">
        <v>239</v>
      </c>
      <c r="C31" s="4"/>
      <c r="D31" s="4"/>
      <c r="E31" s="30"/>
      <c r="F31" s="29">
        <f>E27</f>
        <v>13000</v>
      </c>
      <c r="G31" s="29">
        <v>0</v>
      </c>
      <c r="H31" s="29">
        <v>0</v>
      </c>
      <c r="I31" s="30">
        <f>SUM(F31:H31)</f>
        <v>13000</v>
      </c>
      <c r="J31" s="4"/>
    </row>
    <row r="32" spans="1:10" x14ac:dyDescent="0.2">
      <c r="A32" s="3"/>
      <c r="B32" s="4" t="s">
        <v>240</v>
      </c>
      <c r="C32" s="4"/>
      <c r="D32" s="4"/>
      <c r="E32" s="30"/>
      <c r="F32" s="31">
        <f>-F27</f>
        <v>-456.14035087719299</v>
      </c>
      <c r="G32" s="31">
        <f>-G27</f>
        <v>-456.14035087719299</v>
      </c>
      <c r="H32" s="31">
        <f>-H27</f>
        <v>-456.14035087719299</v>
      </c>
      <c r="I32" s="30">
        <f>SUM(F32:H32)</f>
        <v>-1368.421052631579</v>
      </c>
      <c r="J32" s="4"/>
    </row>
    <row r="33" spans="1:10" x14ac:dyDescent="0.2">
      <c r="A33" s="5"/>
      <c r="B33" s="6" t="s">
        <v>247</v>
      </c>
      <c r="C33" s="6" t="s">
        <v>5</v>
      </c>
      <c r="D33" s="6"/>
      <c r="E33" s="38"/>
      <c r="F33" s="37">
        <f>SUM(F30:F32)</f>
        <v>12543.859649122807</v>
      </c>
      <c r="G33" s="37">
        <f>SUM(G30:G32)</f>
        <v>12087.719298245614</v>
      </c>
      <c r="H33" s="37">
        <f>SUM(H30:H32)</f>
        <v>11631.578947368422</v>
      </c>
      <c r="I33" s="38"/>
      <c r="J33" s="4"/>
    </row>
    <row r="34" spans="1:10" x14ac:dyDescent="0.2">
      <c r="A34" s="209"/>
      <c r="B34" s="209"/>
      <c r="C34" s="209"/>
      <c r="D34" s="209"/>
      <c r="E34" s="209"/>
      <c r="F34" s="209"/>
      <c r="G34" s="209"/>
      <c r="H34" s="209"/>
      <c r="I34" s="209"/>
      <c r="J34" s="209"/>
    </row>
    <row r="35" spans="1:10" x14ac:dyDescent="0.2">
      <c r="A35" s="7" t="s">
        <v>248</v>
      </c>
      <c r="B35" s="10"/>
      <c r="C35" s="10"/>
      <c r="D35" s="2"/>
      <c r="E35" s="19"/>
      <c r="F35" s="2"/>
      <c r="G35" s="2"/>
      <c r="H35" s="2"/>
      <c r="I35" s="19"/>
      <c r="J35" s="209"/>
    </row>
    <row r="36" spans="1:10" x14ac:dyDescent="0.2">
      <c r="A36" s="3" t="s">
        <v>243</v>
      </c>
      <c r="B36" s="4"/>
      <c r="C36" s="4"/>
      <c r="D36" s="4"/>
      <c r="E36" s="18"/>
      <c r="F36" s="4"/>
      <c r="G36" s="4"/>
      <c r="H36" s="4"/>
      <c r="I36" s="18"/>
      <c r="J36" s="209"/>
    </row>
    <row r="37" spans="1:10" x14ac:dyDescent="0.2">
      <c r="A37" s="3"/>
      <c r="B37" s="4" t="s">
        <v>346</v>
      </c>
      <c r="C37" s="4"/>
      <c r="D37" s="4"/>
      <c r="E37" s="30">
        <f>ASS!I23</f>
        <v>13000</v>
      </c>
      <c r="F37" s="255">
        <f>IF(ASS!$J$23=0, 0,  IF(F9&lt;ASS!$J$23, SLN(ASS!$I$23,0,ASS!$J$23)*F11/12, IF(F9=ASS!$J$23, SLN(ASS!$I$23,0,ASS!$J$23)*(12-F11)/12, 0)))</f>
        <v>456.14035087719299</v>
      </c>
      <c r="G37" s="29">
        <f>IF(ASS!$J$23=0, 0, IF(G9=ASS!$J$23,$E$37-SUM($F$37:F37),IF(G9&gt;TERM,0,IF(G9&lt;ASS!$J$23, SLN(ASS!$I$23,0,ASS!$J$23)*G11/12, IF(G9=ASS!$J$23, SLN(ASS!$I$23,0,ASS!$J$23)*(12-G11)/12, 0)))))</f>
        <v>456.14035087719299</v>
      </c>
      <c r="H37" s="255">
        <f>IF(ASS!$J$23=0, 0, IF(H9=ASS!$J$23,$E$37-SUM($F$37:G37),IF(H9&gt;TERM,0,IF(H9&lt;ASS!$J$23, SLN(ASS!$I$23,0,ASS!$J$23)*H11/12, IF(H9=ASS!$J$23, SLN(ASS!$I$23,0,ASS!$J$23)*(12-H11)/12, 0)))))</f>
        <v>456.14035087719299</v>
      </c>
      <c r="I37" s="30">
        <f>SUM(F37:H37)</f>
        <v>1368.421052631579</v>
      </c>
      <c r="J37" s="209"/>
    </row>
    <row r="38" spans="1:10" x14ac:dyDescent="0.2">
      <c r="A38" s="3"/>
      <c r="B38" s="4" t="s">
        <v>244</v>
      </c>
      <c r="C38" s="209"/>
      <c r="D38" s="4"/>
      <c r="E38" s="30">
        <f>SUM(E37:E37)</f>
        <v>13000</v>
      </c>
      <c r="F38" s="29">
        <f>SUM(F37:F37)</f>
        <v>456.14035087719299</v>
      </c>
      <c r="G38" s="29">
        <f>SUM(G37:G37)</f>
        <v>456.14035087719299</v>
      </c>
      <c r="H38" s="29">
        <f>SUM(H37:H37)</f>
        <v>456.14035087719299</v>
      </c>
      <c r="I38" s="30">
        <f>SUM(F38:H38)</f>
        <v>1368.421052631579</v>
      </c>
      <c r="J38"/>
    </row>
    <row r="39" spans="1:10" x14ac:dyDescent="0.2">
      <c r="A39" s="3"/>
      <c r="B39" s="256" t="s">
        <v>245</v>
      </c>
      <c r="C39" s="209"/>
      <c r="D39" s="4"/>
      <c r="E39" s="30"/>
      <c r="F39" s="257">
        <f>SUM($F$38:F38)</f>
        <v>456.14035087719299</v>
      </c>
      <c r="G39" s="257">
        <f>SUM($F$38:G38)</f>
        <v>912.28070175438597</v>
      </c>
      <c r="H39" s="257">
        <f>SUM($F$38:H38)</f>
        <v>1368.421052631579</v>
      </c>
      <c r="I39" s="30"/>
      <c r="J39"/>
    </row>
    <row r="40" spans="1:10" x14ac:dyDescent="0.2">
      <c r="A40" s="3"/>
      <c r="B40" s="4"/>
      <c r="C40" s="209"/>
      <c r="D40" s="4"/>
      <c r="E40" s="30"/>
      <c r="F40" s="29"/>
      <c r="G40" s="29"/>
      <c r="H40" s="29"/>
      <c r="I40" s="30"/>
      <c r="J40"/>
    </row>
    <row r="41" spans="1:10" x14ac:dyDescent="0.2">
      <c r="A41" s="3"/>
      <c r="B41" s="4" t="s">
        <v>246</v>
      </c>
      <c r="C41" s="209"/>
      <c r="D41" s="4"/>
      <c r="E41" s="30"/>
      <c r="F41" s="29">
        <v>0</v>
      </c>
      <c r="G41" s="29">
        <f>F44</f>
        <v>12543.859649122807</v>
      </c>
      <c r="H41" s="29">
        <f>G44</f>
        <v>12087.719298245614</v>
      </c>
      <c r="I41" s="30"/>
      <c r="J41"/>
    </row>
    <row r="42" spans="1:10" x14ac:dyDescent="0.2">
      <c r="A42" s="3"/>
      <c r="B42" s="4" t="s">
        <v>239</v>
      </c>
      <c r="C42" s="4"/>
      <c r="D42" s="4"/>
      <c r="E42" s="30"/>
      <c r="F42" s="29">
        <f>E38</f>
        <v>13000</v>
      </c>
      <c r="G42" s="29">
        <v>0</v>
      </c>
      <c r="H42" s="29">
        <v>0</v>
      </c>
      <c r="I42" s="30">
        <f>SUM(F42:H42)</f>
        <v>13000</v>
      </c>
      <c r="J42"/>
    </row>
    <row r="43" spans="1:10" x14ac:dyDescent="0.2">
      <c r="A43" s="3"/>
      <c r="B43" s="4" t="s">
        <v>240</v>
      </c>
      <c r="C43" s="4"/>
      <c r="D43" s="4"/>
      <c r="E43" s="30"/>
      <c r="F43" s="31">
        <f>-F38</f>
        <v>-456.14035087719299</v>
      </c>
      <c r="G43" s="31">
        <f>-G38</f>
        <v>-456.14035087719299</v>
      </c>
      <c r="H43" s="31">
        <f>-H38</f>
        <v>-456.14035087719299</v>
      </c>
      <c r="I43" s="30">
        <f>SUM(F43:H43)</f>
        <v>-1368.421052631579</v>
      </c>
      <c r="J43"/>
    </row>
    <row r="44" spans="1:10" x14ac:dyDescent="0.2">
      <c r="A44" s="5"/>
      <c r="B44" s="6" t="s">
        <v>247</v>
      </c>
      <c r="C44" s="6" t="s">
        <v>5</v>
      </c>
      <c r="D44" s="6"/>
      <c r="E44" s="38"/>
      <c r="F44" s="37">
        <f>SUM(F41:F43)</f>
        <v>12543.859649122807</v>
      </c>
      <c r="G44" s="37">
        <f>SUM(G41:G43)</f>
        <v>12087.719298245614</v>
      </c>
      <c r="H44" s="37">
        <f>SUM(H41:H43)</f>
        <v>11631.578947368422</v>
      </c>
      <c r="I44" s="38"/>
      <c r="J44"/>
    </row>
  </sheetData>
  <printOptions horizontalCentered="1"/>
  <pageMargins left="0.5" right="1" top="0.75" bottom="0.75" header="0.5" footer="0.5"/>
  <pageSetup scale="90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J85"/>
  <sheetViews>
    <sheetView tabSelected="1" topLeftCell="A22" workbookViewId="0">
      <selection activeCell="L36" sqref="L36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9" width="9.140625" style="1"/>
    <col min="10" max="10" width="10.140625" style="1" customWidth="1"/>
    <col min="11" max="16384" width="9.140625" style="1"/>
  </cols>
  <sheetData>
    <row r="1" spans="1:10" ht="15.75" x14ac:dyDescent="0.25">
      <c r="A1" s="194" t="s">
        <v>249</v>
      </c>
      <c r="B1" s="210"/>
      <c r="C1" s="204"/>
      <c r="D1" s="205"/>
      <c r="E1"/>
    </row>
    <row r="2" spans="1:10" ht="15.75" x14ac:dyDescent="0.25">
      <c r="A2" s="197">
        <f>ASS!A4</f>
        <v>0</v>
      </c>
      <c r="B2" s="211"/>
      <c r="C2" s="206"/>
      <c r="D2" s="207"/>
      <c r="E2"/>
    </row>
    <row r="3" spans="1:10" x14ac:dyDescent="0.2">
      <c r="F3" s="8" t="s">
        <v>250</v>
      </c>
      <c r="G3" s="27">
        <f>CF!D3</f>
        <v>1</v>
      </c>
      <c r="H3" s="27">
        <f>CF!E3</f>
        <v>2</v>
      </c>
      <c r="I3" s="27">
        <f>CF!F3</f>
        <v>3</v>
      </c>
      <c r="J3" s="19"/>
    </row>
    <row r="4" spans="1:10" x14ac:dyDescent="0.2">
      <c r="A4" s="315" t="s">
        <v>354</v>
      </c>
      <c r="F4" s="8" t="s">
        <v>251</v>
      </c>
      <c r="G4" s="27">
        <f>CF!D4</f>
        <v>2001</v>
      </c>
      <c r="H4" s="27">
        <f>CF!E4</f>
        <v>2002</v>
      </c>
      <c r="I4" s="27">
        <f>CF!F4</f>
        <v>2003</v>
      </c>
      <c r="J4" s="28" t="s">
        <v>124</v>
      </c>
    </row>
    <row r="5" spans="1:10" x14ac:dyDescent="0.2">
      <c r="A5" s="13" t="s">
        <v>252</v>
      </c>
      <c r="B5" s="2"/>
      <c r="C5" s="2"/>
      <c r="D5" s="2"/>
      <c r="E5" s="2"/>
      <c r="F5" s="2"/>
      <c r="G5" s="2"/>
      <c r="H5" s="2"/>
      <c r="I5" s="2"/>
      <c r="J5" s="18"/>
    </row>
    <row r="6" spans="1:10" x14ac:dyDescent="0.2">
      <c r="A6" s="3"/>
      <c r="B6" s="4" t="s">
        <v>253</v>
      </c>
      <c r="C6" s="4"/>
      <c r="D6" s="4"/>
      <c r="E6" s="4"/>
      <c r="F6" s="67">
        <v>0</v>
      </c>
      <c r="G6" s="29">
        <f>$F$6+G85</f>
        <v>0</v>
      </c>
      <c r="H6" s="29">
        <f>$F$6+H85</f>
        <v>0</v>
      </c>
      <c r="I6" s="29">
        <f>$F$6+I85</f>
        <v>0</v>
      </c>
      <c r="J6" s="30">
        <f>SUM(F6:I6)</f>
        <v>0</v>
      </c>
    </row>
    <row r="7" spans="1:10" x14ac:dyDescent="0.2">
      <c r="A7" s="3"/>
      <c r="B7" s="4" t="s">
        <v>97</v>
      </c>
      <c r="C7" s="4"/>
      <c r="D7" s="4"/>
      <c r="E7" s="4"/>
      <c r="F7" s="67">
        <v>0</v>
      </c>
      <c r="G7" s="29">
        <f>F7+(-CF!D63-CF!D64)</f>
        <v>0</v>
      </c>
      <c r="H7" s="29">
        <f>G7+(-CF!E63-CF!E64)</f>
        <v>0</v>
      </c>
      <c r="I7" s="29">
        <f>H7+(-CF!F63-CF!F64)</f>
        <v>0</v>
      </c>
      <c r="J7" s="30"/>
    </row>
    <row r="8" spans="1:10" x14ac:dyDescent="0.2">
      <c r="A8" s="3"/>
      <c r="B8" s="4" t="s">
        <v>254</v>
      </c>
      <c r="C8" s="4"/>
      <c r="D8" s="4"/>
      <c r="E8" s="4"/>
      <c r="F8" s="328">
        <v>0</v>
      </c>
      <c r="G8" s="329">
        <v>0</v>
      </c>
      <c r="H8" s="329">
        <v>0</v>
      </c>
      <c r="I8" s="329">
        <v>0</v>
      </c>
      <c r="J8" s="30">
        <f>SUM(F8:I8)</f>
        <v>0</v>
      </c>
    </row>
    <row r="9" spans="1:10" x14ac:dyDescent="0.2">
      <c r="A9" s="3"/>
      <c r="B9" s="4" t="s">
        <v>255</v>
      </c>
      <c r="C9" s="4"/>
      <c r="D9" s="4"/>
      <c r="E9" s="4"/>
      <c r="F9" s="67">
        <v>0</v>
      </c>
      <c r="G9" s="29">
        <f>IF(G3&lt;TERM,SPARES,0)</f>
        <v>0</v>
      </c>
      <c r="H9" s="29">
        <f>IF(H3&lt;TERM,SPARES,0)</f>
        <v>0</v>
      </c>
      <c r="I9" s="29">
        <f>IF(I3&lt;TERM,SPARES,0)</f>
        <v>0</v>
      </c>
      <c r="J9" s="30">
        <f>SUM(F9:I9)</f>
        <v>0</v>
      </c>
    </row>
    <row r="10" spans="1:10" x14ac:dyDescent="0.2">
      <c r="A10" s="3"/>
      <c r="B10" s="4" t="s">
        <v>256</v>
      </c>
      <c r="C10" s="4"/>
      <c r="D10" s="4"/>
      <c r="E10" s="4"/>
      <c r="F10" s="328">
        <v>0</v>
      </c>
      <c r="G10" s="329">
        <v>0</v>
      </c>
      <c r="H10" s="329">
        <v>0</v>
      </c>
      <c r="I10" s="329">
        <v>0</v>
      </c>
      <c r="J10" s="30">
        <f>SUM(F10:I10)</f>
        <v>0</v>
      </c>
    </row>
    <row r="11" spans="1:10" x14ac:dyDescent="0.2">
      <c r="A11" s="3"/>
      <c r="B11" s="4" t="s">
        <v>257</v>
      </c>
      <c r="C11" s="4"/>
      <c r="D11" s="4"/>
      <c r="E11" s="4"/>
      <c r="F11" s="67"/>
      <c r="G11" s="29"/>
      <c r="H11" s="29"/>
      <c r="I11" s="29"/>
      <c r="J11" s="30" t="s">
        <v>5</v>
      </c>
    </row>
    <row r="12" spans="1:10" x14ac:dyDescent="0.2">
      <c r="A12" s="3"/>
      <c r="B12" s="4"/>
      <c r="C12" s="4" t="s">
        <v>172</v>
      </c>
      <c r="D12" s="4"/>
      <c r="E12" s="4"/>
      <c r="F12" s="67">
        <v>0</v>
      </c>
      <c r="G12" s="29">
        <f>$F$12+DEPR!$F$31</f>
        <v>13000</v>
      </c>
      <c r="H12" s="29">
        <f>$F$12+DEPR!$F$31</f>
        <v>13000</v>
      </c>
      <c r="I12" s="29">
        <f>$F$12+DEPR!$F$31</f>
        <v>13000</v>
      </c>
      <c r="J12" s="30">
        <f t="shared" ref="J12:J17" si="0">SUM(F12:I12)</f>
        <v>39000</v>
      </c>
    </row>
    <row r="13" spans="1:10" x14ac:dyDescent="0.2">
      <c r="A13" s="3"/>
      <c r="B13" s="4"/>
      <c r="C13" s="4" t="s">
        <v>258</v>
      </c>
      <c r="D13" s="4"/>
      <c r="E13" s="4"/>
      <c r="F13" s="68">
        <v>0</v>
      </c>
      <c r="G13" s="31">
        <f>$F$13+DEPR!F28</f>
        <v>456.14035087719299</v>
      </c>
      <c r="H13" s="31">
        <f>$F$13+DEPR!G28</f>
        <v>912.28070175438597</v>
      </c>
      <c r="I13" s="31">
        <f>$F$13+DEPR!H28</f>
        <v>1368.421052631579</v>
      </c>
      <c r="J13" s="30">
        <f t="shared" si="0"/>
        <v>2736.8421052631579</v>
      </c>
    </row>
    <row r="14" spans="1:10" x14ac:dyDescent="0.2">
      <c r="A14" s="3"/>
      <c r="B14" s="4"/>
      <c r="C14" s="4" t="s">
        <v>259</v>
      </c>
      <c r="D14" s="4"/>
      <c r="E14" s="4"/>
      <c r="F14" s="67">
        <v>0</v>
      </c>
      <c r="G14" s="29">
        <f>$F$14+G12-G13</f>
        <v>12543.859649122807</v>
      </c>
      <c r="H14" s="29">
        <f>$F$14+H12-H13</f>
        <v>12087.719298245614</v>
      </c>
      <c r="I14" s="29">
        <f>$F$14+I12-I13</f>
        <v>11631.578947368422</v>
      </c>
      <c r="J14" s="30">
        <f t="shared" si="0"/>
        <v>36263.15789473684</v>
      </c>
    </row>
    <row r="15" spans="1:10" x14ac:dyDescent="0.2">
      <c r="A15" s="3"/>
      <c r="B15" s="4" t="s">
        <v>260</v>
      </c>
      <c r="C15" s="4"/>
      <c r="D15" s="4"/>
      <c r="E15" s="4"/>
      <c r="F15" s="328">
        <v>0</v>
      </c>
      <c r="G15" s="329">
        <v>0</v>
      </c>
      <c r="H15" s="329">
        <v>0</v>
      </c>
      <c r="I15" s="329">
        <v>0</v>
      </c>
      <c r="J15" s="30">
        <f t="shared" si="0"/>
        <v>0</v>
      </c>
    </row>
    <row r="16" spans="1:10" x14ac:dyDescent="0.2">
      <c r="A16" s="3"/>
      <c r="B16" s="4"/>
      <c r="C16" s="4"/>
      <c r="D16" s="4"/>
      <c r="E16" s="4"/>
      <c r="F16" s="67"/>
      <c r="G16" s="29" t="s">
        <v>5</v>
      </c>
      <c r="H16" s="29"/>
      <c r="I16" s="29"/>
      <c r="J16" s="30">
        <f t="shared" si="0"/>
        <v>0</v>
      </c>
    </row>
    <row r="17" spans="1:10" x14ac:dyDescent="0.2">
      <c r="A17" s="3" t="s">
        <v>261</v>
      </c>
      <c r="B17" s="4"/>
      <c r="C17" s="4"/>
      <c r="D17" s="4"/>
      <c r="E17" s="4"/>
      <c r="F17" s="69">
        <v>0</v>
      </c>
      <c r="G17" s="32">
        <f>SUM(G6:G10)+G14+SUM(G15:G15)</f>
        <v>12543.859649122807</v>
      </c>
      <c r="H17" s="32">
        <f>SUM(H6:H10)+H14+SUM(H15:H15)</f>
        <v>12087.719298245614</v>
      </c>
      <c r="I17" s="32">
        <f>SUM(I6:I10)+I14+SUM(I15:I15)</f>
        <v>11631.578947368422</v>
      </c>
      <c r="J17" s="30">
        <f t="shared" si="0"/>
        <v>36263.15789473684</v>
      </c>
    </row>
    <row r="18" spans="1:10" x14ac:dyDescent="0.2">
      <c r="A18" s="3"/>
      <c r="B18" s="4"/>
      <c r="C18" s="4"/>
      <c r="D18" s="4"/>
      <c r="E18" s="4"/>
      <c r="F18" s="67"/>
      <c r="G18" s="29"/>
      <c r="H18" s="29"/>
      <c r="I18" s="29"/>
      <c r="J18" s="30" t="s">
        <v>5</v>
      </c>
    </row>
    <row r="19" spans="1:10" x14ac:dyDescent="0.2">
      <c r="A19" s="3" t="s">
        <v>262</v>
      </c>
      <c r="B19" s="4"/>
      <c r="C19" s="4"/>
      <c r="D19" s="4"/>
      <c r="E19" s="4"/>
      <c r="F19" s="67"/>
      <c r="G19" s="29"/>
      <c r="H19" s="29"/>
      <c r="I19" s="29"/>
      <c r="J19" s="30" t="s">
        <v>5</v>
      </c>
    </row>
    <row r="20" spans="1:10" x14ac:dyDescent="0.2">
      <c r="A20" s="3"/>
      <c r="B20" s="4" t="s">
        <v>263</v>
      </c>
      <c r="C20" s="4"/>
      <c r="D20" s="4"/>
      <c r="E20" s="4"/>
      <c r="F20" s="67">
        <v>0</v>
      </c>
      <c r="G20" s="29">
        <v>0</v>
      </c>
      <c r="H20" s="29">
        <v>0</v>
      </c>
      <c r="I20" s="29">
        <v>0</v>
      </c>
      <c r="J20" s="30">
        <f t="shared" ref="J20:J25" si="1">SUM(F20:I20)</f>
        <v>0</v>
      </c>
    </row>
    <row r="21" spans="1:10" x14ac:dyDescent="0.2">
      <c r="A21" s="3"/>
      <c r="B21" s="4" t="s">
        <v>264</v>
      </c>
      <c r="C21" s="4"/>
      <c r="D21" s="4"/>
      <c r="E21" s="4"/>
      <c r="F21" s="67">
        <v>0</v>
      </c>
      <c r="G21" s="29">
        <v>0</v>
      </c>
      <c r="H21" s="29">
        <v>0</v>
      </c>
      <c r="I21" s="29">
        <v>0</v>
      </c>
      <c r="J21" s="30">
        <f t="shared" si="1"/>
        <v>0</v>
      </c>
    </row>
    <row r="22" spans="1:10" x14ac:dyDescent="0.2">
      <c r="A22" s="3"/>
      <c r="B22" s="4" t="s">
        <v>265</v>
      </c>
      <c r="C22" s="4"/>
      <c r="D22" s="4"/>
      <c r="E22" s="4"/>
      <c r="F22" s="67">
        <v>0</v>
      </c>
      <c r="G22" s="29">
        <v>0</v>
      </c>
      <c r="H22" s="29">
        <v>0</v>
      </c>
      <c r="I22" s="29">
        <v>0</v>
      </c>
      <c r="J22" s="30">
        <f t="shared" si="1"/>
        <v>0</v>
      </c>
    </row>
    <row r="23" spans="1:10" x14ac:dyDescent="0.2">
      <c r="A23" s="3"/>
      <c r="B23" s="4" t="s">
        <v>266</v>
      </c>
      <c r="C23" s="4"/>
      <c r="D23" s="4"/>
      <c r="E23" s="4"/>
      <c r="F23" s="67">
        <v>0</v>
      </c>
      <c r="G23" s="29">
        <f>G69+G70+$F$23</f>
        <v>0</v>
      </c>
      <c r="H23" s="29">
        <f>H69+H70+$F$23+G23</f>
        <v>0</v>
      </c>
      <c r="I23" s="29">
        <f>I69+I70+$F$23+H23</f>
        <v>0</v>
      </c>
      <c r="J23" s="30">
        <f t="shared" si="1"/>
        <v>0</v>
      </c>
    </row>
    <row r="24" spans="1:10" x14ac:dyDescent="0.2">
      <c r="A24" s="3"/>
      <c r="B24" s="4" t="s">
        <v>267</v>
      </c>
      <c r="C24" s="4"/>
      <c r="D24" s="4"/>
      <c r="E24" s="4"/>
      <c r="F24" s="68">
        <v>0</v>
      </c>
      <c r="G24" s="31">
        <v>0</v>
      </c>
      <c r="H24" s="31">
        <v>0</v>
      </c>
      <c r="I24" s="31">
        <v>0</v>
      </c>
      <c r="J24" s="30">
        <f t="shared" si="1"/>
        <v>0</v>
      </c>
    </row>
    <row r="25" spans="1:10" x14ac:dyDescent="0.2">
      <c r="A25" s="3"/>
      <c r="B25" s="4"/>
      <c r="C25" s="4" t="s">
        <v>268</v>
      </c>
      <c r="D25" s="4"/>
      <c r="E25" s="4"/>
      <c r="F25" s="67">
        <v>0</v>
      </c>
      <c r="G25" s="29">
        <f>SUM(G20:G24)</f>
        <v>0</v>
      </c>
      <c r="H25" s="29">
        <f>SUM(H20:H24)</f>
        <v>0</v>
      </c>
      <c r="I25" s="29">
        <f>SUM(I20:I24)</f>
        <v>0</v>
      </c>
      <c r="J25" s="30">
        <f t="shared" si="1"/>
        <v>0</v>
      </c>
    </row>
    <row r="26" spans="1:10" x14ac:dyDescent="0.2">
      <c r="A26" s="3"/>
      <c r="B26" s="4"/>
      <c r="C26" s="4"/>
      <c r="D26" s="4"/>
      <c r="E26" s="4"/>
      <c r="F26" s="67"/>
      <c r="G26" s="29"/>
      <c r="H26" s="29"/>
      <c r="I26" s="29"/>
      <c r="J26" s="30" t="s">
        <v>5</v>
      </c>
    </row>
    <row r="27" spans="1:10" x14ac:dyDescent="0.2">
      <c r="A27" s="3" t="s">
        <v>269</v>
      </c>
      <c r="B27" s="4"/>
      <c r="C27" s="4"/>
      <c r="D27" s="4"/>
      <c r="E27" s="4"/>
      <c r="F27" s="67"/>
      <c r="G27" s="29"/>
      <c r="H27" s="29"/>
      <c r="I27" s="29"/>
      <c r="J27" s="30" t="s">
        <v>5</v>
      </c>
    </row>
    <row r="28" spans="1:10" x14ac:dyDescent="0.2">
      <c r="A28" s="3"/>
      <c r="B28" s="4" t="s">
        <v>270</v>
      </c>
      <c r="C28" s="4"/>
      <c r="D28" s="4"/>
      <c r="E28" s="4"/>
      <c r="F28" s="67">
        <v>0</v>
      </c>
      <c r="G28" s="29">
        <f>F28+G76</f>
        <v>13000</v>
      </c>
      <c r="H28" s="29">
        <f>G28+H76</f>
        <v>13000</v>
      </c>
      <c r="I28" s="29">
        <f>H28+I76</f>
        <v>13000</v>
      </c>
      <c r="J28" s="30">
        <f>SUM(F28:I28)</f>
        <v>39000</v>
      </c>
    </row>
    <row r="29" spans="1:10" x14ac:dyDescent="0.2">
      <c r="A29" s="3"/>
      <c r="B29" s="4" t="s">
        <v>271</v>
      </c>
      <c r="C29" s="4"/>
      <c r="D29" s="4"/>
      <c r="E29" s="4"/>
      <c r="F29" s="67">
        <v>0</v>
      </c>
      <c r="G29" s="29">
        <f>F29+G78</f>
        <v>-9676.4560000000001</v>
      </c>
      <c r="H29" s="29">
        <f>G29+H78</f>
        <v>-17911.153120000003</v>
      </c>
      <c r="I29" s="29">
        <f>H29+I78</f>
        <v>-24913.155942400001</v>
      </c>
      <c r="J29" s="30">
        <f>SUM(F29:I29)</f>
        <v>-52500.765062400002</v>
      </c>
    </row>
    <row r="30" spans="1:10" x14ac:dyDescent="0.2">
      <c r="A30" s="3"/>
      <c r="B30" s="4" t="s">
        <v>272</v>
      </c>
      <c r="C30" s="4"/>
      <c r="D30" s="4"/>
      <c r="E30" s="4"/>
      <c r="F30" s="68">
        <v>0</v>
      </c>
      <c r="G30" s="31">
        <f>F30+G52</f>
        <v>3956.9397894736844</v>
      </c>
      <c r="H30" s="31">
        <f>G30+H52</f>
        <v>7373.2920589473688</v>
      </c>
      <c r="I30" s="31">
        <f>H30+I52</f>
        <v>10249.045058021053</v>
      </c>
      <c r="J30" s="30">
        <f>SUM(F30:I30)</f>
        <v>21579.276906442108</v>
      </c>
    </row>
    <row r="31" spans="1:10" x14ac:dyDescent="0.2">
      <c r="A31" s="3"/>
      <c r="B31" s="4" t="s">
        <v>273</v>
      </c>
      <c r="C31" s="4"/>
      <c r="D31" s="4"/>
      <c r="E31" s="4"/>
      <c r="F31" s="67">
        <v>0</v>
      </c>
      <c r="G31" s="29">
        <f>SUM(G28:G30)</f>
        <v>7280.4837894736847</v>
      </c>
      <c r="H31" s="29">
        <f>SUM(H28:H30)</f>
        <v>2462.1389389473661</v>
      </c>
      <c r="I31" s="29">
        <f>SUM(I28:I30)</f>
        <v>-1664.110884378948</v>
      </c>
      <c r="J31" s="30">
        <f>SUM(F31:I31)</f>
        <v>8078.5118440421029</v>
      </c>
    </row>
    <row r="32" spans="1:10" x14ac:dyDescent="0.2">
      <c r="A32" s="3"/>
      <c r="B32" s="4"/>
      <c r="C32" s="4"/>
      <c r="D32" s="4"/>
      <c r="E32" s="4"/>
      <c r="F32" s="67"/>
      <c r="G32" s="29"/>
      <c r="H32" s="29"/>
      <c r="I32" s="29"/>
      <c r="J32" s="30" t="s">
        <v>5</v>
      </c>
    </row>
    <row r="33" spans="1:10" x14ac:dyDescent="0.2">
      <c r="A33" s="3" t="s">
        <v>274</v>
      </c>
      <c r="B33" s="4"/>
      <c r="C33" s="4"/>
      <c r="D33" s="4"/>
      <c r="E33" s="4"/>
      <c r="F33" s="69">
        <v>0</v>
      </c>
      <c r="G33" s="32">
        <f>G31+G25</f>
        <v>7280.4837894736847</v>
      </c>
      <c r="H33" s="32">
        <f>H31+H25</f>
        <v>2462.1389389473661</v>
      </c>
      <c r="I33" s="32">
        <f>I31+I25</f>
        <v>-1664.110884378948</v>
      </c>
      <c r="J33" s="30">
        <f>SUM(F33:I33)</f>
        <v>8078.5118440421029</v>
      </c>
    </row>
    <row r="34" spans="1:10" x14ac:dyDescent="0.2">
      <c r="A34" s="3"/>
      <c r="B34" s="4"/>
      <c r="C34" s="4"/>
      <c r="D34" s="4"/>
      <c r="E34" s="4"/>
      <c r="F34" s="67"/>
      <c r="G34" s="29"/>
      <c r="H34" s="29"/>
      <c r="I34" s="29"/>
      <c r="J34" s="30" t="s">
        <v>5</v>
      </c>
    </row>
    <row r="35" spans="1:10" x14ac:dyDescent="0.2">
      <c r="A35" s="11" t="s">
        <v>275</v>
      </c>
      <c r="B35" s="12"/>
      <c r="C35" s="12"/>
      <c r="D35" s="12"/>
      <c r="E35" s="12"/>
      <c r="F35" s="70">
        <v>0</v>
      </c>
      <c r="G35" s="33">
        <f>G17-G33</f>
        <v>5263.3758596491225</v>
      </c>
      <c r="H35" s="33">
        <f>H17-H33</f>
        <v>9625.5803592982484</v>
      </c>
      <c r="I35" s="33">
        <f>I17-I33</f>
        <v>13295.68983174737</v>
      </c>
      <c r="J35" s="34">
        <f>SUM(F35:I35)</f>
        <v>28184.646050694741</v>
      </c>
    </row>
    <row r="38" spans="1:10" ht="15.75" x14ac:dyDescent="0.25">
      <c r="A38" s="212" t="s">
        <v>276</v>
      </c>
      <c r="B38" s="213"/>
      <c r="C38" s="214"/>
    </row>
    <row r="39" spans="1:10" x14ac:dyDescent="0.2">
      <c r="G39" s="27">
        <f t="shared" ref="G39:I40" si="2">G3</f>
        <v>1</v>
      </c>
      <c r="H39" s="27">
        <f t="shared" si="2"/>
        <v>2</v>
      </c>
      <c r="I39" s="27">
        <f t="shared" si="2"/>
        <v>3</v>
      </c>
      <c r="J39" s="19"/>
    </row>
    <row r="40" spans="1:10" x14ac:dyDescent="0.2">
      <c r="A40" s="27" t="s">
        <v>368</v>
      </c>
      <c r="G40" s="27">
        <f t="shared" si="2"/>
        <v>2001</v>
      </c>
      <c r="H40" s="27">
        <f t="shared" si="2"/>
        <v>2002</v>
      </c>
      <c r="I40" s="27">
        <f t="shared" si="2"/>
        <v>2003</v>
      </c>
      <c r="J40" s="35" t="s">
        <v>124</v>
      </c>
    </row>
    <row r="41" spans="1:10" x14ac:dyDescent="0.2">
      <c r="A41" s="13" t="s">
        <v>325</v>
      </c>
      <c r="B41" s="2"/>
      <c r="C41" s="2"/>
      <c r="D41" s="2"/>
      <c r="E41" s="2"/>
      <c r="F41" s="288"/>
      <c r="G41" s="288">
        <f>CF!D18</f>
        <v>7100</v>
      </c>
      <c r="H41" s="39">
        <f>CF!E18</f>
        <v>6200</v>
      </c>
      <c r="I41" s="39">
        <f>CF!F18</f>
        <v>5300</v>
      </c>
      <c r="J41" s="71">
        <f>SUM(G41:I41)</f>
        <v>18600</v>
      </c>
    </row>
    <row r="42" spans="1:10" x14ac:dyDescent="0.2">
      <c r="A42" s="3"/>
      <c r="B42" s="4"/>
      <c r="C42" s="4"/>
      <c r="D42" s="4"/>
      <c r="E42" s="4"/>
      <c r="F42" s="4"/>
      <c r="G42" s="29"/>
      <c r="H42" s="29"/>
      <c r="I42" s="29"/>
      <c r="J42" s="30" t="s">
        <v>5</v>
      </c>
    </row>
    <row r="43" spans="1:10" x14ac:dyDescent="0.2">
      <c r="A43" s="3" t="s">
        <v>277</v>
      </c>
      <c r="B43" s="4"/>
      <c r="C43" s="4"/>
      <c r="D43" s="4"/>
      <c r="E43" s="4"/>
      <c r="F43" s="4"/>
      <c r="G43" s="29">
        <f>CF!D37</f>
        <v>48.96</v>
      </c>
      <c r="H43" s="29">
        <f>CF!E37</f>
        <v>49.9392</v>
      </c>
      <c r="I43" s="29">
        <f>CF!F37</f>
        <v>50.937984</v>
      </c>
      <c r="J43" s="30">
        <f>SUM(G43:I43)</f>
        <v>149.83718400000001</v>
      </c>
    </row>
    <row r="44" spans="1:10" x14ac:dyDescent="0.2">
      <c r="A44" s="3" t="s">
        <v>68</v>
      </c>
      <c r="B44" s="4"/>
      <c r="C44" s="4"/>
      <c r="D44" s="4"/>
      <c r="E44" s="4"/>
      <c r="F44" s="4"/>
      <c r="G44" s="29">
        <f>CF!D43</f>
        <v>0</v>
      </c>
      <c r="H44" s="29">
        <f>CF!E43</f>
        <v>0</v>
      </c>
      <c r="I44" s="29">
        <f>CF!F43</f>
        <v>0</v>
      </c>
      <c r="J44" s="30">
        <f>SUM(G44:I44)</f>
        <v>0</v>
      </c>
    </row>
    <row r="45" spans="1:10" x14ac:dyDescent="0.2">
      <c r="A45" s="3" t="s">
        <v>0</v>
      </c>
      <c r="B45" s="4"/>
      <c r="C45" s="4"/>
      <c r="D45" s="4"/>
      <c r="E45" s="4"/>
      <c r="F45" s="4"/>
      <c r="G45" s="29">
        <f>DEPR!F27</f>
        <v>456.14035087719299</v>
      </c>
      <c r="H45" s="29">
        <f>DEPR!G27</f>
        <v>456.14035087719299</v>
      </c>
      <c r="I45" s="29">
        <f>DEPR!H27</f>
        <v>456.14035087719299</v>
      </c>
      <c r="J45" s="30">
        <f>SUM(G45:I45)</f>
        <v>1368.421052631579</v>
      </c>
    </row>
    <row r="46" spans="1:10" x14ac:dyDescent="0.2">
      <c r="A46" s="3" t="s">
        <v>278</v>
      </c>
      <c r="B46" s="4"/>
      <c r="C46" s="4"/>
      <c r="D46" s="4"/>
      <c r="E46" s="4"/>
      <c r="F46" s="4"/>
      <c r="G46" s="31">
        <f>ASS!V31*DEBT</f>
        <v>0</v>
      </c>
      <c r="H46" s="31">
        <f>ASS!W31*DEBT</f>
        <v>0</v>
      </c>
      <c r="I46" s="31">
        <f>ASS!X31*DEBT</f>
        <v>0</v>
      </c>
      <c r="J46" s="36">
        <f>SUM(G46:I46)</f>
        <v>0</v>
      </c>
    </row>
    <row r="47" spans="1:10" x14ac:dyDescent="0.2">
      <c r="A47" s="3" t="s">
        <v>279</v>
      </c>
      <c r="B47" s="4"/>
      <c r="C47" s="4"/>
      <c r="D47" s="4"/>
      <c r="E47" s="4"/>
      <c r="F47" s="4"/>
      <c r="G47" s="29">
        <f>SUM(G43:G46)</f>
        <v>505.10035087719297</v>
      </c>
      <c r="H47" s="29">
        <f>SUM(H43:H46)</f>
        <v>506.07955087719301</v>
      </c>
      <c r="I47" s="29">
        <f>SUM(I43:I46)</f>
        <v>507.07833487719302</v>
      </c>
      <c r="J47" s="30">
        <f>SUM(G43:J46)</f>
        <v>3036.5164732631579</v>
      </c>
    </row>
    <row r="48" spans="1:10" x14ac:dyDescent="0.2">
      <c r="A48" s="3"/>
      <c r="B48" s="4"/>
      <c r="C48" s="4"/>
      <c r="D48" s="4"/>
      <c r="E48" s="4"/>
      <c r="F48" s="4"/>
      <c r="G48" s="29"/>
      <c r="H48" s="29"/>
      <c r="I48" s="29"/>
      <c r="J48" s="30" t="s">
        <v>5</v>
      </c>
    </row>
    <row r="49" spans="1:10" x14ac:dyDescent="0.2">
      <c r="A49" s="3" t="s">
        <v>280</v>
      </c>
      <c r="B49" s="4"/>
      <c r="C49" s="4"/>
      <c r="D49" s="4"/>
      <c r="E49" s="4" t="s">
        <v>5</v>
      </c>
      <c r="F49" s="4"/>
      <c r="G49" s="29">
        <f>G41-G47</f>
        <v>6594.8996491228072</v>
      </c>
      <c r="H49" s="29">
        <f>H41-H47</f>
        <v>5693.9204491228065</v>
      </c>
      <c r="I49" s="29">
        <f>I41-I47</f>
        <v>4792.9216651228071</v>
      </c>
      <c r="J49" s="30">
        <f>SUM(G49:I49)</f>
        <v>17081.741763368424</v>
      </c>
    </row>
    <row r="50" spans="1:10" x14ac:dyDescent="0.2">
      <c r="A50" s="3" t="s">
        <v>382</v>
      </c>
      <c r="B50" s="4"/>
      <c r="C50" s="4"/>
      <c r="D50" s="4"/>
      <c r="E50" s="4" t="s">
        <v>5</v>
      </c>
      <c r="F50" s="4"/>
      <c r="G50" s="29">
        <f>IF(G49&lt;0,0,G49*(ASS!$I$14+ASS!$I$15))</f>
        <v>2637.9598596491228</v>
      </c>
      <c r="H50" s="29">
        <f>IF(H49&lt;0,0,H49*(ASS!$I$14+ASS!$I$15))</f>
        <v>2277.5681796491226</v>
      </c>
      <c r="I50" s="29">
        <f>IF(I49&lt;0,0,I49*(ASS!$I$14+ASS!$I$15))</f>
        <v>1917.1686660491227</v>
      </c>
      <c r="J50" s="30">
        <f>SUM(G50:I50)</f>
        <v>6832.6967053473691</v>
      </c>
    </row>
    <row r="51" spans="1:10" x14ac:dyDescent="0.2">
      <c r="A51" s="3"/>
      <c r="B51" s="4"/>
      <c r="C51" s="4"/>
      <c r="D51" s="4"/>
      <c r="E51" s="4" t="s">
        <v>5</v>
      </c>
      <c r="F51" s="4"/>
      <c r="G51" s="29"/>
      <c r="H51" s="29"/>
      <c r="I51" s="29"/>
      <c r="J51" s="30">
        <f>SUM(G51:I51)</f>
        <v>0</v>
      </c>
    </row>
    <row r="52" spans="1:10" x14ac:dyDescent="0.2">
      <c r="A52" s="3" t="s">
        <v>281</v>
      </c>
      <c r="B52" s="4"/>
      <c r="C52" s="4"/>
      <c r="D52" s="4"/>
      <c r="E52" s="4" t="s">
        <v>5</v>
      </c>
      <c r="F52" s="4"/>
      <c r="G52" s="32">
        <f>G49-G50</f>
        <v>3956.9397894736844</v>
      </c>
      <c r="H52" s="32">
        <f>H49-H50</f>
        <v>3416.3522694736839</v>
      </c>
      <c r="I52" s="32">
        <f>I49-I50</f>
        <v>2875.7529990736844</v>
      </c>
      <c r="J52" s="66">
        <f>J49-J50</f>
        <v>10249.045058021055</v>
      </c>
    </row>
    <row r="53" spans="1:10" x14ac:dyDescent="0.2">
      <c r="A53" s="5"/>
      <c r="B53" s="6"/>
      <c r="C53" s="6"/>
      <c r="D53" s="6"/>
      <c r="E53" s="6"/>
      <c r="F53" s="6"/>
      <c r="G53" s="37"/>
      <c r="H53" s="37"/>
      <c r="I53" s="37"/>
      <c r="J53" s="38"/>
    </row>
    <row r="56" spans="1:10" ht="15.75" x14ac:dyDescent="0.25">
      <c r="A56" s="212" t="s">
        <v>282</v>
      </c>
      <c r="B56" s="213"/>
      <c r="C56" s="213"/>
      <c r="D56" s="214"/>
    </row>
    <row r="57" spans="1:10" x14ac:dyDescent="0.2">
      <c r="G57" s="27">
        <f t="shared" ref="G57:I58" si="3">G3</f>
        <v>1</v>
      </c>
      <c r="H57" s="27">
        <f t="shared" si="3"/>
        <v>2</v>
      </c>
      <c r="I57" s="27">
        <f t="shared" si="3"/>
        <v>3</v>
      </c>
      <c r="J57" s="19"/>
    </row>
    <row r="58" spans="1:10" x14ac:dyDescent="0.2">
      <c r="A58" s="27" t="s">
        <v>368</v>
      </c>
      <c r="G58" s="27">
        <f t="shared" si="3"/>
        <v>2001</v>
      </c>
      <c r="H58" s="27">
        <f t="shared" si="3"/>
        <v>2002</v>
      </c>
      <c r="I58" s="27">
        <f t="shared" si="3"/>
        <v>2003</v>
      </c>
      <c r="J58" s="35" t="s">
        <v>124</v>
      </c>
    </row>
    <row r="59" spans="1:10" x14ac:dyDescent="0.2">
      <c r="A59" s="13" t="s">
        <v>283</v>
      </c>
      <c r="B59" s="2"/>
      <c r="C59" s="2"/>
      <c r="D59" s="2"/>
      <c r="E59" s="2"/>
      <c r="F59" s="2"/>
      <c r="G59" s="2"/>
      <c r="H59" s="2"/>
      <c r="I59" s="2"/>
      <c r="J59" s="19"/>
    </row>
    <row r="60" spans="1:10" x14ac:dyDescent="0.2">
      <c r="A60" s="3"/>
      <c r="B60" s="4" t="s">
        <v>284</v>
      </c>
      <c r="C60" s="4"/>
      <c r="D60" s="4"/>
      <c r="E60" s="4"/>
      <c r="F60" s="255"/>
      <c r="G60" s="255">
        <f>CF!D18</f>
        <v>7100</v>
      </c>
      <c r="H60" s="29">
        <f>CF!E18</f>
        <v>6200</v>
      </c>
      <c r="I60" s="29">
        <f>CF!F18</f>
        <v>5300</v>
      </c>
      <c r="J60" s="30">
        <f>SUM(G60:I60)</f>
        <v>18600</v>
      </c>
    </row>
    <row r="61" spans="1:10" x14ac:dyDescent="0.2">
      <c r="A61" s="3"/>
      <c r="B61" s="4" t="s">
        <v>285</v>
      </c>
      <c r="C61" s="4"/>
      <c r="D61" s="4"/>
      <c r="E61" s="4"/>
      <c r="F61" s="4"/>
      <c r="G61" s="29">
        <f>-CF!D47</f>
        <v>-48.96</v>
      </c>
      <c r="H61" s="29">
        <f>-CF!E47</f>
        <v>-49.9392</v>
      </c>
      <c r="I61" s="29">
        <f>-CF!F47</f>
        <v>-50.937984</v>
      </c>
      <c r="J61" s="30">
        <f>SUM(G61:I61)</f>
        <v>-149.83718400000001</v>
      </c>
    </row>
    <row r="62" spans="1:10" x14ac:dyDescent="0.2">
      <c r="A62" s="3"/>
      <c r="B62" s="4" t="s">
        <v>286</v>
      </c>
      <c r="C62" s="4"/>
      <c r="D62" s="4"/>
      <c r="E62" s="4"/>
      <c r="F62" s="4"/>
      <c r="G62" s="29">
        <f>CF!D60</f>
        <v>0</v>
      </c>
      <c r="H62" s="29">
        <f>CF!E60</f>
        <v>0</v>
      </c>
      <c r="I62" s="29">
        <f>CF!F60</f>
        <v>0</v>
      </c>
      <c r="J62" s="30">
        <f>SUM(G62:I62)</f>
        <v>0</v>
      </c>
    </row>
    <row r="63" spans="1:10" x14ac:dyDescent="0.2">
      <c r="A63" s="3"/>
      <c r="B63" s="4" t="s">
        <v>320</v>
      </c>
      <c r="C63" s="4"/>
      <c r="D63" s="4"/>
      <c r="E63" s="4"/>
      <c r="F63" s="4"/>
      <c r="G63" s="29">
        <f>CF!D63+CF!D64</f>
        <v>0</v>
      </c>
      <c r="H63" s="29">
        <f>CF!E63+CF!E64</f>
        <v>0</v>
      </c>
      <c r="I63" s="29">
        <f>CF!F63+CF!F64</f>
        <v>0</v>
      </c>
      <c r="J63" s="30"/>
    </row>
    <row r="64" spans="1:10" x14ac:dyDescent="0.2">
      <c r="A64" s="3"/>
      <c r="B64" s="4" t="s">
        <v>287</v>
      </c>
      <c r="C64" s="4"/>
      <c r="D64" s="4"/>
      <c r="E64" s="4"/>
      <c r="F64" s="4"/>
      <c r="G64" s="29">
        <f>ASS!V31*DEBT</f>
        <v>0</v>
      </c>
      <c r="H64" s="29">
        <f>ASS!W31*DEBT</f>
        <v>0</v>
      </c>
      <c r="I64" s="29">
        <f>ASS!X31*DEBT</f>
        <v>0</v>
      </c>
      <c r="J64" s="30">
        <f>SUM(G64:I64)</f>
        <v>0</v>
      </c>
    </row>
    <row r="65" spans="1:10" x14ac:dyDescent="0.2">
      <c r="A65" s="3"/>
      <c r="B65" s="4" t="s">
        <v>288</v>
      </c>
      <c r="C65" s="4"/>
      <c r="D65" s="4"/>
      <c r="E65" s="4"/>
      <c r="F65" s="4"/>
      <c r="G65" s="31">
        <f>CF!D65</f>
        <v>2625.4159999999997</v>
      </c>
      <c r="H65" s="31">
        <f>CF!E65</f>
        <v>2084.6363199999996</v>
      </c>
      <c r="I65" s="31">
        <f>CF!F65</f>
        <v>1752.9408063999997</v>
      </c>
      <c r="J65" s="146">
        <f>SUM(G65:I65)</f>
        <v>6462.9931263999988</v>
      </c>
    </row>
    <row r="66" spans="1:10" x14ac:dyDescent="0.2">
      <c r="A66" s="3"/>
      <c r="B66" s="4"/>
      <c r="C66" s="4" t="s">
        <v>289</v>
      </c>
      <c r="D66" s="4"/>
      <c r="E66" s="4"/>
      <c r="F66" s="4"/>
      <c r="G66" s="29">
        <f>SUM(G60:G65)</f>
        <v>9676.4560000000001</v>
      </c>
      <c r="H66" s="29">
        <f>SUM(H60:H65)</f>
        <v>8234.6971200000007</v>
      </c>
      <c r="I66" s="29">
        <f>SUM(I60:I65)</f>
        <v>7002.0028223999998</v>
      </c>
      <c r="J66" s="30">
        <f>SUM(G66:I66)</f>
        <v>24913.155942400001</v>
      </c>
    </row>
    <row r="67" spans="1:10" x14ac:dyDescent="0.2">
      <c r="A67" s="3"/>
      <c r="B67" s="4"/>
      <c r="C67" s="4"/>
      <c r="D67" s="4"/>
      <c r="E67" s="4"/>
      <c r="F67" s="4"/>
      <c r="G67" s="29"/>
      <c r="H67" s="29"/>
      <c r="I67" s="29"/>
      <c r="J67" s="30"/>
    </row>
    <row r="68" spans="1:10" x14ac:dyDescent="0.2">
      <c r="A68" s="3" t="s">
        <v>290</v>
      </c>
      <c r="B68" s="4"/>
      <c r="C68" s="4"/>
      <c r="D68" s="4"/>
      <c r="E68" s="4"/>
      <c r="F68" s="4"/>
      <c r="G68" s="29"/>
      <c r="H68" s="29"/>
      <c r="I68" s="29"/>
      <c r="J68" s="30"/>
    </row>
    <row r="69" spans="1:10" x14ac:dyDescent="0.2">
      <c r="A69" s="3"/>
      <c r="B69" s="4" t="s">
        <v>291</v>
      </c>
      <c r="C69" s="4"/>
      <c r="D69" s="4"/>
      <c r="E69" s="4"/>
      <c r="F69" s="4"/>
      <c r="G69" s="29">
        <f>ASS!V31*DEBT</f>
        <v>0</v>
      </c>
      <c r="H69" s="29">
        <f>ASS!W31*DEBT</f>
        <v>0</v>
      </c>
      <c r="I69" s="29">
        <f>ASS!X31*DEBT</f>
        <v>0</v>
      </c>
      <c r="J69" s="30">
        <f t="shared" ref="J69:J79" si="4">SUM(G69:I69)</f>
        <v>0</v>
      </c>
    </row>
    <row r="70" spans="1:10" x14ac:dyDescent="0.2">
      <c r="A70" s="3"/>
      <c r="B70" s="4" t="s">
        <v>292</v>
      </c>
      <c r="C70" s="4"/>
      <c r="D70" s="4"/>
      <c r="E70" s="4"/>
      <c r="F70" s="4"/>
      <c r="G70" s="29">
        <f>COST*DEBTPERC</f>
        <v>0</v>
      </c>
      <c r="H70" s="29">
        <v>0</v>
      </c>
      <c r="I70" s="29">
        <v>0</v>
      </c>
      <c r="J70" s="30">
        <f t="shared" si="4"/>
        <v>0</v>
      </c>
    </row>
    <row r="71" spans="1:10" x14ac:dyDescent="0.2">
      <c r="A71" s="3"/>
      <c r="B71" s="4" t="s">
        <v>293</v>
      </c>
      <c r="C71" s="4"/>
      <c r="D71" s="4"/>
      <c r="E71" s="4"/>
      <c r="F71" s="4"/>
      <c r="G71" s="29">
        <v>0</v>
      </c>
      <c r="H71" s="29">
        <v>0</v>
      </c>
      <c r="I71" s="29">
        <v>0</v>
      </c>
      <c r="J71" s="30">
        <f t="shared" si="4"/>
        <v>0</v>
      </c>
    </row>
    <row r="72" spans="1:10" x14ac:dyDescent="0.2">
      <c r="A72" s="3"/>
      <c r="B72" s="4" t="s">
        <v>294</v>
      </c>
      <c r="C72" s="4"/>
      <c r="D72" s="4"/>
      <c r="E72" s="4"/>
      <c r="F72" s="4"/>
      <c r="G72" s="29">
        <v>0</v>
      </c>
      <c r="H72" s="29">
        <v>0</v>
      </c>
      <c r="I72" s="29">
        <v>0</v>
      </c>
      <c r="J72" s="30">
        <f t="shared" si="4"/>
        <v>0</v>
      </c>
    </row>
    <row r="73" spans="1:10" x14ac:dyDescent="0.2">
      <c r="A73" s="3"/>
      <c r="B73" s="4" t="s">
        <v>295</v>
      </c>
      <c r="C73" s="4"/>
      <c r="D73" s="4"/>
      <c r="E73" s="4"/>
      <c r="F73" s="4"/>
      <c r="G73" s="29">
        <v>0</v>
      </c>
      <c r="H73" s="29">
        <v>0</v>
      </c>
      <c r="I73" s="29">
        <v>0</v>
      </c>
      <c r="J73" s="30">
        <f t="shared" si="4"/>
        <v>0</v>
      </c>
    </row>
    <row r="74" spans="1:10" x14ac:dyDescent="0.2">
      <c r="A74" s="3"/>
      <c r="B74" s="4" t="s">
        <v>296</v>
      </c>
      <c r="C74" s="4"/>
      <c r="D74" s="4"/>
      <c r="E74" s="4"/>
      <c r="F74" s="4"/>
      <c r="G74" s="29">
        <v>0</v>
      </c>
      <c r="H74" s="29">
        <v>0</v>
      </c>
      <c r="I74" s="29">
        <v>0</v>
      </c>
      <c r="J74" s="30">
        <f t="shared" si="4"/>
        <v>0</v>
      </c>
    </row>
    <row r="75" spans="1:10" x14ac:dyDescent="0.2">
      <c r="A75" s="3"/>
      <c r="B75" s="4" t="s">
        <v>297</v>
      </c>
      <c r="C75" s="4"/>
      <c r="D75" s="4"/>
      <c r="E75" s="4"/>
      <c r="F75" s="4"/>
      <c r="G75" s="29">
        <v>0</v>
      </c>
      <c r="H75" s="29">
        <v>0</v>
      </c>
      <c r="I75" s="29">
        <v>0</v>
      </c>
      <c r="J75" s="30">
        <f t="shared" si="4"/>
        <v>0</v>
      </c>
    </row>
    <row r="76" spans="1:10" x14ac:dyDescent="0.2">
      <c r="A76" s="3"/>
      <c r="B76" s="4" t="s">
        <v>298</v>
      </c>
      <c r="C76" s="4"/>
      <c r="D76" s="4"/>
      <c r="E76" s="4"/>
      <c r="F76" s="4"/>
      <c r="G76" s="29">
        <f>COST*equityperc</f>
        <v>13000</v>
      </c>
      <c r="H76" s="29">
        <v>0</v>
      </c>
      <c r="I76" s="29">
        <v>0</v>
      </c>
      <c r="J76" s="30">
        <f t="shared" si="4"/>
        <v>13000</v>
      </c>
    </row>
    <row r="77" spans="1:10" x14ac:dyDescent="0.2">
      <c r="A77" s="3"/>
      <c r="B77" s="4" t="s">
        <v>256</v>
      </c>
      <c r="C77" s="4"/>
      <c r="D77" s="4"/>
      <c r="E77" s="4"/>
      <c r="F77" s="29"/>
      <c r="G77" s="29">
        <f>-(G70+G76-WCAP)</f>
        <v>-13000</v>
      </c>
      <c r="H77" s="29">
        <v>0</v>
      </c>
      <c r="I77" s="29">
        <v>0</v>
      </c>
      <c r="J77" s="30">
        <f t="shared" si="4"/>
        <v>-13000</v>
      </c>
    </row>
    <row r="78" spans="1:10" x14ac:dyDescent="0.2">
      <c r="A78" s="3"/>
      <c r="B78" s="4" t="s">
        <v>299</v>
      </c>
      <c r="C78" s="4"/>
      <c r="D78" s="4"/>
      <c r="E78" s="4"/>
      <c r="F78" s="4"/>
      <c r="G78" s="29">
        <f>-CF!D67</f>
        <v>-9676.4560000000001</v>
      </c>
      <c r="H78" s="29">
        <f>-CF!E67</f>
        <v>-8234.6971200000007</v>
      </c>
      <c r="I78" s="29">
        <f>-CF!F67</f>
        <v>-7002.0028223999998</v>
      </c>
      <c r="J78" s="30">
        <f t="shared" si="4"/>
        <v>-24913.155942400001</v>
      </c>
    </row>
    <row r="79" spans="1:10" x14ac:dyDescent="0.2">
      <c r="A79" s="3"/>
      <c r="B79" s="4"/>
      <c r="C79" s="4" t="s">
        <v>300</v>
      </c>
      <c r="D79" s="4"/>
      <c r="E79" s="4"/>
      <c r="F79" s="4"/>
      <c r="G79" s="31">
        <f>SUM(G69:G78)</f>
        <v>-9676.4560000000001</v>
      </c>
      <c r="H79" s="31">
        <f>SUM(H69:H78)</f>
        <v>-8234.6971200000007</v>
      </c>
      <c r="I79" s="31">
        <f>SUM(I69:I78)</f>
        <v>-7002.0028223999998</v>
      </c>
      <c r="J79" s="146">
        <f t="shared" si="4"/>
        <v>-24913.155942400001</v>
      </c>
    </row>
    <row r="80" spans="1:10" x14ac:dyDescent="0.2">
      <c r="A80" s="3"/>
      <c r="B80" s="4"/>
      <c r="C80" s="4"/>
      <c r="D80" s="4"/>
      <c r="E80" s="4"/>
      <c r="F80" s="4"/>
      <c r="G80" s="29"/>
      <c r="H80" s="29"/>
      <c r="I80" s="29"/>
      <c r="J80" s="30" t="s">
        <v>5</v>
      </c>
    </row>
    <row r="81" spans="1:10" x14ac:dyDescent="0.2">
      <c r="A81" s="3" t="s">
        <v>301</v>
      </c>
      <c r="B81" s="4"/>
      <c r="C81" s="4"/>
      <c r="D81" s="4"/>
      <c r="E81" s="4"/>
      <c r="F81" s="4"/>
      <c r="G81" s="29">
        <f>G66+G79</f>
        <v>0</v>
      </c>
      <c r="H81" s="29">
        <f>H66+H79</f>
        <v>0</v>
      </c>
      <c r="I81" s="29">
        <f>I66+I79</f>
        <v>0</v>
      </c>
      <c r="J81" s="30">
        <f>SUM(G81:I81)</f>
        <v>0</v>
      </c>
    </row>
    <row r="82" spans="1:10" x14ac:dyDescent="0.2">
      <c r="A82" s="3"/>
      <c r="B82" s="4"/>
      <c r="C82" s="4"/>
      <c r="D82" s="4"/>
      <c r="E82" s="4"/>
      <c r="F82" s="4"/>
      <c r="G82" s="29"/>
      <c r="H82" s="29"/>
      <c r="I82" s="29"/>
      <c r="J82" s="30" t="s">
        <v>5</v>
      </c>
    </row>
    <row r="83" spans="1:10" x14ac:dyDescent="0.2">
      <c r="A83" s="3" t="s">
        <v>302</v>
      </c>
      <c r="B83" s="4"/>
      <c r="C83" s="4"/>
      <c r="D83" s="4"/>
      <c r="E83" s="4"/>
      <c r="F83" s="4"/>
      <c r="G83" s="29">
        <v>0</v>
      </c>
      <c r="H83" s="29">
        <f>G85</f>
        <v>0</v>
      </c>
      <c r="I83" s="29">
        <f>H85</f>
        <v>0</v>
      </c>
      <c r="J83" s="30">
        <f>SUM(G83:I83)</f>
        <v>0</v>
      </c>
    </row>
    <row r="84" spans="1:10" x14ac:dyDescent="0.2">
      <c r="A84" s="3"/>
      <c r="B84" s="4"/>
      <c r="C84" s="4"/>
      <c r="D84" s="4"/>
      <c r="E84" s="4"/>
      <c r="F84" s="4"/>
      <c r="G84" s="29"/>
      <c r="H84" s="29"/>
      <c r="I84" s="29"/>
      <c r="J84" s="30" t="s">
        <v>5</v>
      </c>
    </row>
    <row r="85" spans="1:10" x14ac:dyDescent="0.2">
      <c r="A85" s="5" t="s">
        <v>303</v>
      </c>
      <c r="B85" s="6"/>
      <c r="C85" s="6"/>
      <c r="D85" s="6"/>
      <c r="E85" s="6"/>
      <c r="F85" s="6"/>
      <c r="G85" s="37">
        <f>G81+G83</f>
        <v>0</v>
      </c>
      <c r="H85" s="37">
        <f>H81+H83</f>
        <v>0</v>
      </c>
      <c r="I85" s="37">
        <f>I81+I83</f>
        <v>0</v>
      </c>
      <c r="J85" s="38">
        <f>SUM(G85:I85)</f>
        <v>0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2000-09-05T21:40:46Z</cp:lastPrinted>
  <dcterms:created xsi:type="dcterms:W3CDTF">1997-10-01T15:48:53Z</dcterms:created>
  <dcterms:modified xsi:type="dcterms:W3CDTF">2023-09-13T21:30:28Z</dcterms:modified>
</cp:coreProperties>
</file>