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0FE187-77D7-4294-ADE0-5895FC10936A}" xr6:coauthVersionLast="47" xr6:coauthVersionMax="47" xr10:uidLastSave="{00000000-0000-0000-0000-000000000000}"/>
  <bookViews>
    <workbookView xWindow="-120" yWindow="-120" windowWidth="38640" windowHeight="15720" tabRatio="892" activeTab="2"/>
  </bookViews>
  <sheets>
    <sheet name="ASS" sheetId="6" r:id="rId1"/>
    <sheet name="CF" sheetId="7" r:id="rId2"/>
    <sheet name="RETURNS" sheetId="8" r:id="rId3"/>
    <sheet name="DRAWDOWN" sheetId="12" r:id="rId4"/>
    <sheet name="IDC" sheetId="13" state="hidden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BS_IS!$A$1:$AG$87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CF!$A$1:$G$72</definedName>
    <definedName name="ch">#REF!</definedName>
    <definedName name="COST">ASS!$R$52</definedName>
    <definedName name="CPI">ASS!$E$39</definedName>
    <definedName name="CT_COMFEE">TAXES_FEES!$A$1:$AD$83</definedName>
    <definedName name="DEBT">ASS!$X$81</definedName>
    <definedName name="DEBTPERC">ASS!$V$81</definedName>
    <definedName name="DEPR">DEPR!$A$1:$AF$46</definedName>
    <definedName name="DISC">ASS!$V$9</definedName>
    <definedName name="dispatch">ASS!$D$11</definedName>
    <definedName name="DRAW_TABLE">DRAWDOWN!$A$10:$G$71</definedName>
    <definedName name="DRAWDOWN">DRAWDOWN!$A$1:$H$72</definedName>
    <definedName name="DUTIES">ASS!#REF!</definedName>
    <definedName name="EINC">#REF!</definedName>
    <definedName name="EITF_91_6">#REF!</definedName>
    <definedName name="EQUITY">ASS!$X$82</definedName>
    <definedName name="equityperc">ASS!$V$82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FIN!$A$1:$AD$63</definedName>
    <definedName name="FIN_TABLE">FIN!$B$23:$AB$62</definedName>
    <definedName name="HR">ASS!$D$10</definedName>
    <definedName name="IDC">IDC!$A$1:$L$36</definedName>
    <definedName name="IDC_TABLE">IDC!$E$7:$J$33</definedName>
    <definedName name="idc_table1">IDC!$E$6:$K$33</definedName>
    <definedName name="INPUTS">ASS!$AF$8:$AF$19</definedName>
    <definedName name="_INT1">ASS!$V$35</definedName>
    <definedName name="_INT2">ASS!$V$43</definedName>
    <definedName name="_INT3">ASS!$V$51</definedName>
    <definedName name="_INT4">ASS!$V$59</definedName>
    <definedName name="_INT5">ASS!$V$67</definedName>
    <definedName name="_INT6">ASS!$V$75</definedName>
    <definedName name="IR1A">ASS!$V$36</definedName>
    <definedName name="IR1B">ASS!$U$36</definedName>
    <definedName name="IR1TEMP">ASS!$W$33</definedName>
    <definedName name="IR2A">ASS!$V$44</definedName>
    <definedName name="IR2B">ASS!$U$44</definedName>
    <definedName name="IR2TEMP">ASS!$W$41</definedName>
    <definedName name="IR3A">ASS!$V$52</definedName>
    <definedName name="IR3B">ASS!$U$52</definedName>
    <definedName name="IR3TEMP">ASS!$W$49</definedName>
    <definedName name="IR4A">ASS!$V$60</definedName>
    <definedName name="IR4B">ASS!$U$60</definedName>
    <definedName name="IR4TEMP">ASS!$W$57</definedName>
    <definedName name="IR5A">ASS!$V$68</definedName>
    <definedName name="IR5B">ASS!$U$68</definedName>
    <definedName name="IR5TEMP">ASS!$W$65</definedName>
    <definedName name="IR6A">ASS!$V$76</definedName>
    <definedName name="IR6B">ASS!$U$76</definedName>
    <definedName name="IR6TEMP">ASS!$W$73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POS">ASS!$C$20</definedName>
    <definedName name="_xlnm.Print_Area" localSheetId="0">ASS!$A$3:$X$88</definedName>
    <definedName name="_xlnm.Print_Area" localSheetId="8">BS_IS!$A$1:$AG$87</definedName>
    <definedName name="_xlnm.Print_Area" localSheetId="1">CF!$A$1:$G$72</definedName>
    <definedName name="_xlnm.Print_Area" localSheetId="7">DEPR!$A$1:$AF$46</definedName>
    <definedName name="_xlnm.Print_Area" localSheetId="3">DRAWDOWN!$A$1:$H$72</definedName>
    <definedName name="_xlnm.Print_Area" localSheetId="5">FIN!$A$1:$AD$63</definedName>
    <definedName name="_xlnm.Print_Area" localSheetId="4">IDC!$A$1:$L$36</definedName>
    <definedName name="_xlnm.Print_Area" localSheetId="2">RETURNS!$A$1:$K$66</definedName>
    <definedName name="_xlnm.Print_Area" localSheetId="6">TAXES_FEES!$A$1:$AD$83</definedName>
    <definedName name="_REF1">#REF!</definedName>
    <definedName name="_REF2">#REF!</definedName>
    <definedName name="_REF3">#REF!</definedName>
    <definedName name="_REF4">#REF!</definedName>
    <definedName name="RET_TABLE">RETURNS!$D$5:$J$53</definedName>
    <definedName name="RETURNS">RETURNS!$A$1:$K$66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ASS!$V$24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ASS!$R$46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ASS!$R$45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J3" i="6"/>
  <c r="P3" i="6"/>
  <c r="D4" i="6"/>
  <c r="J4" i="6"/>
  <c r="D5" i="6"/>
  <c r="J5" i="6"/>
  <c r="D7" i="6"/>
  <c r="R8" i="6"/>
  <c r="AF8" i="6"/>
  <c r="AG8" i="6"/>
  <c r="R9" i="6"/>
  <c r="W9" i="6"/>
  <c r="X9" i="6"/>
  <c r="AF9" i="6"/>
  <c r="AG9" i="6"/>
  <c r="Z10" i="6"/>
  <c r="AF10" i="6"/>
  <c r="AG10" i="6"/>
  <c r="AF11" i="6"/>
  <c r="AG11" i="6"/>
  <c r="R12" i="6"/>
  <c r="V12" i="6"/>
  <c r="W12" i="6"/>
  <c r="X12" i="6"/>
  <c r="AF12" i="6"/>
  <c r="AG12" i="6"/>
  <c r="R13" i="6"/>
  <c r="X13" i="6"/>
  <c r="AF13" i="6"/>
  <c r="AG13" i="6"/>
  <c r="R14" i="6"/>
  <c r="AC14" i="6"/>
  <c r="AF14" i="6"/>
  <c r="AG14" i="6"/>
  <c r="D15" i="6"/>
  <c r="R15" i="6"/>
  <c r="X15" i="6"/>
  <c r="AC15" i="6"/>
  <c r="AF15" i="6"/>
  <c r="AG15" i="6"/>
  <c r="X16" i="6"/>
  <c r="AC16" i="6"/>
  <c r="AF16" i="6"/>
  <c r="AG16" i="6"/>
  <c r="R17" i="6"/>
  <c r="X17" i="6"/>
  <c r="AC17" i="6"/>
  <c r="AF17" i="6"/>
  <c r="AG17" i="6"/>
  <c r="R18" i="6"/>
  <c r="X18" i="6"/>
  <c r="AC18" i="6"/>
  <c r="AF18" i="6"/>
  <c r="AG18" i="6"/>
  <c r="R19" i="6"/>
  <c r="AC19" i="6"/>
  <c r="AF19" i="6"/>
  <c r="AG19" i="6"/>
  <c r="B20" i="6"/>
  <c r="C20" i="6"/>
  <c r="D20" i="6"/>
  <c r="X20" i="6"/>
  <c r="R21" i="6"/>
  <c r="X21" i="6"/>
  <c r="R22" i="6"/>
  <c r="AI23" i="6"/>
  <c r="R24" i="6"/>
  <c r="U24" i="6"/>
  <c r="V24" i="6"/>
  <c r="Y24" i="6"/>
  <c r="R25" i="6"/>
  <c r="U25" i="6"/>
  <c r="V25" i="6"/>
  <c r="K26" i="6"/>
  <c r="I27" i="6"/>
  <c r="J27" i="6"/>
  <c r="K27" i="6"/>
  <c r="R27" i="6"/>
  <c r="K28" i="6"/>
  <c r="U28" i="6"/>
  <c r="V28" i="6"/>
  <c r="X28" i="6"/>
  <c r="C29" i="6"/>
  <c r="Y30" i="6"/>
  <c r="X31" i="6"/>
  <c r="X33" i="6"/>
  <c r="D34" i="6"/>
  <c r="R35" i="6"/>
  <c r="X35" i="6"/>
  <c r="Y36" i="6"/>
  <c r="X39" i="6"/>
  <c r="R41" i="6"/>
  <c r="X41" i="6"/>
  <c r="E42" i="6"/>
  <c r="Y42" i="6"/>
  <c r="E43" i="6"/>
  <c r="X43" i="6"/>
  <c r="E44" i="6"/>
  <c r="R44" i="6"/>
  <c r="E45" i="6"/>
  <c r="E46" i="6"/>
  <c r="R46" i="6"/>
  <c r="E47" i="6"/>
  <c r="R47" i="6"/>
  <c r="X47" i="6"/>
  <c r="E48" i="6"/>
  <c r="Y48" i="6"/>
  <c r="E49" i="6"/>
  <c r="X49" i="6"/>
  <c r="E50" i="6"/>
  <c r="E51" i="6"/>
  <c r="R51" i="6"/>
  <c r="X51" i="6"/>
  <c r="E52" i="6"/>
  <c r="R52" i="6"/>
  <c r="E53" i="6"/>
  <c r="C54" i="6"/>
  <c r="E54" i="6"/>
  <c r="R54" i="6"/>
  <c r="Y54" i="6"/>
  <c r="X55" i="6"/>
  <c r="E56" i="6"/>
  <c r="E57" i="6"/>
  <c r="X57" i="6"/>
  <c r="E58" i="6"/>
  <c r="E59" i="6"/>
  <c r="X59" i="6"/>
  <c r="E60" i="6"/>
  <c r="Y62" i="6"/>
  <c r="X63" i="6"/>
  <c r="X65" i="6"/>
  <c r="X67" i="6"/>
  <c r="X71" i="6"/>
  <c r="X73" i="6"/>
  <c r="X75" i="6"/>
  <c r="V81" i="6"/>
  <c r="X81" i="6"/>
  <c r="X82" i="6"/>
  <c r="V83" i="6"/>
  <c r="X83" i="6"/>
  <c r="A2" i="17"/>
  <c r="A3" i="17"/>
  <c r="G5" i="17"/>
  <c r="H5" i="17"/>
  <c r="I5" i="17"/>
  <c r="G6" i="17"/>
  <c r="H6" i="17"/>
  <c r="I6" i="17"/>
  <c r="G8" i="17"/>
  <c r="H8" i="17"/>
  <c r="I8" i="17"/>
  <c r="AG8" i="17"/>
  <c r="G9" i="17"/>
  <c r="H9" i="17"/>
  <c r="I9" i="17"/>
  <c r="AG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G12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G17" i="17"/>
  <c r="AG18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G22" i="17"/>
  <c r="AG23" i="17"/>
  <c r="AG24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G26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G48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G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AG62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AG66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D71" i="17"/>
  <c r="AE71" i="17"/>
  <c r="AF71" i="17"/>
  <c r="AG71" i="17"/>
  <c r="G72" i="17"/>
  <c r="AG72" i="17"/>
  <c r="AG73" i="17"/>
  <c r="AG74" i="17"/>
  <c r="AG75" i="17"/>
  <c r="AG76" i="17"/>
  <c r="AG77" i="17"/>
  <c r="G78" i="17"/>
  <c r="AG78" i="17"/>
  <c r="G79" i="17"/>
  <c r="AG79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Z80" i="17"/>
  <c r="AA80" i="17"/>
  <c r="AB80" i="17"/>
  <c r="AC80" i="17"/>
  <c r="AD80" i="17"/>
  <c r="AE80" i="17"/>
  <c r="AF80" i="17"/>
  <c r="AG80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W85" i="17"/>
  <c r="X85" i="17"/>
  <c r="Y85" i="17"/>
  <c r="Z85" i="17"/>
  <c r="AA85" i="17"/>
  <c r="AB85" i="17"/>
  <c r="AC85" i="17"/>
  <c r="AD85" i="17"/>
  <c r="AE85" i="17"/>
  <c r="AF85" i="17"/>
  <c r="AG85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W87" i="17"/>
  <c r="X87" i="17"/>
  <c r="Y87" i="17"/>
  <c r="Z87" i="17"/>
  <c r="AA87" i="17"/>
  <c r="AB87" i="17"/>
  <c r="AC87" i="17"/>
  <c r="AD87" i="17"/>
  <c r="AE87" i="17"/>
  <c r="AF87" i="17"/>
  <c r="AG87" i="17"/>
  <c r="A2" i="7"/>
  <c r="A3" i="7"/>
  <c r="E5" i="7"/>
  <c r="F5" i="7"/>
  <c r="D6" i="7"/>
  <c r="E6" i="7"/>
  <c r="F6" i="7"/>
  <c r="D7" i="7"/>
  <c r="E7" i="7"/>
  <c r="F7" i="7"/>
  <c r="D9" i="7"/>
  <c r="E9" i="7"/>
  <c r="F9" i="7"/>
  <c r="D10" i="7"/>
  <c r="E10" i="7"/>
  <c r="F10" i="7"/>
  <c r="D16" i="7"/>
  <c r="E16" i="7"/>
  <c r="F16" i="7"/>
  <c r="D18" i="7"/>
  <c r="E18" i="7"/>
  <c r="F18" i="7"/>
  <c r="D20" i="7"/>
  <c r="E20" i="7"/>
  <c r="F20" i="7"/>
  <c r="G20" i="7"/>
  <c r="A27" i="7"/>
  <c r="D27" i="7"/>
  <c r="E27" i="7"/>
  <c r="F27" i="7"/>
  <c r="G27" i="7"/>
  <c r="A28" i="7"/>
  <c r="D28" i="7"/>
  <c r="E28" i="7"/>
  <c r="F28" i="7"/>
  <c r="G28" i="7"/>
  <c r="A29" i="7"/>
  <c r="D29" i="7"/>
  <c r="E29" i="7"/>
  <c r="F29" i="7"/>
  <c r="G29" i="7"/>
  <c r="A30" i="7"/>
  <c r="D30" i="7"/>
  <c r="E30" i="7"/>
  <c r="F30" i="7"/>
  <c r="G30" i="7"/>
  <c r="A31" i="7"/>
  <c r="D31" i="7"/>
  <c r="E31" i="7"/>
  <c r="F31" i="7"/>
  <c r="G31" i="7"/>
  <c r="A32" i="7"/>
  <c r="D32" i="7"/>
  <c r="E32" i="7"/>
  <c r="F32" i="7"/>
  <c r="G32" i="7"/>
  <c r="A33" i="7"/>
  <c r="D33" i="7"/>
  <c r="E33" i="7"/>
  <c r="F33" i="7"/>
  <c r="G33" i="7"/>
  <c r="A34" i="7"/>
  <c r="D34" i="7"/>
  <c r="E34" i="7"/>
  <c r="F34" i="7"/>
  <c r="G34" i="7"/>
  <c r="A35" i="7"/>
  <c r="D35" i="7"/>
  <c r="E35" i="7"/>
  <c r="F35" i="7"/>
  <c r="G35" i="7"/>
  <c r="A36" i="7"/>
  <c r="D36" i="7"/>
  <c r="E36" i="7"/>
  <c r="F36" i="7"/>
  <c r="G36" i="7"/>
  <c r="A37" i="7"/>
  <c r="D37" i="7"/>
  <c r="E37" i="7"/>
  <c r="F37" i="7"/>
  <c r="G37" i="7"/>
  <c r="A38" i="7"/>
  <c r="D38" i="7"/>
  <c r="E38" i="7"/>
  <c r="F38" i="7"/>
  <c r="G38" i="7"/>
  <c r="D39" i="7"/>
  <c r="E39" i="7"/>
  <c r="F39" i="7"/>
  <c r="G39" i="7"/>
  <c r="A42" i="7"/>
  <c r="D42" i="7"/>
  <c r="E42" i="7"/>
  <c r="F42" i="7"/>
  <c r="G42" i="7"/>
  <c r="A43" i="7"/>
  <c r="D43" i="7"/>
  <c r="E43" i="7"/>
  <c r="F43" i="7"/>
  <c r="G43" i="7"/>
  <c r="A44" i="7"/>
  <c r="D44" i="7"/>
  <c r="E44" i="7"/>
  <c r="F44" i="7"/>
  <c r="G44" i="7"/>
  <c r="D45" i="7"/>
  <c r="E45" i="7"/>
  <c r="F45" i="7"/>
  <c r="G45" i="7"/>
  <c r="D47" i="7"/>
  <c r="E47" i="7"/>
  <c r="F47" i="7"/>
  <c r="G47" i="7"/>
  <c r="D49" i="7"/>
  <c r="E49" i="7"/>
  <c r="F49" i="7"/>
  <c r="G49" i="7"/>
  <c r="D51" i="7"/>
  <c r="E51" i="7"/>
  <c r="F51" i="7"/>
  <c r="G51" i="7"/>
  <c r="G52" i="7"/>
  <c r="H52" i="7"/>
  <c r="D54" i="7"/>
  <c r="E54" i="7"/>
  <c r="F54" i="7"/>
  <c r="G54" i="7"/>
  <c r="D55" i="7"/>
  <c r="E55" i="7"/>
  <c r="F55" i="7"/>
  <c r="G55" i="7"/>
  <c r="H55" i="7"/>
  <c r="D57" i="7"/>
  <c r="E57" i="7"/>
  <c r="F57" i="7"/>
  <c r="G57" i="7"/>
  <c r="G58" i="7"/>
  <c r="D60" i="7"/>
  <c r="E60" i="7"/>
  <c r="F60" i="7"/>
  <c r="G60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D66" i="7"/>
  <c r="E66" i="7"/>
  <c r="F66" i="7"/>
  <c r="G66" i="7"/>
  <c r="G67" i="7"/>
  <c r="H67" i="7"/>
  <c r="D68" i="7"/>
  <c r="G68" i="7"/>
  <c r="H68" i="7"/>
  <c r="D69" i="7"/>
  <c r="E69" i="7"/>
  <c r="F69" i="7"/>
  <c r="G69" i="7"/>
  <c r="D71" i="7"/>
  <c r="E71" i="7"/>
  <c r="F71" i="7"/>
  <c r="D72" i="7"/>
  <c r="E72" i="7"/>
  <c r="F72" i="7"/>
  <c r="A2" i="16"/>
  <c r="A3" i="16"/>
  <c r="C6" i="16"/>
  <c r="D6" i="16"/>
  <c r="E6" i="16"/>
  <c r="C7" i="16"/>
  <c r="D7" i="16"/>
  <c r="E7" i="16"/>
  <c r="C8" i="16"/>
  <c r="D8" i="16"/>
  <c r="E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F12" i="16"/>
  <c r="G12" i="16"/>
  <c r="H12" i="16"/>
  <c r="F13" i="16"/>
  <c r="G13" i="16"/>
  <c r="H13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F22" i="16"/>
  <c r="AF22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F33" i="16"/>
  <c r="AF33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F44" i="16"/>
  <c r="AF44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2" i="12"/>
  <c r="A3" i="12"/>
  <c r="F10" i="12"/>
  <c r="G10" i="12"/>
  <c r="A11" i="12"/>
  <c r="F11" i="12"/>
  <c r="G11" i="12"/>
  <c r="A12" i="12"/>
  <c r="F12" i="12"/>
  <c r="G12" i="12"/>
  <c r="A13" i="12"/>
  <c r="F13" i="12"/>
  <c r="G13" i="12"/>
  <c r="A14" i="12"/>
  <c r="F14" i="12"/>
  <c r="G14" i="12"/>
  <c r="A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A68" i="12"/>
  <c r="E68" i="12"/>
  <c r="F68" i="12"/>
  <c r="G68" i="12"/>
  <c r="A69" i="12"/>
  <c r="E69" i="12"/>
  <c r="F69" i="12"/>
  <c r="G69" i="12"/>
  <c r="E71" i="12"/>
  <c r="F71" i="12"/>
  <c r="B74" i="12"/>
  <c r="C74" i="12"/>
  <c r="D74" i="12"/>
  <c r="E74" i="12"/>
  <c r="F74" i="12"/>
  <c r="G74" i="12"/>
  <c r="A2" i="14"/>
  <c r="A3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D5" i="14"/>
  <c r="E5" i="14"/>
  <c r="F5" i="14"/>
  <c r="D6" i="14"/>
  <c r="E6" i="14"/>
  <c r="F6" i="14"/>
  <c r="D7" i="14"/>
  <c r="E7" i="14"/>
  <c r="F7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C15" i="14"/>
  <c r="G15" i="14"/>
  <c r="K15" i="14"/>
  <c r="O15" i="14"/>
  <c r="S15" i="14"/>
  <c r="W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E18" i="14"/>
  <c r="I18" i="14"/>
  <c r="M18" i="14"/>
  <c r="Q18" i="14"/>
  <c r="U18" i="14"/>
  <c r="Y18" i="14"/>
  <c r="E19" i="14"/>
  <c r="I19" i="14"/>
  <c r="M19" i="14"/>
  <c r="Q19" i="14"/>
  <c r="U19" i="14"/>
  <c r="Y19" i="14"/>
  <c r="C20" i="14"/>
  <c r="G20" i="14"/>
  <c r="K20" i="14"/>
  <c r="O20" i="14"/>
  <c r="S20" i="14"/>
  <c r="W20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61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62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D63" i="14"/>
  <c r="E63" i="14"/>
  <c r="H63" i="14"/>
  <c r="I63" i="14"/>
  <c r="L63" i="14"/>
  <c r="M63" i="14"/>
  <c r="P63" i="14"/>
  <c r="Q63" i="14"/>
  <c r="T63" i="14"/>
  <c r="U63" i="14"/>
  <c r="X63" i="14"/>
  <c r="Y63" i="14"/>
  <c r="AA63" i="14"/>
  <c r="AB63" i="14"/>
  <c r="A2" i="13"/>
  <c r="A3" i="13"/>
  <c r="E6" i="13"/>
  <c r="F6" i="13"/>
  <c r="G6" i="13"/>
  <c r="H6" i="13"/>
  <c r="I6" i="13"/>
  <c r="J6" i="13"/>
  <c r="L8" i="13"/>
  <c r="L9" i="13"/>
  <c r="L10" i="13"/>
  <c r="B11" i="13"/>
  <c r="D11" i="13"/>
  <c r="L11" i="13"/>
  <c r="D12" i="13"/>
  <c r="L12" i="13"/>
  <c r="B13" i="13"/>
  <c r="L13" i="13"/>
  <c r="L14" i="13"/>
  <c r="L15" i="13"/>
  <c r="L16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K18" i="13"/>
  <c r="L18" i="13"/>
  <c r="E19" i="13"/>
  <c r="F19" i="13"/>
  <c r="G19" i="13"/>
  <c r="H19" i="13"/>
  <c r="I19" i="13"/>
  <c r="J19" i="13"/>
  <c r="L19" i="13"/>
  <c r="E20" i="13"/>
  <c r="F20" i="13"/>
  <c r="G20" i="13"/>
  <c r="H20" i="13"/>
  <c r="I20" i="13"/>
  <c r="J20" i="13"/>
  <c r="L20" i="13"/>
  <c r="E21" i="13"/>
  <c r="F21" i="13"/>
  <c r="G21" i="13"/>
  <c r="H21" i="13"/>
  <c r="I21" i="13"/>
  <c r="J21" i="13"/>
  <c r="L21" i="13"/>
  <c r="L22" i="13"/>
  <c r="L23" i="13"/>
  <c r="E24" i="13"/>
  <c r="F24" i="13"/>
  <c r="G24" i="13"/>
  <c r="H24" i="13"/>
  <c r="I24" i="13"/>
  <c r="J24" i="13"/>
  <c r="L24" i="13"/>
  <c r="E25" i="13"/>
  <c r="F25" i="13"/>
  <c r="G25" i="13"/>
  <c r="H25" i="13"/>
  <c r="I25" i="13"/>
  <c r="J25" i="13"/>
  <c r="K25" i="13"/>
  <c r="L25" i="13"/>
  <c r="E26" i="13"/>
  <c r="F26" i="13"/>
  <c r="G26" i="13"/>
  <c r="H26" i="13"/>
  <c r="I26" i="13"/>
  <c r="J26" i="13"/>
  <c r="L26" i="13"/>
  <c r="L27" i="13"/>
  <c r="E28" i="13"/>
  <c r="F28" i="13"/>
  <c r="G28" i="13"/>
  <c r="H28" i="13"/>
  <c r="I28" i="13"/>
  <c r="J28" i="13"/>
  <c r="K28" i="13"/>
  <c r="L28" i="13"/>
  <c r="L29" i="13"/>
  <c r="L30" i="13"/>
  <c r="E31" i="13"/>
  <c r="F31" i="13"/>
  <c r="G31" i="13"/>
  <c r="H31" i="13"/>
  <c r="I31" i="13"/>
  <c r="J31" i="13"/>
  <c r="L31" i="13"/>
  <c r="E32" i="13"/>
  <c r="F32" i="13"/>
  <c r="G32" i="13"/>
  <c r="H32" i="13"/>
  <c r="I32" i="13"/>
  <c r="J32" i="13"/>
  <c r="K32" i="13"/>
  <c r="L32" i="13"/>
  <c r="E33" i="13"/>
  <c r="F33" i="13"/>
  <c r="G33" i="13"/>
  <c r="H33" i="13"/>
  <c r="I33" i="13"/>
  <c r="J33" i="13"/>
  <c r="L33" i="13"/>
  <c r="D35" i="13"/>
  <c r="A2" i="8"/>
  <c r="A3" i="8"/>
  <c r="D5" i="8"/>
  <c r="E5" i="8"/>
  <c r="F5" i="8"/>
  <c r="G5" i="8"/>
  <c r="D6" i="8"/>
  <c r="E6" i="8"/>
  <c r="F6" i="8"/>
  <c r="G6" i="8"/>
  <c r="D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C15" i="8"/>
  <c r="D15" i="8"/>
  <c r="D16" i="8"/>
  <c r="D17" i="8"/>
  <c r="E17" i="8"/>
  <c r="F17" i="8"/>
  <c r="G17" i="8"/>
  <c r="H17" i="8"/>
  <c r="A21" i="8"/>
  <c r="D21" i="8"/>
  <c r="F21" i="8"/>
  <c r="G21" i="8"/>
  <c r="H21" i="8"/>
  <c r="A22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H24" i="8"/>
  <c r="D25" i="8"/>
  <c r="E25" i="8"/>
  <c r="F25" i="8"/>
  <c r="G25" i="8"/>
  <c r="C27" i="8"/>
  <c r="D27" i="8"/>
  <c r="D28" i="8"/>
  <c r="D29" i="8"/>
  <c r="E29" i="8"/>
  <c r="F29" i="8"/>
  <c r="G29" i="8"/>
  <c r="H29" i="8"/>
  <c r="A2" i="15"/>
  <c r="A3" i="15"/>
  <c r="D5" i="15"/>
  <c r="E5" i="15"/>
  <c r="F5" i="15"/>
  <c r="D6" i="15"/>
  <c r="E6" i="15"/>
  <c r="F6" i="15"/>
  <c r="D7" i="15"/>
  <c r="E7" i="15"/>
  <c r="F7" i="15"/>
  <c r="D10" i="15"/>
  <c r="E10" i="15"/>
  <c r="F10" i="15"/>
  <c r="G10" i="15"/>
  <c r="H10" i="15"/>
  <c r="D11" i="15"/>
  <c r="E11" i="15"/>
  <c r="F11" i="15"/>
  <c r="G11" i="15"/>
  <c r="H11" i="15"/>
  <c r="D12" i="15"/>
  <c r="E12" i="15"/>
  <c r="F12" i="15"/>
  <c r="G12" i="15"/>
  <c r="H12" i="15"/>
  <c r="D13" i="15"/>
  <c r="E13" i="15"/>
  <c r="F13" i="15"/>
  <c r="G13" i="15"/>
  <c r="D14" i="15"/>
  <c r="E14" i="15"/>
  <c r="F14" i="15"/>
  <c r="D16" i="15"/>
  <c r="E16" i="15"/>
  <c r="F16" i="15"/>
  <c r="G16" i="15"/>
  <c r="B23" i="15"/>
  <c r="E23" i="15"/>
  <c r="F23" i="15"/>
  <c r="G23" i="15"/>
  <c r="H23" i="15"/>
  <c r="C24" i="15"/>
  <c r="D24" i="15"/>
  <c r="F24" i="15"/>
  <c r="G24" i="15"/>
  <c r="H24" i="15"/>
  <c r="C25" i="15"/>
  <c r="D25" i="15"/>
  <c r="F25" i="15"/>
  <c r="G25" i="15"/>
  <c r="H25" i="15"/>
  <c r="C26" i="15"/>
  <c r="D26" i="15"/>
  <c r="F26" i="15"/>
  <c r="G26" i="15"/>
  <c r="H26" i="15"/>
  <c r="C27" i="15"/>
  <c r="D27" i="15"/>
  <c r="F27" i="15"/>
  <c r="G27" i="15"/>
  <c r="H27" i="15"/>
  <c r="C28" i="15"/>
  <c r="D28" i="15"/>
  <c r="F28" i="15"/>
  <c r="G28" i="15"/>
  <c r="H28" i="15"/>
  <c r="C29" i="15"/>
  <c r="D29" i="15"/>
  <c r="F29" i="15"/>
  <c r="G29" i="15"/>
  <c r="H29" i="15"/>
  <c r="C30" i="15"/>
  <c r="D30" i="15"/>
  <c r="F30" i="15"/>
  <c r="G30" i="15"/>
  <c r="H30" i="15"/>
  <c r="B31" i="15"/>
  <c r="C31" i="15"/>
  <c r="D31" i="15"/>
  <c r="F31" i="15"/>
  <c r="G31" i="15"/>
  <c r="H31" i="15"/>
  <c r="C32" i="15"/>
  <c r="D32" i="15"/>
  <c r="F32" i="15"/>
  <c r="G32" i="15"/>
  <c r="H32" i="15"/>
  <c r="C33" i="15"/>
  <c r="D33" i="15"/>
  <c r="F33" i="15"/>
  <c r="G33" i="15"/>
  <c r="H33" i="15"/>
  <c r="C34" i="15"/>
  <c r="D34" i="15"/>
  <c r="F34" i="15"/>
  <c r="G34" i="15"/>
  <c r="H34" i="15"/>
  <c r="C35" i="15"/>
  <c r="D35" i="15"/>
  <c r="F35" i="15"/>
  <c r="G35" i="15"/>
  <c r="H35" i="15"/>
  <c r="C36" i="15"/>
  <c r="D36" i="15"/>
  <c r="F36" i="15"/>
  <c r="G36" i="15"/>
  <c r="H36" i="15"/>
  <c r="C37" i="15"/>
  <c r="D37" i="15"/>
  <c r="F37" i="15"/>
  <c r="G37" i="15"/>
  <c r="H37" i="15"/>
  <c r="C38" i="15"/>
  <c r="D38" i="15"/>
  <c r="F38" i="15"/>
  <c r="G38" i="15"/>
  <c r="H38" i="15"/>
  <c r="C39" i="15"/>
  <c r="D39" i="15"/>
  <c r="F39" i="15"/>
  <c r="G39" i="15"/>
  <c r="H39" i="15"/>
  <c r="C40" i="15"/>
  <c r="D40" i="15"/>
  <c r="F40" i="15"/>
  <c r="G40" i="15"/>
  <c r="H40" i="15"/>
  <c r="C41" i="15"/>
  <c r="D41" i="15"/>
  <c r="F41" i="15"/>
  <c r="G41" i="15"/>
  <c r="H41" i="15"/>
  <c r="C42" i="15"/>
  <c r="D42" i="15"/>
  <c r="F42" i="15"/>
  <c r="G42" i="15"/>
  <c r="H42" i="15"/>
  <c r="C43" i="15"/>
  <c r="D43" i="15"/>
  <c r="F43" i="15"/>
  <c r="G43" i="15"/>
  <c r="H43" i="15"/>
  <c r="C44" i="15"/>
  <c r="D44" i="15"/>
  <c r="F44" i="15"/>
  <c r="G44" i="15"/>
  <c r="H44" i="15"/>
  <c r="C45" i="15"/>
  <c r="D45" i="15"/>
  <c r="F45" i="15"/>
  <c r="G45" i="15"/>
  <c r="H45" i="15"/>
  <c r="C46" i="15"/>
  <c r="D46" i="15"/>
  <c r="F46" i="15"/>
  <c r="G46" i="15"/>
  <c r="H46" i="15"/>
  <c r="C47" i="15"/>
  <c r="D47" i="15"/>
  <c r="F47" i="15"/>
  <c r="G47" i="15"/>
  <c r="H47" i="15"/>
  <c r="C48" i="15"/>
  <c r="D48" i="15"/>
  <c r="F48" i="15"/>
  <c r="G48" i="15"/>
  <c r="H48" i="15"/>
  <c r="C49" i="15"/>
  <c r="D49" i="15"/>
  <c r="F49" i="15"/>
  <c r="G49" i="15"/>
  <c r="H49" i="15"/>
  <c r="C50" i="15"/>
  <c r="D50" i="15"/>
  <c r="F50" i="15"/>
  <c r="G50" i="15"/>
  <c r="H50" i="15"/>
  <c r="C51" i="15"/>
  <c r="D51" i="15"/>
  <c r="F51" i="15"/>
  <c r="G51" i="15"/>
  <c r="H51" i="15"/>
  <c r="C52" i="15"/>
  <c r="D52" i="15"/>
  <c r="F52" i="15"/>
  <c r="G52" i="15"/>
  <c r="H52" i="15"/>
  <c r="C53" i="15"/>
  <c r="D53" i="15"/>
  <c r="F53" i="15"/>
  <c r="G53" i="15"/>
  <c r="H53" i="15"/>
  <c r="C54" i="15"/>
  <c r="D54" i="15"/>
  <c r="F54" i="15"/>
  <c r="G54" i="15"/>
  <c r="H54" i="15"/>
  <c r="C55" i="15"/>
  <c r="D55" i="15"/>
  <c r="F55" i="15"/>
  <c r="G55" i="15"/>
  <c r="H55" i="15"/>
  <c r="C56" i="15"/>
  <c r="D56" i="15"/>
  <c r="F56" i="15"/>
  <c r="G56" i="15"/>
  <c r="H56" i="15"/>
  <c r="C57" i="15"/>
  <c r="D57" i="15"/>
  <c r="F57" i="15"/>
  <c r="G57" i="15"/>
  <c r="H57" i="15"/>
  <c r="C58" i="15"/>
  <c r="D58" i="15"/>
  <c r="F58" i="15"/>
  <c r="G58" i="15"/>
  <c r="H58" i="15"/>
  <c r="C59" i="15"/>
  <c r="D59" i="15"/>
  <c r="F59" i="15"/>
  <c r="G59" i="15"/>
  <c r="H59" i="15"/>
  <c r="C60" i="15"/>
  <c r="D60" i="15"/>
  <c r="F60" i="15"/>
  <c r="G60" i="15"/>
  <c r="H60" i="15"/>
  <c r="C61" i="15"/>
  <c r="D61" i="15"/>
  <c r="F61" i="15"/>
  <c r="G61" i="15"/>
  <c r="H61" i="15"/>
  <c r="C62" i="15"/>
  <c r="D62" i="15"/>
  <c r="F62" i="15"/>
  <c r="G62" i="15"/>
  <c r="H62" i="15"/>
  <c r="C63" i="15"/>
  <c r="D63" i="15"/>
  <c r="F63" i="15"/>
  <c r="G63" i="15"/>
  <c r="H63" i="15"/>
  <c r="C64" i="15"/>
  <c r="D64" i="15"/>
  <c r="F64" i="15"/>
  <c r="G64" i="15"/>
  <c r="H64" i="15"/>
  <c r="C65" i="15"/>
  <c r="D65" i="15"/>
  <c r="F65" i="15"/>
  <c r="G65" i="15"/>
  <c r="H65" i="15"/>
  <c r="C66" i="15"/>
  <c r="D66" i="15"/>
  <c r="F66" i="15"/>
  <c r="G66" i="15"/>
  <c r="H66" i="15"/>
  <c r="C67" i="15"/>
  <c r="D67" i="15"/>
  <c r="F67" i="15"/>
  <c r="G67" i="15"/>
  <c r="H67" i="15"/>
  <c r="C68" i="15"/>
  <c r="D68" i="15"/>
  <c r="F68" i="15"/>
  <c r="G68" i="15"/>
  <c r="H68" i="15"/>
  <c r="C69" i="15"/>
  <c r="D69" i="15"/>
  <c r="F69" i="15"/>
  <c r="G69" i="15"/>
  <c r="H69" i="15"/>
  <c r="C70" i="15"/>
  <c r="D70" i="15"/>
  <c r="F70" i="15"/>
  <c r="G70" i="15"/>
  <c r="H70" i="15"/>
  <c r="C71" i="15"/>
  <c r="D71" i="15"/>
  <c r="F71" i="15"/>
  <c r="G71" i="15"/>
  <c r="H71" i="15"/>
  <c r="C72" i="15"/>
  <c r="D72" i="15"/>
  <c r="F72" i="15"/>
  <c r="G72" i="15"/>
  <c r="H72" i="15"/>
  <c r="C73" i="15"/>
  <c r="D73" i="15"/>
  <c r="F73" i="15"/>
  <c r="G73" i="15"/>
  <c r="H73" i="15"/>
  <c r="C74" i="15"/>
  <c r="D74" i="15"/>
  <c r="F74" i="15"/>
  <c r="G74" i="15"/>
  <c r="H74" i="15"/>
  <c r="C75" i="15"/>
  <c r="D75" i="15"/>
  <c r="F75" i="15"/>
  <c r="G75" i="15"/>
  <c r="H75" i="15"/>
  <c r="C76" i="15"/>
  <c r="D76" i="15"/>
  <c r="F76" i="15"/>
  <c r="G76" i="15"/>
  <c r="H76" i="15"/>
  <c r="C77" i="15"/>
  <c r="D77" i="15"/>
  <c r="F77" i="15"/>
  <c r="G77" i="15"/>
  <c r="H77" i="15"/>
  <c r="C78" i="15"/>
  <c r="D78" i="15"/>
  <c r="F78" i="15"/>
  <c r="G78" i="15"/>
  <c r="H78" i="15"/>
  <c r="C79" i="15"/>
  <c r="D79" i="15"/>
  <c r="F79" i="15"/>
  <c r="G79" i="15"/>
  <c r="H79" i="15"/>
  <c r="C80" i="15"/>
  <c r="D80" i="15"/>
  <c r="F80" i="15"/>
  <c r="G80" i="15"/>
  <c r="H80" i="15"/>
  <c r="C81" i="15"/>
  <c r="D81" i="15"/>
  <c r="F81" i="15"/>
  <c r="G81" i="15"/>
  <c r="H81" i="15"/>
  <c r="C82" i="15"/>
  <c r="D82" i="15"/>
  <c r="F82" i="15"/>
  <c r="G82" i="15"/>
  <c r="H82" i="15"/>
  <c r="E83" i="15"/>
  <c r="F83" i="15"/>
  <c r="H83" i="15"/>
</calcChain>
</file>

<file path=xl/comments1.xml><?xml version="1.0" encoding="utf-8"?>
<comments xmlns="http://schemas.openxmlformats.org/spreadsheetml/2006/main">
  <authors>
    <author>cwatts</author>
    <author>Todd Neugebauer</author>
  </authors>
  <commentLis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land options, circuit breaker options, tower, and circuit  breakers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needs to be confirmed.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 data with Ron Tapscott</t>
        </r>
      </text>
    </comment>
    <comment ref="C50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Not used curretly-Rate is hard coded on CF page</t>
        </r>
      </text>
    </comment>
  </commentList>
</comments>
</file>

<file path=xl/comments2.xml><?xml version="1.0" encoding="utf-8"?>
<comments xmlns="http://schemas.openxmlformats.org/spreadsheetml/2006/main">
  <authors>
    <author>Todd Neugebauer</author>
  </authors>
  <commentList>
    <comment ref="A71" authorId="0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<sst xmlns="http://schemas.openxmlformats.org/spreadsheetml/2006/main" count="668" uniqueCount="429">
  <si>
    <t>BASE MODEL</t>
  </si>
  <si>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</si>
  <si>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</si>
  <si>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</si>
  <si>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</si>
  <si>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</si>
  <si>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</si>
  <si>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</si>
  <si>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</si>
  <si>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</si>
  <si>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</si>
  <si>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</si>
  <si>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</si>
  <si>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</si>
  <si>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Converge of Numbers</t>
  </si>
  <si>
    <t>Values</t>
  </si>
  <si>
    <t>Inputs</t>
  </si>
  <si>
    <t>Difference</t>
  </si>
  <si>
    <t>Capacity</t>
  </si>
  <si>
    <t>MW</t>
  </si>
  <si>
    <t>Project Costs ($000)</t>
  </si>
  <si>
    <t xml:space="preserve">   IDC </t>
  </si>
  <si>
    <t>Availability</t>
  </si>
  <si>
    <t>ASSUME EXEMPT</t>
  </si>
  <si>
    <t xml:space="preserve">  Major Mechanical &amp; Elec. Equip.</t>
  </si>
  <si>
    <t>PROJECT</t>
  </si>
  <si>
    <t>IRR LOOPFACTOR</t>
  </si>
  <si>
    <t xml:space="preserve">   Withholding Tax on IDC</t>
  </si>
  <si>
    <t>Heat Rate</t>
  </si>
  <si>
    <t>HHV</t>
  </si>
  <si>
    <t>Btu/kWh</t>
  </si>
  <si>
    <t xml:space="preserve">  Electrical Equip.</t>
  </si>
  <si>
    <t>Target IRR</t>
  </si>
  <si>
    <t xml:space="preserve">   Financing Costs</t>
  </si>
  <si>
    <t xml:space="preserve">Dispatch </t>
  </si>
  <si>
    <t xml:space="preserve">  Import Duties </t>
  </si>
  <si>
    <t xml:space="preserve">   Commitment Fee</t>
  </si>
  <si>
    <t xml:space="preserve">Enron </t>
  </si>
  <si>
    <t xml:space="preserve">   Development Fees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</si>
  <si>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</si>
  <si>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</si>
  <si>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</si>
  <si>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</si>
  <si>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</si>
  <si>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</si>
  <si>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</si>
  <si>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</si>
  <si>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</si>
  <si>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</si>
  <si>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</si>
  <si>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</si>
  <si>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</si>
  <si>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</si>
  <si>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</si>
  <si>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</si>
  <si>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</si>
  <si>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</si>
  <si>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</si>
  <si>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</si>
  <si>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</si>
  <si>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</si>
  <si>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</si>
  <si>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</si>
  <si>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</si>
  <si>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</si>
  <si>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</si>
  <si>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</si>
  <si>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</si>
  <si>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</si>
  <si>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</si>
  <si>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S/L</t>
  </si>
  <si>
    <t>Loop Factor</t>
  </si>
  <si>
    <t xml:space="preserve">Fixed Capacity </t>
  </si>
  <si>
    <t xml:space="preserve"> /kW-Mon</t>
  </si>
  <si>
    <t>RECONCILED PROJECT NPV</t>
  </si>
  <si>
    <t xml:space="preserve">   (includes ROE, Taxes, Debt Service, Fixed O&amp;M)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</si>
  <si>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</si>
  <si>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</si>
  <si>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</si>
  <si>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</si>
  <si>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</si>
  <si>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</si>
  <si>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</si>
  <si>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>DS Coverage Ratios:</t>
  </si>
  <si>
    <t>Pre-Tax</t>
  </si>
  <si>
    <t>After-Tax</t>
  </si>
  <si>
    <t xml:space="preserve">  Withholding Tax on IDC</t>
  </si>
  <si>
    <t xml:space="preserve">         Minimum</t>
  </si>
  <si>
    <t>Target</t>
  </si>
  <si>
    <t>Other</t>
  </si>
  <si>
    <t xml:space="preserve">  Financing Costs</t>
  </si>
  <si>
    <t xml:space="preserve">         Average</t>
  </si>
  <si>
    <t xml:space="preserve">  Misc Lenders' Expenses</t>
  </si>
  <si>
    <t>US GAAP:</t>
  </si>
  <si>
    <t xml:space="preserve">  Commitment Fee</t>
  </si>
  <si>
    <t>Financing ($000)</t>
  </si>
  <si>
    <t xml:space="preserve">  Bank Environmental Consultant</t>
  </si>
  <si>
    <t>W Avg Cost of Financing...</t>
  </si>
  <si>
    <t xml:space="preserve">  Bank Independent Engineer</t>
  </si>
  <si>
    <t>Cost of Funds</t>
  </si>
  <si>
    <t>Margin</t>
  </si>
  <si>
    <t xml:space="preserve">  Completion Bond</t>
  </si>
  <si>
    <t xml:space="preserve">   Tranche 1:</t>
  </si>
  <si>
    <t>1=SL 2=MTG</t>
  </si>
  <si>
    <t xml:space="preserve">Project Ownership </t>
  </si>
  <si>
    <t>% of Equity</t>
  </si>
  <si>
    <t>% of Cash Flow</t>
  </si>
  <si>
    <t>Equity $s</t>
  </si>
  <si>
    <t xml:space="preserve">  Overheads</t>
  </si>
  <si>
    <t xml:space="preserve">         Amount</t>
  </si>
  <si>
    <t>Enron</t>
  </si>
  <si>
    <t xml:space="preserve">         Term - Years</t>
  </si>
  <si>
    <t xml:space="preserve">  Permits &amp; Licenses</t>
  </si>
  <si>
    <t xml:space="preserve">         Average Life of Loan (including Construction)</t>
  </si>
  <si>
    <t>Operating Expenses ($000)</t>
  </si>
  <si>
    <t xml:space="preserve">CPI Rate: </t>
  </si>
  <si>
    <t xml:space="preserve">  Legal Fees </t>
  </si>
  <si>
    <t xml:space="preserve">         Grace Period  (excluding construction)</t>
  </si>
  <si>
    <t>Payments</t>
  </si>
  <si>
    <t xml:space="preserve">   TOTAL THIRD PARTY DEVMT/FINANCING COSTS</t>
  </si>
  <si>
    <t xml:space="preserve">         Rate </t>
  </si>
  <si>
    <t>Fixed:</t>
  </si>
  <si>
    <t xml:space="preserve">  Development Fees</t>
  </si>
  <si>
    <t xml:space="preserve">         Financing Fees</t>
  </si>
  <si>
    <t>Miscellaneous O&amp;M</t>
  </si>
  <si>
    <t xml:space="preserve">  Development Costs</t>
  </si>
  <si>
    <t xml:space="preserve">         Commitment Fees</t>
  </si>
  <si>
    <t>Miscellaneous G&amp;A</t>
  </si>
  <si>
    <t xml:space="preserve">  Financial Advisor</t>
  </si>
  <si>
    <t xml:space="preserve">   Tranche 2:</t>
  </si>
  <si>
    <t>Maintenance Reserve</t>
  </si>
  <si>
    <t xml:space="preserve">  Profit</t>
  </si>
  <si>
    <t xml:space="preserve">         Amount </t>
  </si>
  <si>
    <t>(U.S. Content)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</si>
  <si>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</si>
  <si>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</si>
  <si>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</si>
  <si>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</si>
  <si>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</si>
  <si>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</si>
  <si>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</si>
  <si>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</si>
  <si>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</si>
  <si>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</si>
  <si>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</si>
  <si>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Spare Parts &amp; Other Costs</t>
  </si>
  <si>
    <t xml:space="preserve">   Tranche 3: Other</t>
  </si>
  <si>
    <t xml:space="preserve">   TOTAL OTHER COSTS</t>
  </si>
  <si>
    <t>Variable:</t>
  </si>
  <si>
    <t xml:space="preserve">  Contingency -  </t>
  </si>
  <si>
    <t xml:space="preserve">  Contingency -</t>
  </si>
  <si>
    <t xml:space="preserve">         Rate</t>
  </si>
  <si>
    <t xml:space="preserve">   TOTAL CONTINGENCY</t>
  </si>
  <si>
    <t xml:space="preserve">   Tranche 4: Other</t>
  </si>
  <si>
    <t xml:space="preserve">   TOTAL PROJECT COSTS ($/kw)</t>
  </si>
  <si>
    <t xml:space="preserve">         Rate (5 Yr)</t>
  </si>
  <si>
    <t xml:space="preserve">   Tranche 5: Other</t>
  </si>
  <si>
    <t xml:space="preserve">   Tranche 6: Other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</si>
  <si>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</si>
  <si>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</si>
  <si>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</si>
  <si>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</si>
  <si>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</si>
  <si>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</si>
  <si>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</si>
  <si>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</si>
  <si>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</si>
  <si>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</si>
  <si>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</si>
  <si>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</si>
  <si>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</si>
  <si>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</si>
  <si>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</si>
  <si>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</si>
  <si>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</si>
  <si>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</si>
  <si>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</si>
  <si>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</si>
  <si>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</si>
  <si>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</si>
  <si>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</si>
  <si>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</si>
  <si>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</si>
  <si>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</si>
  <si>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</si>
  <si>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</si>
  <si>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</si>
  <si>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</si>
  <si>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</si>
  <si>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</si>
  <si>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</si>
  <si>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</si>
  <si>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</si>
  <si>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</si>
  <si>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</si>
  <si>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</si>
  <si>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</si>
  <si>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</si>
  <si>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</si>
  <si>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</si>
  <si>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</si>
  <si>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</si>
  <si>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</si>
  <si>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</si>
  <si>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</si>
  <si>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</si>
  <si>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</si>
  <si>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</si>
  <si>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</si>
  <si>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</si>
  <si>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</si>
  <si>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</si>
  <si>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</si>
  <si>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</si>
  <si>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</si>
  <si>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</si>
  <si>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</si>
  <si>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</si>
  <si>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</si>
  <si>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</si>
  <si>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</si>
  <si>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</si>
  <si>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</si>
  <si>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</si>
  <si>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</si>
  <si>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</si>
  <si>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</si>
  <si>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</si>
  <si>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</si>
  <si>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</si>
  <si>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</si>
  <si>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</si>
  <si>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</si>
  <si>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</si>
  <si>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</si>
  <si>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</si>
  <si>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</si>
  <si>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</si>
  <si>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</si>
  <si>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</si>
  <si>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</si>
  <si>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</si>
  <si>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</si>
  <si>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</si>
  <si>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</si>
  <si>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</si>
  <si>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</si>
  <si>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</si>
  <si>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</si>
  <si>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</si>
  <si>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</si>
  <si>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</si>
  <si>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</si>
  <si>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</si>
  <si>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</si>
  <si>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</si>
  <si>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</si>
  <si>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</si>
  <si>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</si>
  <si>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</si>
  <si>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</si>
  <si>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</si>
  <si>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</si>
  <si>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</si>
  <si>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</si>
  <si>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</si>
  <si>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</si>
  <si>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 xml:space="preserve">  Times:  Tax Rate</t>
  </si>
  <si>
    <t>TOTAL CASH TAXES PAID</t>
  </si>
  <si>
    <t xml:space="preserve">COMMITMENT FEE </t>
  </si>
  <si>
    <t>Plus</t>
  </si>
  <si>
    <t>Less</t>
  </si>
  <si>
    <t>Beginning</t>
  </si>
  <si>
    <t>Ending</t>
  </si>
  <si>
    <t>Commitment</t>
  </si>
  <si>
    <t>Weighted Avg</t>
  </si>
  <si>
    <t>Committed $'s</t>
  </si>
  <si>
    <t>Committed</t>
  </si>
  <si>
    <t>Advanced</t>
  </si>
  <si>
    <t>Fee</t>
  </si>
  <si>
    <t>Fee Rate</t>
  </si>
  <si>
    <t>Total Commitment Fee</t>
  </si>
  <si>
    <t>DEPRECIATION CALCULATIONS</t>
  </si>
  <si>
    <t>Tax</t>
  </si>
  <si>
    <t>Book</t>
  </si>
  <si>
    <t>US GAAP</t>
  </si>
  <si>
    <t>Total Project Cost</t>
  </si>
  <si>
    <t>Less:  Spare Parts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</si>
  <si>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</si>
  <si>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</si>
  <si>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</si>
  <si>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</si>
  <si>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</si>
  <si>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</si>
  <si>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</si>
  <si>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</si>
  <si>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</si>
  <si>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</si>
  <si>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</si>
  <si>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</si>
  <si>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</si>
  <si>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</si>
  <si>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</si>
  <si>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</si>
  <si>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</si>
  <si>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</si>
  <si>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</si>
  <si>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</si>
  <si>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</si>
  <si>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</si>
  <si>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</si>
  <si>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</si>
  <si>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</si>
  <si>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</si>
  <si>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</si>
  <si>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</si>
  <si>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</si>
  <si>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</si>
  <si>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</si>
  <si>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</si>
  <si>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</si>
  <si>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</si>
  <si>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</si>
  <si>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</si>
  <si>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</si>
  <si>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</si>
  <si>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</si>
  <si>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</si>
  <si>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</si>
  <si>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</si>
  <si>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</si>
  <si>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</si>
  <si>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</si>
  <si>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</si>
  <si>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</si>
  <si>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</si>
  <si>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</si>
  <si>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</si>
  <si>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</si>
  <si>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Provision for income taxes (income &amp; surtax)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</si>
  <si>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</si>
  <si>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</si>
  <si>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</si>
  <si>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</si>
  <si>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</si>
  <si>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</si>
  <si>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</si>
  <si>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</si>
  <si>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</si>
  <si>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</si>
  <si>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</si>
  <si>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</si>
  <si>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</si>
  <si>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</si>
  <si>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</si>
  <si>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</si>
  <si>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</si>
  <si>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</si>
  <si>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</si>
  <si>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</si>
  <si>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</si>
  <si>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</si>
  <si>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</si>
  <si>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</si>
  <si>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</si>
  <si>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</si>
  <si>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</si>
  <si>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Enron NPV                         discount rate =</t>
  </si>
  <si>
    <t>Project NPV                       discount rate =</t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</si>
  <si>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</si>
  <si>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</si>
  <si>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</si>
  <si>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</si>
  <si>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</si>
  <si>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>BOO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</si>
  <si>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</si>
  <si>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</si>
  <si>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</si>
  <si>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</si>
  <si>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</si>
  <si>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=IF(ASS!$J$23=0, 0,IF(F12&lt;ASS!$J$23+1, SLN(ASS!$I$23,0,ASS!$J$23)*F14/12, IF(F12=ASS!$J$23+1, SLN(ASS!$I$23,0,ASS!$J$23)*(12-F14)/12, 0)))</t>
  </si>
  <si>
    <t>=IF(ASS!$J$23=0, 0, IF(G12=ASS!$J$23,$E$18-SUM($F$18:F18),IF(G12&gt;TERM,0,IF(G12&lt;ASS!$J$23+1, SLN(ASS!$I$23,0,ASS!$J$23)*G14/12, IF(G12=ASS!$J$23+1, SLN(ASS!$I$23,0,ASS!$J$23)*(12-G14)/12, 0)))))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</si>
  <si>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</si>
  <si>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</si>
  <si>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</si>
  <si>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</si>
  <si>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</si>
  <si>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</si>
  <si>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</si>
  <si>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</si>
  <si>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</si>
  <si>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</si>
  <si>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</si>
  <si>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</si>
  <si>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</si>
  <si>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</si>
  <si>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</si>
  <si>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</si>
  <si>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</si>
  <si>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</si>
  <si>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</si>
  <si>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</si>
  <si>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</si>
  <si>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</si>
  <si>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</si>
  <si>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</si>
  <si>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Margin TVA to SOCO</t>
  </si>
  <si>
    <t>Lower Transmission Costs</t>
  </si>
  <si>
    <t>Benefit Transmission Losses</t>
  </si>
  <si>
    <t xml:space="preserve">   Total Benefits</t>
  </si>
  <si>
    <t>?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</si>
  <si>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</si>
  <si>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</si>
  <si>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</si>
  <si>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</si>
  <si>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</si>
  <si>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</si>
  <si>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</si>
  <si>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</si>
  <si>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</si>
  <si>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</si>
  <si>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 xml:space="preserve">August </t>
  </si>
  <si>
    <t>September</t>
  </si>
  <si>
    <t>October</t>
  </si>
  <si>
    <t>November</t>
  </si>
  <si>
    <t>December</t>
  </si>
  <si>
    <t>January</t>
  </si>
  <si>
    <t>($ in 000s)</t>
  </si>
  <si>
    <t>Interest During Construction --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</si>
</sst>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2" formatCode="mm/dd/yy"/>
    <numFmt numFmtId="203" formatCode="_(* #,##0_);_(* \(#,##0\);_(* &quot;-&quot;??_);_(@_)"/>
  </numFmts>
  <fonts count="49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u/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0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6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4" fillId="0" borderId="0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7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0" xfId="0" applyFont="1" applyBorder="1" applyAlignment="1">
      <alignment horizontal="center"/>
    </xf>
    <xf numFmtId="0" fontId="5" fillId="0" borderId="16" xfId="0" applyFont="1" applyBorder="1"/>
    <xf numFmtId="3" fontId="5" fillId="0" borderId="17" xfId="0" applyNumberFormat="1" applyFont="1" applyBorder="1"/>
    <xf numFmtId="0" fontId="6" fillId="0" borderId="0" xfId="0" applyFont="1" applyBorder="1" applyAlignment="1">
      <alignment horizontal="right"/>
    </xf>
    <xf numFmtId="0" fontId="3" fillId="0" borderId="0" xfId="0" applyFont="1"/>
    <xf numFmtId="0" fontId="3" fillId="0" borderId="18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19" xfId="0" applyNumberFormat="1" applyFont="1" applyBorder="1"/>
    <xf numFmtId="37" fontId="4" fillId="0" borderId="9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8" xfId="0" applyNumberFormat="1" applyFont="1" applyBorder="1"/>
    <xf numFmtId="37" fontId="4" fillId="0" borderId="20" xfId="0" applyNumberFormat="1" applyFont="1" applyBorder="1"/>
    <xf numFmtId="0" fontId="3" fillId="0" borderId="9" xfId="0" applyFont="1" applyBorder="1" applyAlignment="1">
      <alignment horizontal="center"/>
    </xf>
    <xf numFmtId="37" fontId="6" fillId="0" borderId="9" xfId="0" applyNumberFormat="1" applyFont="1" applyBorder="1"/>
    <xf numFmtId="37" fontId="4" fillId="0" borderId="5" xfId="0" applyNumberFormat="1" applyFont="1" applyBorder="1"/>
    <xf numFmtId="37" fontId="4" fillId="0" borderId="18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10" xfId="0" applyFont="1" applyBorder="1"/>
    <xf numFmtId="0" fontId="15" fillId="0" borderId="9" xfId="0" applyFont="1" applyBorder="1" applyAlignment="1">
      <alignment horizontal="center"/>
    </xf>
    <xf numFmtId="0" fontId="14" fillId="0" borderId="9" xfId="0" applyFont="1" applyBorder="1"/>
    <xf numFmtId="0" fontId="13" fillId="0" borderId="0" xfId="0" applyFont="1"/>
    <xf numFmtId="0" fontId="14" fillId="0" borderId="6" xfId="0" applyFont="1" applyBorder="1"/>
    <xf numFmtId="0" fontId="14" fillId="0" borderId="2" xfId="0" applyFont="1" applyBorder="1"/>
    <xf numFmtId="0" fontId="13" fillId="0" borderId="6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2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2" xfId="0" applyFont="1" applyBorder="1" applyAlignment="1">
      <alignment horizontal="centerContinuous"/>
    </xf>
    <xf numFmtId="0" fontId="14" fillId="0" borderId="1" xfId="0" applyFont="1" applyBorder="1"/>
    <xf numFmtId="0" fontId="14" fillId="0" borderId="3" xfId="0" applyFont="1" applyBorder="1"/>
    <xf numFmtId="0" fontId="14" fillId="0" borderId="19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9" xfId="0" applyNumberFormat="1" applyFont="1" applyBorder="1"/>
    <xf numFmtId="0" fontId="14" fillId="0" borderId="4" xfId="0" applyFont="1" applyBorder="1"/>
    <xf numFmtId="0" fontId="14" fillId="0" borderId="21" xfId="0" applyFont="1" applyBorder="1"/>
    <xf numFmtId="37" fontId="8" fillId="0" borderId="9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8" xfId="0" applyNumberFormat="1" applyFont="1" applyBorder="1"/>
    <xf numFmtId="37" fontId="4" fillId="0" borderId="10" xfId="0" applyNumberFormat="1" applyFont="1" applyBorder="1"/>
    <xf numFmtId="0" fontId="14" fillId="0" borderId="5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9" xfId="0" applyNumberFormat="1" applyFont="1" applyBorder="1"/>
    <xf numFmtId="37" fontId="13" fillId="0" borderId="9" xfId="0" applyNumberFormat="1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0" xfId="0" applyFont="1" applyBorder="1"/>
    <xf numFmtId="0" fontId="14" fillId="0" borderId="7" xfId="0" applyFont="1" applyBorder="1"/>
    <xf numFmtId="0" fontId="14" fillId="0" borderId="8" xfId="0" applyFont="1" applyBorder="1"/>
    <xf numFmtId="37" fontId="20" fillId="0" borderId="9" xfId="0" applyNumberFormat="1" applyFont="1" applyBorder="1"/>
    <xf numFmtId="0" fontId="14" fillId="0" borderId="22" xfId="0" applyFont="1" applyBorder="1"/>
    <xf numFmtId="37" fontId="15" fillId="0" borderId="9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8" xfId="0" applyFont="1" applyBorder="1"/>
    <xf numFmtId="0" fontId="21" fillId="0" borderId="0" xfId="0" applyFont="1"/>
    <xf numFmtId="0" fontId="13" fillId="0" borderId="6" xfId="0" applyFont="1" applyBorder="1"/>
    <xf numFmtId="0" fontId="13" fillId="0" borderId="1" xfId="0" applyFont="1" applyBorder="1"/>
    <xf numFmtId="0" fontId="15" fillId="0" borderId="1" xfId="0" applyFont="1" applyBorder="1" applyAlignment="1">
      <alignment horizontal="right"/>
    </xf>
    <xf numFmtId="0" fontId="22" fillId="0" borderId="2" xfId="0" applyFont="1" applyBorder="1" applyAlignment="1">
      <alignment horizontal="center"/>
    </xf>
    <xf numFmtId="0" fontId="13" fillId="0" borderId="23" xfId="0" applyFont="1" applyBorder="1"/>
    <xf numFmtId="0" fontId="14" fillId="0" borderId="24" xfId="0" applyFont="1" applyBorder="1"/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Border="1"/>
    <xf numFmtId="0" fontId="14" fillId="0" borderId="26" xfId="0" applyFont="1" applyBorder="1"/>
    <xf numFmtId="0" fontId="14" fillId="0" borderId="27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6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7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7" xfId="0" applyFont="1" applyBorder="1" applyAlignment="1">
      <alignment horizontal="left"/>
    </xf>
    <xf numFmtId="5" fontId="14" fillId="0" borderId="27" xfId="0" applyNumberFormat="1" applyFont="1" applyBorder="1"/>
    <xf numFmtId="0" fontId="16" fillId="0" borderId="19" xfId="0" applyFont="1" applyBorder="1"/>
    <xf numFmtId="0" fontId="14" fillId="0" borderId="28" xfId="0" applyFont="1" applyBorder="1"/>
    <xf numFmtId="0" fontId="14" fillId="0" borderId="29" xfId="0" applyFont="1" applyBorder="1"/>
    <xf numFmtId="10" fontId="14" fillId="0" borderId="29" xfId="0" applyNumberFormat="1" applyFont="1" applyBorder="1"/>
    <xf numFmtId="5" fontId="14" fillId="0" borderId="30" xfId="0" applyNumberFormat="1" applyFont="1" applyBorder="1"/>
    <xf numFmtId="0" fontId="14" fillId="0" borderId="25" xfId="0" applyFont="1" applyBorder="1"/>
    <xf numFmtId="0" fontId="15" fillId="0" borderId="1" xfId="0" applyFont="1" applyBorder="1" applyAlignment="1">
      <alignment horizontal="center"/>
    </xf>
    <xf numFmtId="2" fontId="14" fillId="0" borderId="0" xfId="0" applyNumberFormat="1" applyFont="1" applyBorder="1"/>
    <xf numFmtId="0" fontId="20" fillId="0" borderId="3" xfId="0" applyFont="1" applyBorder="1"/>
    <xf numFmtId="2" fontId="14" fillId="0" borderId="29" xfId="0" applyNumberFormat="1" applyFont="1" applyBorder="1"/>
    <xf numFmtId="0" fontId="14" fillId="0" borderId="30" xfId="0" applyFont="1" applyBorder="1"/>
    <xf numFmtId="0" fontId="14" fillId="0" borderId="0" xfId="0" applyFont="1" applyBorder="1" applyAlignment="1">
      <alignment horizontal="left"/>
    </xf>
    <xf numFmtId="0" fontId="25" fillId="0" borderId="3" xfId="0" applyFont="1" applyBorder="1"/>
    <xf numFmtId="0" fontId="13" fillId="0" borderId="31" xfId="0" applyFont="1" applyBorder="1" applyAlignment="1">
      <alignment horizontal="centerContinuous"/>
    </xf>
    <xf numFmtId="0" fontId="14" fillId="0" borderId="32" xfId="0" applyFont="1" applyBorder="1" applyAlignment="1">
      <alignment horizontal="centerContinuous"/>
    </xf>
    <xf numFmtId="0" fontId="23" fillId="0" borderId="3" xfId="0" applyFont="1" applyBorder="1" applyAlignment="1">
      <alignment horizontal="centerContinuous"/>
    </xf>
    <xf numFmtId="10" fontId="23" fillId="0" borderId="0" xfId="0" applyNumberFormat="1" applyFont="1" applyBorder="1"/>
    <xf numFmtId="10" fontId="23" fillId="0" borderId="19" xfId="0" applyNumberFormat="1" applyFont="1" applyBorder="1"/>
    <xf numFmtId="38" fontId="13" fillId="0" borderId="28" xfId="0" applyNumberFormat="1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165" fontId="14" fillId="0" borderId="0" xfId="0" applyNumberFormat="1" applyFont="1" applyBorder="1"/>
    <xf numFmtId="0" fontId="15" fillId="0" borderId="2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6" fontId="20" fillId="0" borderId="19" xfId="0" applyNumberFormat="1" applyFont="1" applyBorder="1"/>
    <xf numFmtId="3" fontId="14" fillId="0" borderId="0" xfId="0" applyNumberFormat="1" applyFont="1" applyBorder="1"/>
    <xf numFmtId="0" fontId="14" fillId="0" borderId="19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5" fillId="0" borderId="3" xfId="0" applyFont="1" applyBorder="1"/>
    <xf numFmtId="10" fontId="16" fillId="0" borderId="0" xfId="0" applyNumberFormat="1" applyFont="1" applyBorder="1" applyAlignment="1">
      <alignment horizontal="center"/>
    </xf>
    <xf numFmtId="10" fontId="14" fillId="0" borderId="19" xfId="0" applyNumberFormat="1" applyFont="1" applyBorder="1"/>
    <xf numFmtId="0" fontId="2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29" fillId="0" borderId="0" xfId="0" applyFont="1" applyBorder="1"/>
    <xf numFmtId="0" fontId="14" fillId="0" borderId="3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19" xfId="0" applyFont="1" applyFill="1" applyBorder="1"/>
    <xf numFmtId="0" fontId="13" fillId="0" borderId="4" xfId="0" applyFont="1" applyBorder="1"/>
    <xf numFmtId="0" fontId="13" fillId="0" borderId="5" xfId="0" applyFont="1" applyBorder="1"/>
    <xf numFmtId="6" fontId="13" fillId="0" borderId="21" xfId="0" applyNumberFormat="1" applyFont="1" applyBorder="1"/>
    <xf numFmtId="8" fontId="14" fillId="0" borderId="22" xfId="0" applyNumberFormat="1" applyFont="1" applyBorder="1"/>
    <xf numFmtId="10" fontId="14" fillId="0" borderId="0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0" fontId="30" fillId="0" borderId="5" xfId="0" applyNumberFormat="1" applyFont="1" applyBorder="1" applyAlignment="1">
      <alignment horizontal="center"/>
    </xf>
    <xf numFmtId="6" fontId="30" fillId="0" borderId="21" xfId="0" applyNumberFormat="1" applyFont="1" applyBorder="1"/>
    <xf numFmtId="37" fontId="14" fillId="0" borderId="0" xfId="0" applyNumberFormat="1" applyFont="1" applyBorder="1"/>
    <xf numFmtId="37" fontId="20" fillId="0" borderId="0" xfId="0" applyNumberFormat="1" applyFont="1" applyBorder="1"/>
    <xf numFmtId="37" fontId="30" fillId="0" borderId="0" xfId="0" applyNumberFormat="1" applyFont="1" applyBorder="1"/>
    <xf numFmtId="37" fontId="30" fillId="0" borderId="9" xfId="0" applyNumberFormat="1" applyFont="1" applyBorder="1"/>
    <xf numFmtId="167" fontId="14" fillId="0" borderId="0" xfId="0" applyNumberFormat="1" applyFont="1" applyBorder="1"/>
    <xf numFmtId="10" fontId="13" fillId="0" borderId="3" xfId="0" applyNumberFormat="1" applyFont="1" applyBorder="1" applyAlignment="1">
      <alignment horizontal="right"/>
    </xf>
    <xf numFmtId="37" fontId="14" fillId="0" borderId="19" xfId="0" applyNumberFormat="1" applyFont="1" applyBorder="1"/>
    <xf numFmtId="0" fontId="30" fillId="0" borderId="3" xfId="0" applyFont="1" applyBorder="1"/>
    <xf numFmtId="0" fontId="30" fillId="0" borderId="0" xfId="0" applyFont="1"/>
    <xf numFmtId="0" fontId="14" fillId="0" borderId="8" xfId="0" applyFont="1" applyBorder="1" applyAlignment="1">
      <alignment horizontal="centerContinuous"/>
    </xf>
    <xf numFmtId="0" fontId="14" fillId="0" borderId="22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3" xfId="0" applyNumberFormat="1" applyFont="1" applyBorder="1"/>
    <xf numFmtId="5" fontId="14" fillId="0" borderId="3" xfId="0" applyNumberFormat="1" applyFont="1" applyBorder="1"/>
    <xf numFmtId="5" fontId="14" fillId="0" borderId="0" xfId="0" applyNumberFormat="1" applyFont="1" applyBorder="1"/>
    <xf numFmtId="5" fontId="14" fillId="0" borderId="19" xfId="0" applyNumberFormat="1" applyFont="1" applyBorder="1"/>
    <xf numFmtId="5" fontId="14" fillId="0" borderId="4" xfId="0" applyNumberFormat="1" applyFont="1" applyBorder="1"/>
    <xf numFmtId="5" fontId="14" fillId="0" borderId="5" xfId="0" applyNumberFormat="1" applyFont="1" applyBorder="1"/>
    <xf numFmtId="5" fontId="14" fillId="0" borderId="21" xfId="0" applyNumberFormat="1" applyFont="1" applyBorder="1"/>
    <xf numFmtId="0" fontId="31" fillId="0" borderId="23" xfId="0" applyFont="1" applyBorder="1" applyAlignment="1">
      <alignment horizontal="centerContinuous"/>
    </xf>
    <xf numFmtId="0" fontId="31" fillId="0" borderId="25" xfId="0" applyFont="1" applyBorder="1" applyAlignment="1">
      <alignment horizontal="centerContinuous"/>
    </xf>
    <xf numFmtId="0" fontId="31" fillId="0" borderId="28" xfId="0" applyFont="1" applyBorder="1" applyAlignment="1">
      <alignment horizontal="centerContinuous"/>
    </xf>
    <xf numFmtId="0" fontId="31" fillId="0" borderId="30" xfId="0" applyFont="1" applyBorder="1" applyAlignment="1">
      <alignment horizontal="centerContinuous"/>
    </xf>
    <xf numFmtId="170" fontId="14" fillId="0" borderId="0" xfId="0" applyNumberFormat="1" applyFont="1"/>
    <xf numFmtId="170" fontId="16" fillId="0" borderId="0" xfId="0" applyNumberFormat="1" applyFont="1" applyBorder="1"/>
    <xf numFmtId="37" fontId="32" fillId="0" borderId="9" xfId="0" applyNumberFormat="1" applyFont="1" applyBorder="1"/>
    <xf numFmtId="37" fontId="32" fillId="0" borderId="0" xfId="0" applyNumberFormat="1" applyFont="1" applyBorder="1"/>
    <xf numFmtId="38" fontId="21" fillId="0" borderId="0" xfId="0" applyNumberFormat="1" applyFont="1"/>
    <xf numFmtId="0" fontId="33" fillId="0" borderId="0" xfId="0" applyFont="1"/>
    <xf numFmtId="0" fontId="19" fillId="0" borderId="1" xfId="0" applyFont="1" applyBorder="1"/>
    <xf numFmtId="0" fontId="19" fillId="0" borderId="4" xfId="0" applyFont="1" applyBorder="1"/>
    <xf numFmtId="0" fontId="19" fillId="0" borderId="5" xfId="0" applyFont="1" applyBorder="1"/>
    <xf numFmtId="0" fontId="13" fillId="0" borderId="2" xfId="0" applyFont="1" applyBorder="1"/>
    <xf numFmtId="0" fontId="19" fillId="0" borderId="3" xfId="0" applyFont="1" applyBorder="1"/>
    <xf numFmtId="0" fontId="19" fillId="0" borderId="0" xfId="0" applyFont="1" applyBorder="1"/>
    <xf numFmtId="0" fontId="13" fillId="0" borderId="19" xfId="0" applyFont="1" applyBorder="1"/>
    <xf numFmtId="0" fontId="13" fillId="0" borderId="21" xfId="0" applyFont="1" applyBorder="1"/>
    <xf numFmtId="0" fontId="35" fillId="0" borderId="6" xfId="0" applyFont="1" applyBorder="1"/>
    <xf numFmtId="37" fontId="13" fillId="0" borderId="0" xfId="0" applyNumberFormat="1" applyFont="1" applyBorder="1"/>
    <xf numFmtId="37" fontId="34" fillId="0" borderId="0" xfId="0" applyNumberFormat="1" applyFont="1" applyBorder="1"/>
    <xf numFmtId="10" fontId="14" fillId="0" borderId="0" xfId="2" applyNumberFormat="1" applyFont="1" applyBorder="1"/>
    <xf numFmtId="37" fontId="14" fillId="0" borderId="5" xfId="0" applyNumberFormat="1" applyFont="1" applyBorder="1"/>
    <xf numFmtId="37" fontId="14" fillId="0" borderId="21" xfId="0" applyNumberFormat="1" applyFont="1" applyBorder="1"/>
    <xf numFmtId="10" fontId="14" fillId="0" borderId="5" xfId="0" applyNumberFormat="1" applyFont="1" applyBorder="1"/>
    <xf numFmtId="170" fontId="14" fillId="0" borderId="0" xfId="0" applyNumberFormat="1" applyFont="1" applyBorder="1" applyAlignment="1">
      <alignment horizontal="center"/>
    </xf>
    <xf numFmtId="170" fontId="14" fillId="0" borderId="0" xfId="0" applyNumberFormat="1" applyFont="1" applyBorder="1"/>
    <xf numFmtId="170" fontId="0" fillId="0" borderId="0" xfId="0" applyNumberFormat="1"/>
    <xf numFmtId="0" fontId="18" fillId="0" borderId="6" xfId="0" applyFont="1" applyFill="1" applyBorder="1"/>
    <xf numFmtId="0" fontId="19" fillId="0" borderId="1" xfId="0" applyFont="1" applyFill="1" applyBorder="1"/>
    <xf numFmtId="0" fontId="19" fillId="0" borderId="2" xfId="0" applyFont="1" applyFill="1" applyBorder="1"/>
    <xf numFmtId="0" fontId="18" fillId="0" borderId="3" xfId="0" applyFont="1" applyFill="1" applyBorder="1"/>
    <xf numFmtId="0" fontId="19" fillId="0" borderId="0" xfId="0" applyFont="1" applyFill="1" applyBorder="1"/>
    <xf numFmtId="0" fontId="19" fillId="0" borderId="19" xfId="0" applyFont="1" applyFill="1" applyBorder="1"/>
    <xf numFmtId="0" fontId="18" fillId="0" borderId="4" xfId="0" applyFont="1" applyFill="1" applyBorder="1"/>
    <xf numFmtId="0" fontId="19" fillId="0" borderId="5" xfId="0" applyFont="1" applyFill="1" applyBorder="1"/>
    <xf numFmtId="0" fontId="19" fillId="0" borderId="21" xfId="0" applyFont="1" applyFill="1" applyBorder="1"/>
    <xf numFmtId="0" fontId="14" fillId="0" borderId="0" xfId="0" applyFont="1" applyFill="1" applyBorder="1"/>
    <xf numFmtId="0" fontId="14" fillId="0" borderId="19" xfId="0" applyFont="1" applyFill="1" applyBorder="1" applyAlignment="1">
      <alignment horizontal="right"/>
    </xf>
    <xf numFmtId="0" fontId="16" fillId="0" borderId="0" xfId="0" applyFont="1" applyFill="1" applyBorder="1"/>
    <xf numFmtId="0" fontId="14" fillId="0" borderId="4" xfId="0" applyFont="1" applyFill="1" applyBorder="1"/>
    <xf numFmtId="0" fontId="14" fillId="0" borderId="21" xfId="0" applyFont="1" applyFill="1" applyBorder="1" applyAlignment="1">
      <alignment horizontal="right"/>
    </xf>
    <xf numFmtId="0" fontId="13" fillId="0" borderId="3" xfId="0" applyFont="1" applyFill="1" applyBorder="1"/>
    <xf numFmtId="0" fontId="13" fillId="0" borderId="0" xfId="0" applyFont="1" applyFill="1" applyBorder="1"/>
    <xf numFmtId="6" fontId="13" fillId="0" borderId="19" xfId="0" applyNumberFormat="1" applyFont="1" applyFill="1" applyBorder="1"/>
    <xf numFmtId="6" fontId="15" fillId="0" borderId="19" xfId="0" applyNumberFormat="1" applyFont="1" applyFill="1" applyBorder="1"/>
    <xf numFmtId="0" fontId="29" fillId="0" borderId="19" xfId="0" applyFont="1" applyBorder="1" applyAlignment="1">
      <alignment horizontal="left"/>
    </xf>
    <xf numFmtId="0" fontId="13" fillId="0" borderId="2" xfId="0" applyFont="1" applyFill="1" applyBorder="1"/>
    <xf numFmtId="0" fontId="19" fillId="0" borderId="3" xfId="0" applyFont="1" applyFill="1" applyBorder="1"/>
    <xf numFmtId="0" fontId="13" fillId="0" borderId="19" xfId="0" applyFont="1" applyFill="1" applyBorder="1"/>
    <xf numFmtId="0" fontId="19" fillId="0" borderId="4" xfId="0" applyFont="1" applyFill="1" applyBorder="1"/>
    <xf numFmtId="0" fontId="13" fillId="0" borderId="21" xfId="0" applyFont="1" applyFill="1" applyBorder="1"/>
    <xf numFmtId="37" fontId="14" fillId="0" borderId="5" xfId="1" applyNumberFormat="1" applyFont="1" applyBorder="1"/>
    <xf numFmtId="0" fontId="13" fillId="0" borderId="18" xfId="0" applyFont="1" applyBorder="1" applyAlignment="1">
      <alignment horizontal="center"/>
    </xf>
    <xf numFmtId="37" fontId="13" fillId="0" borderId="25" xfId="0" applyNumberFormat="1" applyFont="1" applyBorder="1"/>
    <xf numFmtId="10" fontId="13" fillId="0" borderId="27" xfId="0" applyNumberFormat="1" applyFont="1" applyBorder="1"/>
    <xf numFmtId="0" fontId="13" fillId="0" borderId="28" xfId="0" applyFont="1" applyBorder="1"/>
    <xf numFmtId="0" fontId="13" fillId="0" borderId="29" xfId="0" applyFont="1" applyBorder="1"/>
    <xf numFmtId="37" fontId="13" fillId="0" borderId="30" xfId="0" applyNumberFormat="1" applyFont="1" applyBorder="1"/>
    <xf numFmtId="0" fontId="14" fillId="0" borderId="2" xfId="0" applyFont="1" applyFill="1" applyBorder="1"/>
    <xf numFmtId="0" fontId="14" fillId="0" borderId="21" xfId="0" applyFont="1" applyFill="1" applyBorder="1"/>
    <xf numFmtId="5" fontId="20" fillId="0" borderId="27" xfId="0" applyNumberFormat="1" applyFont="1" applyBorder="1"/>
    <xf numFmtId="0" fontId="24" fillId="0" borderId="7" xfId="0" applyFont="1" applyFill="1" applyBorder="1"/>
    <xf numFmtId="0" fontId="24" fillId="0" borderId="8" xfId="0" applyFont="1" applyFill="1" applyBorder="1"/>
    <xf numFmtId="37" fontId="24" fillId="0" borderId="8" xfId="0" applyNumberFormat="1" applyFont="1" applyFill="1" applyBorder="1"/>
    <xf numFmtId="37" fontId="24" fillId="0" borderId="20" xfId="0" applyNumberFormat="1" applyFont="1" applyFill="1" applyBorder="1"/>
    <xf numFmtId="37" fontId="14" fillId="0" borderId="9" xfId="0" quotePrefix="1" applyNumberFormat="1" applyFont="1" applyBorder="1"/>
    <xf numFmtId="0" fontId="13" fillId="0" borderId="7" xfId="0" applyFont="1" applyFill="1" applyBorder="1"/>
    <xf numFmtId="0" fontId="13" fillId="0" borderId="8" xfId="0" applyFont="1" applyFill="1" applyBorder="1"/>
    <xf numFmtId="37" fontId="13" fillId="0" borderId="8" xfId="0" applyNumberFormat="1" applyFont="1" applyFill="1" applyBorder="1"/>
    <xf numFmtId="37" fontId="13" fillId="0" borderId="20" xfId="0" applyNumberFormat="1" applyFont="1" applyFill="1" applyBorder="1"/>
    <xf numFmtId="0" fontId="13" fillId="0" borderId="1" xfId="0" applyFont="1" applyFill="1" applyBorder="1"/>
    <xf numFmtId="0" fontId="13" fillId="0" borderId="5" xfId="0" applyFont="1" applyFill="1" applyBorder="1"/>
    <xf numFmtId="0" fontId="27" fillId="0" borderId="0" xfId="0" applyFont="1" applyFill="1" applyBorder="1" applyAlignment="1">
      <alignment horizontal="center"/>
    </xf>
    <xf numFmtId="6" fontId="14" fillId="0" borderId="19" xfId="0" applyNumberFormat="1" applyFont="1" applyFill="1" applyBorder="1"/>
    <xf numFmtId="170" fontId="14" fillId="0" borderId="0" xfId="0" applyNumberFormat="1" applyFont="1" applyFill="1" applyBorder="1" applyAlignment="1">
      <alignment horizontal="center"/>
    </xf>
    <xf numFmtId="10" fontId="16" fillId="0" borderId="0" xfId="0" applyNumberFormat="1" applyFont="1" applyFill="1" applyBorder="1" applyAlignment="1">
      <alignment horizontal="center"/>
    </xf>
    <xf numFmtId="10" fontId="14" fillId="0" borderId="19" xfId="0" applyNumberFormat="1" applyFont="1" applyFill="1" applyBorder="1"/>
    <xf numFmtId="0" fontId="10" fillId="0" borderId="6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9" fillId="0" borderId="3" xfId="0" applyFont="1" applyFill="1" applyBorder="1"/>
    <xf numFmtId="0" fontId="5" fillId="0" borderId="0" xfId="0" applyFont="1" applyFill="1" applyBorder="1"/>
    <xf numFmtId="0" fontId="5" fillId="0" borderId="19" xfId="0" applyFont="1" applyFill="1" applyBorder="1"/>
    <xf numFmtId="0" fontId="9" fillId="0" borderId="4" xfId="0" applyFont="1" applyFill="1" applyBorder="1"/>
    <xf numFmtId="0" fontId="5" fillId="0" borderId="5" xfId="0" applyFont="1" applyFill="1" applyBorder="1"/>
    <xf numFmtId="0" fontId="5" fillId="0" borderId="21" xfId="0" applyFont="1" applyFill="1" applyBorder="1"/>
    <xf numFmtId="0" fontId="9" fillId="0" borderId="0" xfId="0" applyFont="1" applyFill="1" applyBorder="1"/>
    <xf numFmtId="0" fontId="7" fillId="0" borderId="0" xfId="0" applyFont="1" applyBorder="1" applyAlignment="1">
      <alignment horizontal="right"/>
    </xf>
    <xf numFmtId="0" fontId="4" fillId="0" borderId="18" xfId="0" applyFont="1" applyBorder="1"/>
    <xf numFmtId="3" fontId="5" fillId="0" borderId="5" xfId="0" applyNumberFormat="1" applyFont="1" applyBorder="1"/>
    <xf numFmtId="3" fontId="5" fillId="0" borderId="18" xfId="0" applyNumberFormat="1" applyFont="1" applyBorder="1"/>
    <xf numFmtId="0" fontId="4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4" fillId="0" borderId="21" xfId="0" applyNumberFormat="1" applyFont="1" applyBorder="1"/>
    <xf numFmtId="0" fontId="5" fillId="0" borderId="11" xfId="0" applyFont="1" applyBorder="1"/>
    <xf numFmtId="0" fontId="5" fillId="0" borderId="14" xfId="0" applyFont="1" applyBorder="1"/>
    <xf numFmtId="0" fontId="4" fillId="0" borderId="33" xfId="0" applyFont="1" applyBorder="1"/>
    <xf numFmtId="0" fontId="4" fillId="0" borderId="34" xfId="0" applyFont="1" applyBorder="1"/>
    <xf numFmtId="37" fontId="4" fillId="0" borderId="34" xfId="0" applyNumberFormat="1" applyFont="1" applyBorder="1"/>
    <xf numFmtId="37" fontId="4" fillId="0" borderId="35" xfId="0" applyNumberFormat="1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19" xfId="0" applyFont="1" applyFill="1" applyBorder="1"/>
    <xf numFmtId="0" fontId="3" fillId="0" borderId="5" xfId="0" applyFont="1" applyFill="1" applyBorder="1"/>
    <xf numFmtId="0" fontId="3" fillId="0" borderId="21" xfId="0" applyFont="1" applyFill="1" applyBorder="1"/>
    <xf numFmtId="6" fontId="5" fillId="0" borderId="3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10" fillId="0" borderId="7" xfId="0" applyFont="1" applyFill="1" applyBorder="1"/>
    <xf numFmtId="0" fontId="3" fillId="0" borderId="8" xfId="0" applyFont="1" applyFill="1" applyBorder="1"/>
    <xf numFmtId="0" fontId="3" fillId="0" borderId="22" xfId="0" applyFont="1" applyFill="1" applyBorder="1"/>
    <xf numFmtId="0" fontId="15" fillId="0" borderId="0" xfId="0" applyFont="1" applyBorder="1"/>
    <xf numFmtId="0" fontId="15" fillId="0" borderId="5" xfId="0" applyFont="1" applyBorder="1"/>
    <xf numFmtId="6" fontId="31" fillId="0" borderId="3" xfId="0" applyNumberFormat="1" applyFont="1" applyBorder="1"/>
    <xf numFmtId="0" fontId="31" fillId="0" borderId="6" xfId="0" applyFont="1" applyBorder="1"/>
    <xf numFmtId="0" fontId="31" fillId="0" borderId="3" xfId="0" applyFont="1" applyBorder="1"/>
    <xf numFmtId="0" fontId="31" fillId="0" borderId="33" xfId="0" applyFont="1" applyBorder="1" applyAlignment="1">
      <alignment horizontal="centerContinuous"/>
    </xf>
    <xf numFmtId="0" fontId="14" fillId="0" borderId="34" xfId="0" applyFont="1" applyBorder="1" applyAlignment="1">
      <alignment horizontal="centerContinuous"/>
    </xf>
    <xf numFmtId="0" fontId="14" fillId="0" borderId="34" xfId="0" applyFont="1" applyBorder="1"/>
    <xf numFmtId="5" fontId="14" fillId="0" borderId="34" xfId="0" applyNumberFormat="1" applyFont="1" applyBorder="1"/>
    <xf numFmtId="5" fontId="14" fillId="0" borderId="35" xfId="0" applyNumberFormat="1" applyFont="1" applyBorder="1"/>
    <xf numFmtId="37" fontId="14" fillId="0" borderId="0" xfId="0" quotePrefix="1" applyNumberFormat="1" applyFont="1" applyBorder="1"/>
    <xf numFmtId="0" fontId="31" fillId="0" borderId="4" xfId="0" applyFont="1" applyBorder="1"/>
    <xf numFmtId="0" fontId="14" fillId="0" borderId="36" xfId="0" applyFont="1" applyBorder="1" applyAlignment="1">
      <alignment horizontal="center"/>
    </xf>
    <xf numFmtId="0" fontId="14" fillId="0" borderId="37" xfId="0" applyFont="1" applyBorder="1"/>
    <xf numFmtId="167" fontId="14" fillId="0" borderId="38" xfId="0" applyNumberFormat="1" applyFont="1" applyBorder="1"/>
    <xf numFmtId="6" fontId="14" fillId="0" borderId="34" xfId="0" applyNumberFormat="1" applyFont="1" applyBorder="1"/>
    <xf numFmtId="0" fontId="31" fillId="0" borderId="7" xfId="0" applyFont="1" applyBorder="1"/>
    <xf numFmtId="0" fontId="31" fillId="0" borderId="7" xfId="0" applyFont="1" applyBorder="1" applyAlignment="1">
      <alignment horizontal="centerContinuous"/>
    </xf>
    <xf numFmtId="0" fontId="38" fillId="0" borderId="9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14" fillId="0" borderId="3" xfId="0" applyFont="1" applyBorder="1" applyAlignment="1"/>
    <xf numFmtId="0" fontId="13" fillId="0" borderId="4" xfId="0" applyFont="1" applyFill="1" applyBorder="1"/>
    <xf numFmtId="37" fontId="13" fillId="0" borderId="5" xfId="0" applyNumberFormat="1" applyFont="1" applyFill="1" applyBorder="1"/>
    <xf numFmtId="37" fontId="13" fillId="0" borderId="18" xfId="0" applyNumberFormat="1" applyFont="1" applyFill="1" applyBorder="1"/>
    <xf numFmtId="0" fontId="37" fillId="0" borderId="19" xfId="0" applyFont="1" applyBorder="1"/>
    <xf numFmtId="0" fontId="31" fillId="0" borderId="33" xfId="0" applyFont="1" applyBorder="1"/>
    <xf numFmtId="0" fontId="31" fillId="0" borderId="34" xfId="0" applyFont="1" applyBorder="1"/>
    <xf numFmtId="0" fontId="31" fillId="0" borderId="35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37" fontId="4" fillId="0" borderId="40" xfId="0" applyNumberFormat="1" applyFont="1" applyBorder="1"/>
    <xf numFmtId="37" fontId="4" fillId="0" borderId="15" xfId="0" applyNumberFormat="1" applyFont="1" applyBorder="1"/>
    <xf numFmtId="37" fontId="4" fillId="0" borderId="17" xfId="0" applyNumberFormat="1" applyFont="1" applyBorder="1"/>
    <xf numFmtId="0" fontId="36" fillId="0" borderId="0" xfId="0" applyFont="1" applyBorder="1"/>
    <xf numFmtId="0" fontId="14" fillId="0" borderId="0" xfId="0" applyNumberFormat="1" applyFont="1" applyBorder="1" applyAlignment="1">
      <alignment horizontal="center"/>
    </xf>
    <xf numFmtId="5" fontId="21" fillId="0" borderId="5" xfId="0" applyNumberFormat="1" applyFont="1" applyBorder="1"/>
    <xf numFmtId="0" fontId="34" fillId="0" borderId="0" xfId="0" applyFont="1"/>
    <xf numFmtId="0" fontId="27" fillId="0" borderId="0" xfId="0" applyFont="1"/>
    <xf numFmtId="6" fontId="14" fillId="0" borderId="0" xfId="0" applyNumberFormat="1" applyFont="1"/>
    <xf numFmtId="0" fontId="28" fillId="0" borderId="2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40" fillId="0" borderId="16" xfId="0" applyFont="1" applyBorder="1" applyAlignment="1">
      <alignment horizontal="center"/>
    </xf>
    <xf numFmtId="37" fontId="33" fillId="0" borderId="0" xfId="0" applyNumberFormat="1" applyFont="1" applyBorder="1"/>
    <xf numFmtId="37" fontId="4" fillId="0" borderId="0" xfId="0" quotePrefix="1" applyNumberFormat="1" applyFont="1" applyBorder="1"/>
    <xf numFmtId="0" fontId="41" fillId="0" borderId="0" xfId="0" applyFont="1" applyBorder="1"/>
    <xf numFmtId="37" fontId="41" fillId="0" borderId="0" xfId="0" applyNumberFormat="1" applyFont="1" applyBorder="1"/>
    <xf numFmtId="0" fontId="42" fillId="0" borderId="0" xfId="0" applyFont="1" applyBorder="1"/>
    <xf numFmtId="0" fontId="1" fillId="0" borderId="0" xfId="0" applyFont="1" applyBorder="1"/>
    <xf numFmtId="37" fontId="42" fillId="0" borderId="9" xfId="0" applyNumberFormat="1" applyFont="1" applyBorder="1"/>
    <xf numFmtId="37" fontId="42" fillId="0" borderId="0" xfId="0" applyNumberFormat="1" applyFont="1" applyBorder="1"/>
    <xf numFmtId="5" fontId="14" fillId="0" borderId="10" xfId="0" applyNumberFormat="1" applyFont="1" applyBorder="1"/>
    <xf numFmtId="5" fontId="14" fillId="0" borderId="9" xfId="0" applyNumberFormat="1" applyFont="1" applyBorder="1"/>
    <xf numFmtId="37" fontId="14" fillId="0" borderId="2" xfId="0" applyNumberFormat="1" applyFont="1" applyBorder="1" applyAlignment="1">
      <alignment horizontal="right"/>
    </xf>
    <xf numFmtId="37" fontId="14" fillId="0" borderId="19" xfId="0" applyNumberFormat="1" applyFont="1" applyBorder="1" applyAlignment="1">
      <alignment horizontal="right"/>
    </xf>
    <xf numFmtId="5" fontId="14" fillId="0" borderId="18" xfId="0" applyNumberFormat="1" applyFont="1" applyBorder="1"/>
    <xf numFmtId="0" fontId="44" fillId="2" borderId="0" xfId="0" applyFont="1" applyFill="1" applyBorder="1"/>
    <xf numFmtId="9" fontId="44" fillId="2" borderId="0" xfId="0" applyNumberFormat="1" applyFont="1" applyFill="1" applyBorder="1"/>
    <xf numFmtId="3" fontId="44" fillId="2" borderId="0" xfId="0" applyNumberFormat="1" applyFont="1" applyFill="1" applyBorder="1"/>
    <xf numFmtId="16" fontId="44" fillId="2" borderId="0" xfId="0" applyNumberFormat="1" applyFont="1" applyFill="1" applyBorder="1"/>
    <xf numFmtId="0" fontId="44" fillId="2" borderId="19" xfId="0" applyFont="1" applyFill="1" applyBorder="1"/>
    <xf numFmtId="0" fontId="44" fillId="2" borderId="21" xfId="0" applyFont="1" applyFill="1" applyBorder="1" applyAlignment="1">
      <alignment horizontal="right"/>
    </xf>
    <xf numFmtId="10" fontId="44" fillId="2" borderId="19" xfId="0" applyNumberFormat="1" applyFont="1" applyFill="1" applyBorder="1"/>
    <xf numFmtId="10" fontId="44" fillId="2" borderId="21" xfId="0" applyNumberFormat="1" applyFont="1" applyFill="1" applyBorder="1"/>
    <xf numFmtId="10" fontId="46" fillId="2" borderId="2" xfId="0" applyNumberFormat="1" applyFont="1" applyFill="1" applyBorder="1"/>
    <xf numFmtId="6" fontId="44" fillId="2" borderId="0" xfId="0" applyNumberFormat="1" applyFont="1" applyFill="1" applyBorder="1"/>
    <xf numFmtId="6" fontId="44" fillId="2" borderId="5" xfId="0" applyNumberFormat="1" applyFont="1" applyFill="1" applyBorder="1"/>
    <xf numFmtId="10" fontId="44" fillId="2" borderId="5" xfId="0" applyNumberFormat="1" applyFont="1" applyFill="1" applyBorder="1"/>
    <xf numFmtId="10" fontId="44" fillId="2" borderId="0" xfId="0" applyNumberFormat="1" applyFont="1" applyFill="1" applyBorder="1"/>
    <xf numFmtId="0" fontId="44" fillId="2" borderId="5" xfId="0" applyFont="1" applyFill="1" applyBorder="1"/>
    <xf numFmtId="6" fontId="46" fillId="2" borderId="0" xfId="0" applyNumberFormat="1" applyFont="1" applyFill="1" applyBorder="1"/>
    <xf numFmtId="6" fontId="44" fillId="2" borderId="19" xfId="0" applyNumberFormat="1" applyFont="1" applyFill="1" applyBorder="1"/>
    <xf numFmtId="6" fontId="45" fillId="2" borderId="19" xfId="0" applyNumberFormat="1" applyFont="1" applyFill="1" applyBorder="1"/>
    <xf numFmtId="2" fontId="44" fillId="2" borderId="0" xfId="0" applyNumberFormat="1" applyFont="1" applyFill="1" applyBorder="1"/>
    <xf numFmtId="0" fontId="44" fillId="2" borderId="29" xfId="0" applyFont="1" applyFill="1" applyBorder="1"/>
    <xf numFmtId="10" fontId="44" fillId="2" borderId="0" xfId="0" applyNumberFormat="1" applyFont="1" applyFill="1" applyBorder="1" applyAlignment="1">
      <alignment horizontal="right"/>
    </xf>
    <xf numFmtId="10" fontId="46" fillId="2" borderId="0" xfId="0" applyNumberFormat="1" applyFont="1" applyFill="1" applyBorder="1" applyAlignment="1">
      <alignment horizontal="right"/>
    </xf>
    <xf numFmtId="0" fontId="44" fillId="2" borderId="0" xfId="0" applyFont="1" applyFill="1" applyBorder="1" applyAlignment="1">
      <alignment horizontal="center"/>
    </xf>
    <xf numFmtId="9" fontId="44" fillId="2" borderId="0" xfId="0" applyNumberFormat="1" applyFont="1" applyFill="1" applyBorder="1" applyAlignment="1">
      <alignment horizontal="center"/>
    </xf>
    <xf numFmtId="10" fontId="44" fillId="2" borderId="0" xfId="0" applyNumberFormat="1" applyFont="1" applyFill="1" applyBorder="1" applyAlignment="1">
      <alignment horizontal="center"/>
    </xf>
    <xf numFmtId="10" fontId="45" fillId="2" borderId="0" xfId="0" applyNumberFormat="1" applyFont="1" applyFill="1" applyBorder="1" applyAlignment="1">
      <alignment horizontal="center"/>
    </xf>
    <xf numFmtId="10" fontId="30" fillId="0" borderId="0" xfId="0" applyNumberFormat="1" applyFont="1" applyBorder="1" applyAlignment="1">
      <alignment horizontal="center"/>
    </xf>
    <xf numFmtId="6" fontId="30" fillId="0" borderId="0" xfId="0" applyNumberFormat="1" applyFont="1" applyBorder="1"/>
    <xf numFmtId="10" fontId="13" fillId="0" borderId="19" xfId="2" applyNumberFormat="1" applyFont="1" applyBorder="1"/>
    <xf numFmtId="0" fontId="27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9" fontId="25" fillId="0" borderId="24" xfId="2" applyFont="1" applyBorder="1"/>
    <xf numFmtId="2" fontId="14" fillId="0" borderId="0" xfId="0" applyNumberFormat="1" applyFont="1"/>
    <xf numFmtId="2" fontId="14" fillId="0" borderId="8" xfId="0" applyNumberFormat="1" applyFont="1" applyBorder="1" applyAlignment="1">
      <alignment horizontal="right"/>
    </xf>
    <xf numFmtId="2" fontId="14" fillId="0" borderId="5" xfId="0" applyNumberFormat="1" applyFont="1" applyBorder="1" applyAlignment="1">
      <alignment horizontal="right"/>
    </xf>
    <xf numFmtId="7" fontId="44" fillId="2" borderId="0" xfId="0" applyNumberFormat="1" applyFont="1" applyFill="1" applyBorder="1"/>
    <xf numFmtId="200" fontId="13" fillId="0" borderId="8" xfId="1" applyNumberFormat="1" applyFont="1" applyBorder="1"/>
    <xf numFmtId="10" fontId="44" fillId="0" borderId="22" xfId="0" applyNumberFormat="1" applyFont="1" applyFill="1" applyBorder="1"/>
    <xf numFmtId="202" fontId="14" fillId="0" borderId="0" xfId="0" applyNumberFormat="1" applyFont="1"/>
    <xf numFmtId="3" fontId="14" fillId="3" borderId="5" xfId="0" applyNumberFormat="1" applyFont="1" applyFill="1" applyBorder="1"/>
    <xf numFmtId="37" fontId="14" fillId="0" borderId="0" xfId="0" quotePrefix="1" applyNumberFormat="1" applyFont="1" applyFill="1" applyBorder="1"/>
    <xf numFmtId="0" fontId="14" fillId="0" borderId="1" xfId="0" applyFont="1" applyFill="1" applyBorder="1"/>
    <xf numFmtId="3" fontId="14" fillId="3" borderId="0" xfId="0" applyNumberFormat="1" applyFont="1" applyFill="1" applyBorder="1"/>
    <xf numFmtId="9" fontId="4" fillId="0" borderId="0" xfId="2" applyFont="1"/>
    <xf numFmtId="180" fontId="4" fillId="0" borderId="0" xfId="2" applyNumberFormat="1" applyFont="1"/>
    <xf numFmtId="37" fontId="33" fillId="0" borderId="0" xfId="0" quotePrefix="1" applyNumberFormat="1" applyFont="1" applyBorder="1"/>
    <xf numFmtId="37" fontId="21" fillId="0" borderId="0" xfId="0" quotePrefix="1" applyNumberFormat="1" applyFont="1" applyBorder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9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180" fontId="4" fillId="4" borderId="28" xfId="2" applyNumberFormat="1" applyFont="1" applyFill="1" applyBorder="1"/>
    <xf numFmtId="180" fontId="4" fillId="4" borderId="29" xfId="2" applyNumberFormat="1" applyFont="1" applyFill="1" applyBorder="1"/>
    <xf numFmtId="0" fontId="4" fillId="4" borderId="29" xfId="0" applyFont="1" applyFill="1" applyBorder="1"/>
    <xf numFmtId="0" fontId="4" fillId="4" borderId="30" xfId="0" applyFont="1" applyFill="1" applyBorder="1"/>
    <xf numFmtId="0" fontId="20" fillId="0" borderId="0" xfId="0" applyFont="1" applyFill="1" applyBorder="1" applyAlignment="1">
      <alignment horizontal="center"/>
    </xf>
    <xf numFmtId="8" fontId="44" fillId="0" borderId="0" xfId="0" applyNumberFormat="1" applyFont="1" applyFill="1" applyBorder="1"/>
    <xf numFmtId="10" fontId="13" fillId="0" borderId="0" xfId="0" applyNumberFormat="1" applyFont="1" applyBorder="1"/>
    <xf numFmtId="37" fontId="31" fillId="0" borderId="0" xfId="0" applyNumberFormat="1" applyFont="1" applyBorder="1"/>
    <xf numFmtId="10" fontId="31" fillId="0" borderId="0" xfId="0" applyNumberFormat="1" applyFont="1" applyBorder="1"/>
    <xf numFmtId="9" fontId="44" fillId="2" borderId="0" xfId="2" applyFont="1" applyFill="1" applyBorder="1"/>
    <xf numFmtId="9" fontId="44" fillId="2" borderId="5" xfId="2" applyFont="1" applyFill="1" applyBorder="1"/>
    <xf numFmtId="203" fontId="44" fillId="2" borderId="0" xfId="1" applyNumberFormat="1" applyFont="1" applyFill="1" applyBorder="1"/>
    <xf numFmtId="10" fontId="44" fillId="2" borderId="5" xfId="0" applyNumberFormat="1" applyFont="1" applyFill="1" applyBorder="1" applyAlignment="1">
      <alignment horizontal="right"/>
    </xf>
    <xf numFmtId="0" fontId="21" fillId="0" borderId="0" xfId="0" applyFont="1" applyBorder="1"/>
    <xf numFmtId="6" fontId="46" fillId="0" borderId="0" xfId="0" applyNumberFormat="1" applyFont="1" applyFill="1" applyBorder="1"/>
    <xf numFmtId="9" fontId="14" fillId="3" borderId="0" xfId="0" applyNumberFormat="1" applyFont="1" applyFill="1" applyBorder="1"/>
    <xf numFmtId="0" fontId="29" fillId="0" borderId="0" xfId="0" applyFont="1" applyBorder="1" applyAlignment="1">
      <alignment horizontal="center"/>
    </xf>
    <xf numFmtId="9" fontId="25" fillId="0" borderId="0" xfId="2" applyFont="1" applyBorder="1"/>
    <xf numFmtId="0" fontId="31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30" fillId="0" borderId="0" xfId="0" applyFont="1" applyBorder="1" applyAlignment="1">
      <alignment horizontal="right"/>
    </xf>
    <xf numFmtId="3" fontId="44" fillId="2" borderId="5" xfId="0" applyNumberFormat="1" applyFont="1" applyFill="1" applyBorder="1"/>
    <xf numFmtId="37" fontId="4" fillId="0" borderId="4" xfId="0" quotePrefix="1" applyNumberFormat="1" applyFont="1" applyBorder="1"/>
    <xf numFmtId="37" fontId="33" fillId="0" borderId="5" xfId="0" quotePrefix="1" applyNumberFormat="1" applyFont="1" applyBorder="1"/>
    <xf numFmtId="37" fontId="4" fillId="0" borderId="21" xfId="0" applyNumberFormat="1" applyFont="1" applyBorder="1"/>
    <xf numFmtId="6" fontId="31" fillId="3" borderId="22" xfId="0" applyNumberFormat="1" applyFont="1" applyFill="1" applyBorder="1"/>
    <xf numFmtId="17" fontId="14" fillId="3" borderId="9" xfId="0" applyNumberFormat="1" applyFont="1" applyFill="1" applyBorder="1"/>
    <xf numFmtId="167" fontId="14" fillId="3" borderId="3" xfId="0" applyNumberFormat="1" applyFont="1" applyFill="1" applyBorder="1"/>
    <xf numFmtId="17" fontId="13" fillId="3" borderId="5" xfId="0" applyNumberFormat="1" applyFont="1" applyFill="1" applyBorder="1" applyAlignment="1">
      <alignment horizontal="center"/>
    </xf>
    <xf numFmtId="37" fontId="13" fillId="0" borderId="41" xfId="0" applyNumberFormat="1" applyFont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13" fillId="0" borderId="5" xfId="1" applyNumberFormat="1" applyFont="1" applyBorder="1"/>
    <xf numFmtId="37" fontId="34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9" xfId="0" applyNumberFormat="1" applyFont="1" applyBorder="1"/>
    <xf numFmtId="37" fontId="14" fillId="0" borderId="18" xfId="1" applyNumberFormat="1" applyFont="1" applyBorder="1"/>
    <xf numFmtId="0" fontId="48" fillId="0" borderId="0" xfId="0" applyFont="1"/>
    <xf numFmtId="38" fontId="48" fillId="0" borderId="0" xfId="0" applyNumberFormat="1" applyFont="1"/>
    <xf numFmtId="0" fontId="13" fillId="0" borderId="42" xfId="0" applyFont="1" applyBorder="1"/>
    <xf numFmtId="0" fontId="14" fillId="0" borderId="43" xfId="0" applyFont="1" applyBorder="1"/>
    <xf numFmtId="37" fontId="13" fillId="0" borderId="44" xfId="0" applyNumberFormat="1" applyFont="1" applyBorder="1"/>
    <xf numFmtId="37" fontId="14" fillId="3" borderId="0" xfId="0" applyNumberFormat="1" applyFont="1" applyFill="1" applyBorder="1"/>
    <xf numFmtId="37" fontId="14" fillId="3" borderId="0" xfId="0" quotePrefix="1" applyNumberFormat="1" applyFont="1" applyFill="1" applyBorder="1"/>
    <xf numFmtId="0" fontId="5" fillId="3" borderId="0" xfId="0" applyFont="1" applyFill="1" applyBorder="1"/>
    <xf numFmtId="0" fontId="5" fillId="3" borderId="19" xfId="0" applyFont="1" applyFill="1" applyBorder="1"/>
    <xf numFmtId="0" fontId="3" fillId="3" borderId="0" xfId="0" applyFont="1" applyFill="1"/>
    <xf numFmtId="37" fontId="11" fillId="3" borderId="0" xfId="0" applyNumberFormat="1" applyFont="1" applyFill="1" applyBorder="1"/>
    <xf numFmtId="37" fontId="4" fillId="3" borderId="0" xfId="0" applyNumberFormat="1" applyFont="1" applyFill="1" applyBorder="1"/>
    <xf numFmtId="0" fontId="44" fillId="2" borderId="0" xfId="0" quotePrefix="1" applyFont="1" applyFill="1" applyBorder="1" applyAlignment="1">
      <alignment horizontal="center"/>
    </xf>
    <xf numFmtId="0" fontId="44" fillId="2" borderId="19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5B4BE54-9AC9-0EC2-0C3C-B1C325CE9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445CA8D-8BFF-9071-2F7D-5F8658B0D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O5" workbookViewId="0">
      <selection activeCell="C32" sqref="C32"/>
    </sheetView>
  </sheetViews>
  <sheetFormatPr defaultRowHeight="12.75" x14ac:dyDescent="0.2"/>
  <cols>
    <col min="1" max="1" width="9.140625" style="47"/>
    <col min="2" max="2" width="22.140625" style="47" customWidth="1"/>
    <col min="3" max="3" width="9.28515625" style="47" customWidth="1"/>
    <col min="4" max="4" width="10" style="47" customWidth="1"/>
    <col min="5" max="5" width="9.28515625" style="47" customWidth="1"/>
    <col min="6" max="6" width="2.7109375" style="47" customWidth="1"/>
    <col min="7" max="7" width="12.85546875" style="47" customWidth="1"/>
    <col min="8" max="8" width="22.42578125" style="47" customWidth="1"/>
    <col min="9" max="9" width="10.7109375" style="47" customWidth="1"/>
    <col min="10" max="10" width="12.42578125" style="47" customWidth="1"/>
    <col min="11" max="11" width="10.7109375" style="47" customWidth="1"/>
    <col min="12" max="12" width="2.7109375" style="47" customWidth="1"/>
    <col min="13" max="13" width="11.7109375" style="47" customWidth="1"/>
    <col min="14" max="14" width="16.85546875" style="47" customWidth="1"/>
    <col min="15" max="15" width="12.85546875" style="47" customWidth="1"/>
    <col min="16" max="16" width="16.7109375" style="47" customWidth="1"/>
    <col min="17" max="17" width="8.5703125" style="47" customWidth="1"/>
    <col min="18" max="18" width="9" style="47" customWidth="1"/>
    <col min="19" max="19" width="2.7109375" style="47" customWidth="1"/>
    <col min="20" max="20" width="19.140625" style="47" customWidth="1"/>
    <col min="21" max="21" width="12.5703125" style="47" customWidth="1"/>
    <col min="22" max="22" width="8.5703125" style="47" customWidth="1"/>
    <col min="23" max="23" width="13.140625" style="47" customWidth="1"/>
    <col min="24" max="24" width="11.28515625" style="47" customWidth="1"/>
    <col min="25" max="25" width="8" style="47" customWidth="1"/>
    <col min="26" max="26" width="9.140625" style="47"/>
    <col min="27" max="27" width="10.5703125" style="47" customWidth="1"/>
    <col min="28" max="29" width="9.140625" style="47"/>
    <col min="30" max="30" width="18.140625" style="47" customWidth="1"/>
    <col min="31" max="16384" width="9.140625" style="47"/>
  </cols>
  <sheetData>
    <row r="3" spans="1:33" ht="15.75" x14ac:dyDescent="0.25">
      <c r="A3" s="207" t="s">
        <v>5</v>
      </c>
      <c r="B3" s="208"/>
      <c r="C3" s="209"/>
      <c r="D3" s="95" t="e">
        <f>IF(loopfactor=0," ", "WARNING:  MODEL HAS NOT BEEN CONVERGED")</f>
        <v>#REF!</v>
      </c>
      <c r="H3"/>
      <c r="J3" s="95" t="str">
        <f>IF((X31+X39+X47+X55+X63+X71)=DEBT," ","WARNING:  THE SUM OF THE DEBT LISTED IN THE TRANCHES DOES NOT EQUAL TOTAL DEBT")</f>
        <v xml:space="preserve"> </v>
      </c>
      <c r="L3" s="47" t="s">
        <v>6</v>
      </c>
      <c r="M3" s="51" t="s">
        <v>6</v>
      </c>
      <c r="P3" s="95" t="e">
        <f>IF(X21&gt;1,"WARNING:  NPV DOES NOT RECONCILE"," ")</f>
        <v>#REF!</v>
      </c>
    </row>
    <row r="4" spans="1:33" ht="15.75" x14ac:dyDescent="0.25">
      <c r="A4" s="210"/>
      <c r="B4" s="211"/>
      <c r="C4" s="212"/>
      <c r="D4" s="95" t="e">
        <f>IF(ABS(SUM(BS_IS!F37:AG37))&lt;0.01," ","WARNING:  BALANCE SHEET IS NOT BALANCED")</f>
        <v>#REF!</v>
      </c>
      <c r="H4"/>
      <c r="J4" s="95" t="str">
        <f>IF(ABS(RETURNS!H9+EQUITY)&lt;0.1," ","WARNING:  EQUITY DISTRIBUTED IN THE RETURNS CALC DOES NOT EQUAL TOTAL EQUITY")</f>
        <v xml:space="preserve"> </v>
      </c>
      <c r="M4" s="51"/>
    </row>
    <row r="5" spans="1:33" ht="15.75" x14ac:dyDescent="0.25">
      <c r="A5" s="213" t="s">
        <v>0</v>
      </c>
      <c r="B5" s="214"/>
      <c r="C5" s="215"/>
      <c r="D5" s="95" t="str">
        <f>IF(V24&lt;W24,"WARNING:  A-TAX TARGET MINIMUM DCR HAS NOT BEEN MET"," ")</f>
        <v xml:space="preserve"> </v>
      </c>
      <c r="H5"/>
      <c r="J5" s="95" t="str">
        <f>IF(V25&lt;W25,"WARNING:  A-TAX TARGET AVERAGE DCR HAS NOT BEEN MET"," ")</f>
        <v xml:space="preserve"> </v>
      </c>
      <c r="M5" s="51"/>
    </row>
    <row r="6" spans="1:33" ht="13.5" thickBot="1" x14ac:dyDescent="0.25">
      <c r="A6" s="47" t="s">
        <v>7</v>
      </c>
      <c r="AC6" s="47" t="s">
        <v>6</v>
      </c>
    </row>
    <row r="7" spans="1:33" ht="15" thickTop="1" thickBot="1" x14ac:dyDescent="0.3">
      <c r="A7" s="96" t="s">
        <v>393</v>
      </c>
      <c r="B7" s="97"/>
      <c r="C7" s="59"/>
      <c r="D7" s="98">
        <f>2000</f>
        <v>2000</v>
      </c>
      <c r="E7" s="53"/>
      <c r="G7" s="96" t="s">
        <v>8</v>
      </c>
      <c r="H7" s="97"/>
      <c r="I7" s="59"/>
      <c r="J7" s="59"/>
      <c r="K7" s="53"/>
      <c r="M7" s="52"/>
      <c r="N7" s="59"/>
      <c r="O7" s="59"/>
      <c r="P7" s="59"/>
      <c r="Q7" s="59"/>
      <c r="R7" s="99" t="s">
        <v>9</v>
      </c>
      <c r="S7" s="47" t="s">
        <v>6</v>
      </c>
      <c r="T7" s="100" t="s">
        <v>10</v>
      </c>
      <c r="U7" s="101"/>
      <c r="V7" s="102" t="s">
        <v>11</v>
      </c>
      <c r="W7" s="102" t="s">
        <v>12</v>
      </c>
      <c r="X7" s="103" t="s">
        <v>13</v>
      </c>
      <c r="AC7" s="326" t="s">
        <v>14</v>
      </c>
      <c r="AD7" s="327"/>
      <c r="AE7" s="329" t="s">
        <v>15</v>
      </c>
      <c r="AF7" s="330" t="s">
        <v>16</v>
      </c>
      <c r="AG7" s="328" t="s">
        <v>17</v>
      </c>
    </row>
    <row r="8" spans="1:33" ht="14.25" thickTop="1" thickBot="1" x14ac:dyDescent="0.25">
      <c r="A8" s="60" t="s">
        <v>18</v>
      </c>
      <c r="B8" s="62"/>
      <c r="C8" s="62"/>
      <c r="D8" s="356">
        <v>475</v>
      </c>
      <c r="E8" s="325" t="s">
        <v>19</v>
      </c>
      <c r="G8" s="60" t="s">
        <v>370</v>
      </c>
      <c r="H8" s="62"/>
      <c r="I8" s="356"/>
      <c r="J8" s="108" t="s">
        <v>23</v>
      </c>
      <c r="K8" s="61"/>
      <c r="M8" s="105" t="s">
        <v>20</v>
      </c>
      <c r="N8" s="62"/>
      <c r="O8" s="69"/>
      <c r="P8" s="62"/>
      <c r="Q8" s="62"/>
      <c r="R8" s="68">
        <f>$E$15</f>
        <v>2000</v>
      </c>
      <c r="T8" s="106"/>
      <c r="U8" s="62"/>
      <c r="V8" s="62"/>
      <c r="W8" s="62"/>
      <c r="X8" s="107"/>
      <c r="AC8" s="52" t="s">
        <v>21</v>
      </c>
      <c r="AD8" s="59"/>
      <c r="AE8" s="351">
        <v>2397.2819434873818</v>
      </c>
      <c r="AF8" s="351">
        <f>IDC!$D$35</f>
        <v>245.375</v>
      </c>
      <c r="AG8" s="353">
        <f>AF8-EST_IDC</f>
        <v>-2151.9069434873818</v>
      </c>
    </row>
    <row r="9" spans="1:33" x14ac:dyDescent="0.2">
      <c r="A9" s="60" t="s">
        <v>22</v>
      </c>
      <c r="B9" s="62"/>
      <c r="C9" s="62"/>
      <c r="D9" s="357">
        <v>1</v>
      </c>
      <c r="E9" s="61"/>
      <c r="G9" s="60" t="s">
        <v>403</v>
      </c>
      <c r="H9" s="62"/>
      <c r="I9" s="368">
        <v>0.05</v>
      </c>
      <c r="K9" s="61"/>
      <c r="M9" s="60" t="s">
        <v>24</v>
      </c>
      <c r="N9" s="62"/>
      <c r="O9" s="429"/>
      <c r="P9" s="109"/>
      <c r="Q9" s="62"/>
      <c r="R9" s="70">
        <f>O9*(1+CPI)^($R$8-$O$8)</f>
        <v>0</v>
      </c>
      <c r="T9" s="110" t="s">
        <v>25</v>
      </c>
      <c r="U9" s="62"/>
      <c r="V9" s="376">
        <v>0.1</v>
      </c>
      <c r="W9" s="111">
        <f>RETURNS!D16</f>
        <v>0.20985859719338909</v>
      </c>
      <c r="X9" s="112">
        <f>RETURNS!D15</f>
        <v>2444.1824492862488</v>
      </c>
      <c r="Z9" s="179" t="s">
        <v>26</v>
      </c>
      <c r="AA9" s="180"/>
      <c r="AC9" s="60" t="s">
        <v>27</v>
      </c>
      <c r="AD9" s="62"/>
      <c r="AE9" s="352">
        <v>0</v>
      </c>
      <c r="AF9" s="352" t="e">
        <f>IDC!#REF!</f>
        <v>#REF!</v>
      </c>
      <c r="AG9" s="354" t="e">
        <f>AF9-AE9</f>
        <v>#REF!</v>
      </c>
    </row>
    <row r="10" spans="1:33" ht="13.5" thickBot="1" x14ac:dyDescent="0.25">
      <c r="A10" s="60" t="s">
        <v>28</v>
      </c>
      <c r="B10" s="62"/>
      <c r="C10" s="113" t="s">
        <v>29</v>
      </c>
      <c r="D10" s="358">
        <v>12500</v>
      </c>
      <c r="E10" s="225" t="s">
        <v>30</v>
      </c>
      <c r="G10" s="71" t="s">
        <v>44</v>
      </c>
      <c r="H10" s="79"/>
      <c r="I10" s="367">
        <v>0</v>
      </c>
      <c r="J10" s="79"/>
      <c r="K10" s="72"/>
      <c r="M10" s="60" t="s">
        <v>31</v>
      </c>
      <c r="N10" s="62"/>
      <c r="O10" s="216"/>
      <c r="P10" s="109"/>
      <c r="Q10" s="62"/>
      <c r="R10" s="371">
        <v>0</v>
      </c>
      <c r="T10" s="106"/>
      <c r="U10" s="62"/>
      <c r="V10" s="62"/>
      <c r="W10" s="375">
        <v>0.1</v>
      </c>
      <c r="X10" s="114" t="s">
        <v>32</v>
      </c>
      <c r="Z10" s="181">
        <f>IF(ROUND(IRR,3)&gt;ROUND(TARGET+0.0003,3),1,IF(ROUND(IRR,4)&lt;ROUND(TARGET-0.0005,3),-1,0))</f>
        <v>1</v>
      </c>
      <c r="AA10" s="182"/>
      <c r="AC10" s="60" t="s">
        <v>33</v>
      </c>
      <c r="AD10" s="62"/>
      <c r="AE10" s="352">
        <v>554.28167105453065</v>
      </c>
      <c r="AF10" s="352">
        <f>R25</f>
        <v>0</v>
      </c>
      <c r="AG10" s="354">
        <f>AF10-EST_FIN</f>
        <v>0</v>
      </c>
    </row>
    <row r="11" spans="1:33" x14ac:dyDescent="0.2">
      <c r="A11" s="60" t="s">
        <v>34</v>
      </c>
      <c r="B11" s="428"/>
      <c r="C11" s="428"/>
      <c r="D11" s="430">
        <v>1</v>
      </c>
      <c r="E11" s="61"/>
      <c r="M11" s="60" t="s">
        <v>35</v>
      </c>
      <c r="N11" s="62"/>
      <c r="O11" s="216"/>
      <c r="P11" s="109"/>
      <c r="Q11" s="62"/>
      <c r="R11" s="371">
        <v>0</v>
      </c>
      <c r="T11" s="106"/>
      <c r="U11" s="62"/>
      <c r="V11" s="62"/>
      <c r="W11" s="62"/>
      <c r="X11" s="107"/>
      <c r="AC11" s="60" t="s">
        <v>36</v>
      </c>
      <c r="AD11" s="62"/>
      <c r="AE11" s="352">
        <v>0</v>
      </c>
      <c r="AF11" s="352" t="e">
        <f>TAXES_FEES!B31</f>
        <v>#DIV/0!</v>
      </c>
      <c r="AG11" s="354" t="e">
        <f>AF11-EST_COMMITT</f>
        <v>#DIV/0!</v>
      </c>
    </row>
    <row r="12" spans="1:33" x14ac:dyDescent="0.2">
      <c r="A12" s="71" t="s">
        <v>396</v>
      </c>
      <c r="B12" s="79"/>
      <c r="C12" s="79"/>
      <c r="D12" s="427">
        <v>0.03</v>
      </c>
      <c r="E12" s="72"/>
      <c r="G12" s="96" t="s">
        <v>50</v>
      </c>
      <c r="H12" s="59"/>
      <c r="I12" s="59"/>
      <c r="J12" s="59"/>
      <c r="K12" s="53"/>
      <c r="M12" s="221" t="s">
        <v>39</v>
      </c>
      <c r="N12" s="222"/>
      <c r="O12" s="222"/>
      <c r="P12" s="222"/>
      <c r="Q12" s="222"/>
      <c r="R12" s="223">
        <f>SUM(R9:R11)</f>
        <v>0</v>
      </c>
      <c r="T12" s="106" t="s">
        <v>37</v>
      </c>
      <c r="U12" s="62"/>
      <c r="V12" s="64">
        <f>DISC</f>
        <v>0.1</v>
      </c>
      <c r="W12" s="64">
        <f>RETURNS!D28</f>
        <v>0.20985859719811081</v>
      </c>
      <c r="X12" s="115">
        <f>RETURNS!D27</f>
        <v>2444.1824492862488</v>
      </c>
      <c r="AC12" s="60" t="s">
        <v>38</v>
      </c>
      <c r="AD12" s="62"/>
      <c r="AE12" s="352">
        <v>2558.2137753666084</v>
      </c>
      <c r="AF12" s="352">
        <f>COST*P36</f>
        <v>390</v>
      </c>
      <c r="AG12" s="354">
        <f>AF12-EST_DEV</f>
        <v>-2168.2137753666084</v>
      </c>
    </row>
    <row r="13" spans="1:33" x14ac:dyDescent="0.2">
      <c r="G13" s="60" t="s">
        <v>371</v>
      </c>
      <c r="H13" s="62"/>
      <c r="I13" s="356"/>
      <c r="J13"/>
      <c r="K13" s="61"/>
      <c r="M13" s="60" t="s">
        <v>42</v>
      </c>
      <c r="N13" s="62"/>
      <c r="O13" s="429"/>
      <c r="P13" s="62"/>
      <c r="Q13" s="62"/>
      <c r="R13" s="139">
        <f>O13*(1+CPI)^($R$8-$O$8)</f>
        <v>0</v>
      </c>
      <c r="T13" s="106" t="s">
        <v>46</v>
      </c>
      <c r="U13" s="62"/>
      <c r="V13" s="64"/>
      <c r="W13" s="64"/>
      <c r="X13" s="115">
        <f>SUM(X12:X12)</f>
        <v>2444.1824492862488</v>
      </c>
      <c r="AC13" s="60" t="s">
        <v>40</v>
      </c>
      <c r="AD13" s="62"/>
      <c r="AE13" s="352">
        <v>85273.792512220287</v>
      </c>
      <c r="AF13" s="352">
        <f>COST</f>
        <v>13000</v>
      </c>
      <c r="AG13" s="354">
        <f>AF13-EST_COST</f>
        <v>-72273.792512220287</v>
      </c>
    </row>
    <row r="14" spans="1:33" x14ac:dyDescent="0.2">
      <c r="A14" s="96" t="s">
        <v>41</v>
      </c>
      <c r="B14" s="59"/>
      <c r="C14" s="59"/>
      <c r="D14" s="59"/>
      <c r="E14" s="53"/>
      <c r="G14" s="60" t="s">
        <v>398</v>
      </c>
      <c r="H14" s="62"/>
      <c r="I14" s="368">
        <v>0.05</v>
      </c>
      <c r="J14"/>
      <c r="K14" s="61"/>
      <c r="M14" s="221" t="s">
        <v>45</v>
      </c>
      <c r="N14" s="222"/>
      <c r="O14" s="222"/>
      <c r="P14" s="222"/>
      <c r="Q14" s="222"/>
      <c r="R14" s="223">
        <f>SUM(R13:R13)</f>
        <v>0</v>
      </c>
      <c r="T14" s="106"/>
      <c r="U14" s="62"/>
      <c r="V14" s="64"/>
      <c r="W14" s="64"/>
      <c r="X14" s="115"/>
      <c r="AC14" s="60" t="str">
        <f>T30</f>
        <v xml:space="preserve">   Tranche 1:</v>
      </c>
      <c r="AD14" s="62"/>
      <c r="AE14" s="352">
        <v>55427.965132943187</v>
      </c>
      <c r="AF14" s="352">
        <f>X31</f>
        <v>0</v>
      </c>
      <c r="AG14" s="166">
        <f>AF14-EST_D1</f>
        <v>-55427.965132943187</v>
      </c>
    </row>
    <row r="15" spans="1:33" x14ac:dyDescent="0.2">
      <c r="A15" s="60" t="s">
        <v>43</v>
      </c>
      <c r="B15" s="62"/>
      <c r="C15" s="62"/>
      <c r="D15" s="359">
        <f>DATE(E15-1900,12,1)</f>
        <v>36861</v>
      </c>
      <c r="E15" s="360">
        <v>2000</v>
      </c>
      <c r="G15" s="71" t="s">
        <v>54</v>
      </c>
      <c r="H15" s="79"/>
      <c r="I15" s="367">
        <v>0.35</v>
      </c>
      <c r="J15" s="79"/>
      <c r="K15" s="72"/>
      <c r="M15" s="60" t="s">
        <v>48</v>
      </c>
      <c r="N15" s="62"/>
      <c r="O15" s="429"/>
      <c r="P15" s="62"/>
      <c r="Q15" s="62"/>
      <c r="R15" s="70">
        <f>O15*(1+CPI)^($R$8-$O$8)</f>
        <v>0</v>
      </c>
      <c r="T15" s="106" t="s">
        <v>52</v>
      </c>
      <c r="U15" s="62"/>
      <c r="V15" s="64"/>
      <c r="W15" s="64"/>
      <c r="X15" s="115" t="e">
        <f>-RETURNS!#REF!-RETURNS!P35-RETURNS!P47</f>
        <v>#REF!</v>
      </c>
      <c r="AC15" s="60" t="str">
        <f>T38</f>
        <v xml:space="preserve">   Tranche 2:</v>
      </c>
      <c r="AD15" s="62"/>
      <c r="AE15" s="352">
        <v>0</v>
      </c>
      <c r="AF15" s="352">
        <f>X39</f>
        <v>0</v>
      </c>
      <c r="AG15" s="166">
        <f>AF15-EST_EXIM</f>
        <v>0</v>
      </c>
    </row>
    <row r="16" spans="1:33" x14ac:dyDescent="0.2">
      <c r="A16" s="60" t="s">
        <v>47</v>
      </c>
      <c r="B16" s="62"/>
      <c r="C16" s="62"/>
      <c r="D16" s="62"/>
      <c r="E16" s="360">
        <v>6</v>
      </c>
      <c r="M16" s="60" t="s">
        <v>51</v>
      </c>
      <c r="N16" s="62"/>
      <c r="O16" s="216"/>
      <c r="P16" s="62"/>
      <c r="Q16" s="62"/>
      <c r="R16" s="371">
        <v>13000</v>
      </c>
      <c r="T16" s="106" t="s">
        <v>58</v>
      </c>
      <c r="U16" s="62"/>
      <c r="V16" s="64"/>
      <c r="W16" s="64"/>
      <c r="X16" s="115" t="e">
        <f>-RETURNS!#REF!</f>
        <v>#REF!</v>
      </c>
      <c r="AC16" s="60" t="str">
        <f>T46</f>
        <v xml:space="preserve">   Tranche 3: Other</v>
      </c>
      <c r="AD16" s="62"/>
      <c r="AE16" s="352">
        <v>0</v>
      </c>
      <c r="AF16" s="352">
        <f>X47</f>
        <v>0</v>
      </c>
      <c r="AG16" s="166">
        <f>AF16-EST_D3</f>
        <v>0</v>
      </c>
    </row>
    <row r="17" spans="1:36" x14ac:dyDescent="0.2">
      <c r="A17" s="60" t="s">
        <v>49</v>
      </c>
      <c r="B17" s="62"/>
      <c r="C17" s="62"/>
      <c r="D17" s="356">
        <v>6</v>
      </c>
      <c r="E17" s="360">
        <v>2001</v>
      </c>
      <c r="G17" s="96" t="s">
        <v>59</v>
      </c>
      <c r="H17" s="59"/>
      <c r="I17" s="122" t="s">
        <v>60</v>
      </c>
      <c r="J17" s="122" t="s">
        <v>61</v>
      </c>
      <c r="K17" s="137" t="s">
        <v>62</v>
      </c>
      <c r="M17" s="60" t="s">
        <v>55</v>
      </c>
      <c r="N17" s="62"/>
      <c r="O17" s="429"/>
      <c r="P17" s="62"/>
      <c r="Q17" s="62"/>
      <c r="R17" s="139">
        <f>O17*(1+CPI)^($R$8-$O$8)</f>
        <v>0</v>
      </c>
      <c r="T17" s="106" t="s">
        <v>63</v>
      </c>
      <c r="U17" s="62"/>
      <c r="V17" s="64"/>
      <c r="W17" s="64"/>
      <c r="X17" s="240" t="e">
        <f>-RETURNS!#REF!</f>
        <v>#REF!</v>
      </c>
      <c r="AC17" s="60" t="str">
        <f>T54</f>
        <v xml:space="preserve">   Tranche 4: Other</v>
      </c>
      <c r="AD17" s="62"/>
      <c r="AE17" s="352">
        <v>0</v>
      </c>
      <c r="AF17" s="352">
        <f>X55</f>
        <v>0</v>
      </c>
      <c r="AG17" s="166">
        <f>AF17-EST_D4</f>
        <v>0</v>
      </c>
    </row>
    <row r="18" spans="1:36" x14ac:dyDescent="0.2">
      <c r="A18" s="60" t="s">
        <v>53</v>
      </c>
      <c r="B18" s="62"/>
      <c r="C18" s="62"/>
      <c r="D18" s="62"/>
      <c r="E18" s="360" t="s">
        <v>410</v>
      </c>
      <c r="G18" s="60"/>
      <c r="H18" s="62"/>
      <c r="I18" s="62"/>
      <c r="J18" s="62"/>
      <c r="K18" s="61"/>
      <c r="M18" s="221" t="s">
        <v>57</v>
      </c>
      <c r="N18" s="222"/>
      <c r="O18" s="222"/>
      <c r="P18" s="222"/>
      <c r="Q18" s="222"/>
      <c r="R18" s="223">
        <f>SUM(R15:R17)</f>
        <v>13000</v>
      </c>
      <c r="T18" s="106" t="s">
        <v>66</v>
      </c>
      <c r="U18" s="62"/>
      <c r="V18" s="64"/>
      <c r="W18" s="64"/>
      <c r="X18" s="115" t="e">
        <f>SUM(X15:X17)</f>
        <v>#REF!</v>
      </c>
      <c r="AC18" s="60" t="str">
        <f>T62</f>
        <v xml:space="preserve">   Tranche 5: Other</v>
      </c>
      <c r="AD18" s="62"/>
      <c r="AE18" s="352">
        <v>0</v>
      </c>
      <c r="AF18" s="352">
        <f>X63</f>
        <v>0</v>
      </c>
      <c r="AG18" s="166">
        <f>AF18-EST_D5</f>
        <v>0</v>
      </c>
    </row>
    <row r="19" spans="1:36" x14ac:dyDescent="0.2">
      <c r="A19" s="71" t="s">
        <v>56</v>
      </c>
      <c r="B19" s="79"/>
      <c r="C19" s="79"/>
      <c r="D19" s="79"/>
      <c r="E19" s="361" t="s">
        <v>374</v>
      </c>
      <c r="G19" s="60" t="s">
        <v>69</v>
      </c>
      <c r="H19" s="62" t="s">
        <v>412</v>
      </c>
      <c r="I19" s="358">
        <v>13000</v>
      </c>
      <c r="J19" s="356">
        <v>20</v>
      </c>
      <c r="K19" s="141" t="s">
        <v>376</v>
      </c>
      <c r="M19" s="60" t="s">
        <v>390</v>
      </c>
      <c r="N19" s="62"/>
      <c r="O19" s="429"/>
      <c r="P19" s="109"/>
      <c r="Q19" s="62"/>
      <c r="R19" s="70">
        <f>O19*(1+CPI)^($R$8-$O$8)</f>
        <v>0</v>
      </c>
      <c r="T19" s="106"/>
      <c r="U19" s="62"/>
      <c r="V19" s="64"/>
      <c r="W19" s="64"/>
      <c r="X19" s="115"/>
      <c r="AC19" s="71" t="str">
        <f>T70</f>
        <v xml:space="preserve">   Tranche 6: Other</v>
      </c>
      <c r="AD19" s="79"/>
      <c r="AE19" s="355">
        <v>0</v>
      </c>
      <c r="AF19" s="355">
        <f>X71</f>
        <v>0</v>
      </c>
      <c r="AG19" s="202">
        <f>AF19-EST_D6</f>
        <v>0</v>
      </c>
    </row>
    <row r="20" spans="1:36" x14ac:dyDescent="0.2">
      <c r="B20" s="92">
        <f>W12</f>
        <v>0.20985859719811081</v>
      </c>
      <c r="C20" s="183">
        <f>E20+0.01</f>
        <v>32.379999999999995</v>
      </c>
      <c r="D20" s="183">
        <f>E20-0.01</f>
        <v>32.36</v>
      </c>
      <c r="E20" s="184">
        <v>32.369999999999997</v>
      </c>
      <c r="G20" s="149"/>
      <c r="H20" s="216"/>
      <c r="I20" s="216"/>
      <c r="J20" s="216"/>
      <c r="K20" s="217"/>
      <c r="M20" s="60" t="s">
        <v>65</v>
      </c>
      <c r="N20" s="62"/>
      <c r="O20" s="222"/>
      <c r="P20" s="109"/>
      <c r="Q20" s="62"/>
      <c r="R20" s="371">
        <v>0</v>
      </c>
      <c r="T20" s="106" t="s">
        <v>74</v>
      </c>
      <c r="U20" s="62"/>
      <c r="V20" s="64"/>
      <c r="W20" s="64"/>
      <c r="X20" s="115" t="e">
        <f>X13+X18</f>
        <v>#REF!</v>
      </c>
    </row>
    <row r="21" spans="1:36" ht="13.5" thickBot="1" x14ac:dyDescent="0.25">
      <c r="A21" s="96" t="s">
        <v>64</v>
      </c>
      <c r="B21" s="59"/>
      <c r="C21" s="122">
        <v>2000</v>
      </c>
      <c r="D21" s="59"/>
      <c r="E21" s="68" t="s">
        <v>68</v>
      </c>
      <c r="G21" s="149" t="s">
        <v>82</v>
      </c>
      <c r="H21" s="62" t="s">
        <v>412</v>
      </c>
      <c r="I21" s="358">
        <v>13000</v>
      </c>
      <c r="J21" s="356">
        <v>28.5</v>
      </c>
      <c r="K21" s="217" t="s">
        <v>70</v>
      </c>
      <c r="M21" s="60" t="s">
        <v>76</v>
      </c>
      <c r="N21" s="62"/>
      <c r="O21" s="429"/>
      <c r="P21" s="62"/>
      <c r="Q21" s="62"/>
      <c r="R21" s="139">
        <f>O21*(1+CPI)^($R$8-$O$8)</f>
        <v>0</v>
      </c>
      <c r="T21" s="117" t="s">
        <v>77</v>
      </c>
      <c r="U21" s="118"/>
      <c r="V21" s="119"/>
      <c r="W21" s="119"/>
      <c r="X21" s="120" t="e">
        <f>X20-X9</f>
        <v>#REF!</v>
      </c>
    </row>
    <row r="22" spans="1:36" ht="13.5" thickBot="1" x14ac:dyDescent="0.25">
      <c r="A22" s="60" t="s">
        <v>399</v>
      </c>
      <c r="B22" s="62"/>
      <c r="C22" s="431" t="s">
        <v>402</v>
      </c>
      <c r="D22" s="62"/>
      <c r="G22" s="149"/>
      <c r="H22" s="216"/>
      <c r="I22" s="218"/>
      <c r="J22" s="218"/>
      <c r="K22" s="217"/>
      <c r="M22" s="221" t="s">
        <v>79</v>
      </c>
      <c r="N22" s="222"/>
      <c r="O22" s="222"/>
      <c r="P22" s="222"/>
      <c r="Q22" s="222"/>
      <c r="R22" s="223">
        <f>SUM(R19:R21)</f>
        <v>0</v>
      </c>
      <c r="AB22" s="86"/>
      <c r="AC22" s="86"/>
      <c r="AD22" s="62"/>
      <c r="AE22" s="62"/>
      <c r="AF22" s="62"/>
      <c r="AI22" s="129" t="s">
        <v>71</v>
      </c>
      <c r="AJ22" s="130"/>
    </row>
    <row r="23" spans="1:36" ht="13.5" thickBot="1" x14ac:dyDescent="0.25">
      <c r="A23" s="60" t="s">
        <v>400</v>
      </c>
      <c r="B23" s="62"/>
      <c r="C23" s="431" t="s">
        <v>402</v>
      </c>
      <c r="D23" s="62"/>
      <c r="E23" s="61"/>
      <c r="G23" s="219" t="s">
        <v>93</v>
      </c>
      <c r="H23" s="79" t="s">
        <v>412</v>
      </c>
      <c r="I23" s="437">
        <v>13000</v>
      </c>
      <c r="J23" s="369">
        <v>28.5</v>
      </c>
      <c r="K23" s="220" t="s">
        <v>70</v>
      </c>
      <c r="M23" s="60" t="s">
        <v>375</v>
      </c>
      <c r="N23" s="62"/>
      <c r="O23" s="62"/>
      <c r="P23" s="62"/>
      <c r="Q23" s="62"/>
      <c r="R23" s="70"/>
      <c r="T23" s="100" t="s">
        <v>83</v>
      </c>
      <c r="U23" s="102" t="s">
        <v>84</v>
      </c>
      <c r="V23" s="102" t="s">
        <v>85</v>
      </c>
      <c r="W23" s="102" t="s">
        <v>85</v>
      </c>
      <c r="X23" s="121"/>
      <c r="AB23" s="111"/>
      <c r="AC23" s="404"/>
      <c r="AD23" s="406"/>
      <c r="AE23" s="288"/>
      <c r="AF23" s="62"/>
      <c r="AI23" s="134" t="e">
        <f>IF(ABS(SUM(AG8:AG19))&lt;0.05,0,1)</f>
        <v>#REF!</v>
      </c>
      <c r="AJ23" s="135"/>
    </row>
    <row r="24" spans="1:36" x14ac:dyDescent="0.2">
      <c r="A24" s="60" t="s">
        <v>401</v>
      </c>
      <c r="B24" s="62"/>
      <c r="C24" s="431" t="s">
        <v>402</v>
      </c>
      <c r="D24" s="62"/>
      <c r="E24" s="61"/>
      <c r="M24" s="60" t="s">
        <v>86</v>
      </c>
      <c r="N24" s="62"/>
      <c r="O24" s="62"/>
      <c r="P24" s="62"/>
      <c r="Q24" s="62"/>
      <c r="R24" s="70">
        <f>AE9</f>
        <v>0</v>
      </c>
      <c r="T24" s="106" t="s">
        <v>87</v>
      </c>
      <c r="U24" s="123">
        <f>MIN(CF!D71:F71)</f>
        <v>0</v>
      </c>
      <c r="V24" s="123">
        <f>MIN(CF!D72:F72)</f>
        <v>0</v>
      </c>
      <c r="W24" s="373"/>
      <c r="X24" s="107" t="s">
        <v>88</v>
      </c>
      <c r="Y24" s="92" t="e">
        <f>X31/DEBT</f>
        <v>#DIV/0!</v>
      </c>
      <c r="AB24" s="111"/>
      <c r="AC24" s="404"/>
      <c r="AD24" s="406"/>
      <c r="AE24" s="288"/>
      <c r="AF24" s="62"/>
    </row>
    <row r="25" spans="1:36" ht="13.5" thickBot="1" x14ac:dyDescent="0.25">
      <c r="A25" s="124" t="s">
        <v>67</v>
      </c>
      <c r="B25" s="62"/>
      <c r="C25" s="288"/>
      <c r="D25" s="62"/>
      <c r="G25" s="96" t="s">
        <v>104</v>
      </c>
      <c r="H25" s="59"/>
      <c r="I25" s="146" t="s">
        <v>105</v>
      </c>
      <c r="J25" s="146" t="s">
        <v>106</v>
      </c>
      <c r="K25" s="340" t="s">
        <v>107</v>
      </c>
      <c r="M25" s="60" t="s">
        <v>90</v>
      </c>
      <c r="N25" s="62"/>
      <c r="O25"/>
      <c r="P25"/>
      <c r="Q25" s="62"/>
      <c r="R25" s="70">
        <f>((+X36*EST_D1)+(X44*EST_EXIM)+(X52*EST_D3)+(X60*EST_D4)+(X68*EST_D5)+(X76*EST_D6))</f>
        <v>0</v>
      </c>
      <c r="T25" s="117" t="s">
        <v>91</v>
      </c>
      <c r="U25" s="125">
        <f>AVERAGE(CF!D71:F71)</f>
        <v>0</v>
      </c>
      <c r="V25" s="125">
        <f>AVERAGE(CF!D72:F72)</f>
        <v>0</v>
      </c>
      <c r="W25" s="374"/>
      <c r="X25" s="126" t="s">
        <v>88</v>
      </c>
      <c r="AB25" s="111"/>
      <c r="AC25" s="404"/>
      <c r="AD25" s="406"/>
      <c r="AE25" s="288"/>
      <c r="AF25" s="62"/>
    </row>
    <row r="26" spans="1:36" x14ac:dyDescent="0.2">
      <c r="A26" s="60" t="s">
        <v>72</v>
      </c>
      <c r="B26" s="62"/>
      <c r="C26" s="391"/>
      <c r="D26" s="127" t="s">
        <v>73</v>
      </c>
      <c r="E26" s="362">
        <v>0.02</v>
      </c>
      <c r="G26" s="60" t="s">
        <v>110</v>
      </c>
      <c r="H26" s="62"/>
      <c r="I26" s="368">
        <v>1</v>
      </c>
      <c r="J26" s="368">
        <v>1</v>
      </c>
      <c r="K26" s="175">
        <f>I26*EQUITY</f>
        <v>13000</v>
      </c>
      <c r="M26" s="60" t="s">
        <v>92</v>
      </c>
      <c r="N26" s="62"/>
      <c r="O26" s="62"/>
      <c r="P26" s="62"/>
      <c r="Q26" s="62"/>
      <c r="R26" s="371">
        <v>0</v>
      </c>
      <c r="AB26" s="111"/>
      <c r="AC26" s="404"/>
      <c r="AD26" s="406"/>
      <c r="AE26" s="288"/>
      <c r="AF26" s="62"/>
    </row>
    <row r="27" spans="1:36" x14ac:dyDescent="0.2">
      <c r="A27" s="128" t="s">
        <v>75</v>
      </c>
      <c r="B27" s="62"/>
      <c r="C27" s="62"/>
      <c r="D27" s="62"/>
      <c r="E27" s="61"/>
      <c r="G27" s="71" t="s">
        <v>2</v>
      </c>
      <c r="H27" s="79"/>
      <c r="I27" s="203">
        <f>SUM(I26:I26)</f>
        <v>1</v>
      </c>
      <c r="J27" s="203">
        <f>SUM(J26:J26)</f>
        <v>1</v>
      </c>
      <c r="K27" s="178">
        <f>SUM(K26:K26)</f>
        <v>13000</v>
      </c>
      <c r="M27" s="60" t="s">
        <v>94</v>
      </c>
      <c r="N27" s="62"/>
      <c r="O27" s="62"/>
      <c r="P27" s="62"/>
      <c r="Q27" s="62"/>
      <c r="R27" s="70">
        <f>EST_COMMITT</f>
        <v>0</v>
      </c>
      <c r="T27" s="96" t="s">
        <v>95</v>
      </c>
      <c r="U27" s="59"/>
      <c r="V27" s="59"/>
      <c r="W27" s="59"/>
      <c r="X27" s="53"/>
      <c r="AB27" s="111"/>
      <c r="AC27" s="404"/>
      <c r="AD27" s="288"/>
      <c r="AE27" s="288"/>
      <c r="AF27" s="62"/>
    </row>
    <row r="28" spans="1:36" x14ac:dyDescent="0.2">
      <c r="A28" s="124" t="s">
        <v>78</v>
      </c>
      <c r="B28" s="62"/>
      <c r="C28" s="62"/>
      <c r="D28" s="62"/>
      <c r="E28" s="61"/>
      <c r="K28" s="95" t="str">
        <f>IF(ABS(K27-EQUITY)&gt;0.01,"CHECK"," ")</f>
        <v xml:space="preserve"> </v>
      </c>
      <c r="M28" s="60" t="s">
        <v>96</v>
      </c>
      <c r="N28" s="62"/>
      <c r="O28" s="62"/>
      <c r="P28" s="62"/>
      <c r="Q28" s="62"/>
      <c r="R28" s="371">
        <v>0</v>
      </c>
      <c r="T28" s="131" t="s">
        <v>97</v>
      </c>
      <c r="U28" s="132" t="e">
        <f>(($X$47*U51)+($X$39*U43)+($X$31*U35)+($X$55*U59)+($X$63*U67)+($X$71*U75))/($X$31+$X$39+$X$47+$X$55+$X$71+$X$63)</f>
        <v>#DIV/0!</v>
      </c>
      <c r="V28" s="132" t="e">
        <f>(($X$47*V51)+($X$39*V43)+($X$31*V35)+($X$55*V59)+($X$63*V67)+($X$71*V75))/($X$31+$X$39+$X$47+$X$55+$X$63+$X$71)</f>
        <v>#DIV/0!</v>
      </c>
      <c r="W28" s="62"/>
      <c r="X28" s="133" t="e">
        <f>(($X$47*X51)+($X$39*X43)+($X$31*X35)+($X$55*X59)+($X$63*X67)+($X$71*X75))/($X$31+$X$39+$X$47+$X$55+$X$63+$X$71)</f>
        <v>#DIV/0!</v>
      </c>
      <c r="AB28" s="62"/>
      <c r="AC28" s="288"/>
      <c r="AD28" s="288"/>
      <c r="AE28" s="288"/>
      <c r="AF28" s="62"/>
    </row>
    <row r="29" spans="1:36" x14ac:dyDescent="0.2">
      <c r="A29" s="60" t="s">
        <v>80</v>
      </c>
      <c r="B29" s="62"/>
      <c r="C29" s="136">
        <f>SUM(C56:C60)/(8760*avail*dispatch*capacity)</f>
        <v>0</v>
      </c>
      <c r="D29" s="62" t="s">
        <v>81</v>
      </c>
      <c r="E29" s="362">
        <v>0.02</v>
      </c>
      <c r="M29" s="60" t="s">
        <v>98</v>
      </c>
      <c r="N29" s="62"/>
      <c r="O29" s="62"/>
      <c r="P29" s="62"/>
      <c r="Q29" s="62"/>
      <c r="R29" s="371">
        <v>0</v>
      </c>
      <c r="T29" s="60"/>
      <c r="U29" s="138" t="s">
        <v>99</v>
      </c>
      <c r="V29" s="138" t="s">
        <v>100</v>
      </c>
      <c r="W29" s="62"/>
      <c r="X29" s="61"/>
      <c r="AC29"/>
      <c r="AD29"/>
      <c r="AE29"/>
    </row>
    <row r="30" spans="1:36" x14ac:dyDescent="0.2">
      <c r="A30" s="60" t="s">
        <v>397</v>
      </c>
      <c r="B30" s="62"/>
      <c r="C30" s="136">
        <v>0</v>
      </c>
      <c r="D30" s="62" t="s">
        <v>81</v>
      </c>
      <c r="E30" s="362">
        <v>0.02</v>
      </c>
      <c r="M30" s="60" t="s">
        <v>101</v>
      </c>
      <c r="N30" s="62"/>
      <c r="O30" s="62"/>
      <c r="P30" s="62"/>
      <c r="Q30" s="62"/>
      <c r="R30" s="371">
        <v>0</v>
      </c>
      <c r="T30" s="60" t="s">
        <v>102</v>
      </c>
      <c r="U30" s="62"/>
      <c r="V30" s="62"/>
      <c r="W30" s="377"/>
      <c r="X30" s="61" t="s">
        <v>103</v>
      </c>
      <c r="Y30" s="92" t="e">
        <f>X39/DEBT</f>
        <v>#DIV/0!</v>
      </c>
      <c r="AC30"/>
      <c r="AD30"/>
      <c r="AE30"/>
    </row>
    <row r="31" spans="1:36" x14ac:dyDescent="0.2">
      <c r="A31" s="60" t="s">
        <v>89</v>
      </c>
      <c r="B31" s="62"/>
      <c r="C31" s="136">
        <v>0</v>
      </c>
      <c r="D31" s="62" t="s">
        <v>81</v>
      </c>
      <c r="E31" s="362">
        <v>0.02</v>
      </c>
      <c r="M31" s="60" t="s">
        <v>108</v>
      </c>
      <c r="N31" s="62"/>
      <c r="O31" s="62"/>
      <c r="P31" s="62"/>
      <c r="Q31" s="62"/>
      <c r="R31" s="371">
        <v>0</v>
      </c>
      <c r="T31" s="60" t="s">
        <v>109</v>
      </c>
      <c r="U31" s="62"/>
      <c r="V31" s="62"/>
      <c r="W31" s="378"/>
      <c r="X31" s="70">
        <f>DEBT*W31</f>
        <v>0</v>
      </c>
      <c r="AE31" s="92"/>
    </row>
    <row r="32" spans="1:36" x14ac:dyDescent="0.2">
      <c r="A32" s="84" t="s">
        <v>372</v>
      </c>
      <c r="B32" s="88"/>
      <c r="C32" s="392"/>
      <c r="D32" s="85" t="s">
        <v>373</v>
      </c>
      <c r="E32" s="393"/>
      <c r="M32" s="60" t="s">
        <v>385</v>
      </c>
      <c r="N32" s="62"/>
      <c r="O32" s="62" t="s">
        <v>6</v>
      </c>
      <c r="P32" s="174"/>
      <c r="Q32" s="62"/>
      <c r="R32" s="371">
        <v>0</v>
      </c>
      <c r="T32" s="60" t="s">
        <v>111</v>
      </c>
      <c r="U32" s="62"/>
      <c r="V32" s="62"/>
      <c r="W32" s="142"/>
      <c r="X32" s="360"/>
    </row>
    <row r="33" spans="1:31" x14ac:dyDescent="0.2">
      <c r="M33" s="60" t="s">
        <v>112</v>
      </c>
      <c r="N33" s="62"/>
      <c r="O33" s="62" t="s">
        <v>6</v>
      </c>
      <c r="P33" s="62"/>
      <c r="Q33" s="62"/>
      <c r="R33" s="371">
        <v>0</v>
      </c>
      <c r="T33" s="60" t="s">
        <v>113</v>
      </c>
      <c r="U33" s="62"/>
      <c r="V33" s="62"/>
      <c r="W33" s="204"/>
      <c r="X33" s="61">
        <f>IF(X31=0,0,ROUND(X32/2+(TERM_C/12)-0.5,1))</f>
        <v>0</v>
      </c>
    </row>
    <row r="34" spans="1:31" x14ac:dyDescent="0.2">
      <c r="A34" s="96" t="s">
        <v>404</v>
      </c>
      <c r="B34" s="397"/>
      <c r="C34" s="397"/>
      <c r="D34" s="98">
        <f>D7</f>
        <v>2000</v>
      </c>
      <c r="E34" s="238"/>
      <c r="M34" s="60" t="s">
        <v>116</v>
      </c>
      <c r="N34" s="62"/>
      <c r="O34" s="148" t="s">
        <v>6</v>
      </c>
      <c r="P34" s="148"/>
      <c r="Q34" s="62"/>
      <c r="R34" s="372">
        <v>0</v>
      </c>
      <c r="T34" s="60" t="s">
        <v>117</v>
      </c>
      <c r="U34" s="62"/>
      <c r="V34" s="62"/>
      <c r="W34" s="335" t="s">
        <v>118</v>
      </c>
      <c r="X34" s="360">
        <v>0</v>
      </c>
    </row>
    <row r="35" spans="1:31" x14ac:dyDescent="0.2">
      <c r="A35" s="149" t="s">
        <v>18</v>
      </c>
      <c r="B35" s="216"/>
      <c r="C35" s="419"/>
      <c r="D35" s="426">
        <v>500</v>
      </c>
      <c r="E35" s="325" t="s">
        <v>405</v>
      </c>
      <c r="M35" s="221" t="s">
        <v>119</v>
      </c>
      <c r="N35" s="222"/>
      <c r="O35" s="222"/>
      <c r="P35" s="222"/>
      <c r="Q35" s="222"/>
      <c r="R35" s="223">
        <f>SUM(R23:R34)</f>
        <v>0</v>
      </c>
      <c r="T35" s="60" t="s">
        <v>120</v>
      </c>
      <c r="U35" s="379"/>
      <c r="V35" s="144"/>
      <c r="W35" s="142"/>
      <c r="X35" s="145">
        <f>V35+U35</f>
        <v>0</v>
      </c>
      <c r="AC35" s="47" t="s">
        <v>6</v>
      </c>
      <c r="AE35" s="47" t="s">
        <v>6</v>
      </c>
    </row>
    <row r="36" spans="1:31" x14ac:dyDescent="0.2">
      <c r="A36" s="149" t="s">
        <v>22</v>
      </c>
      <c r="B36" s="216"/>
      <c r="C36" s="420"/>
      <c r="D36" s="424"/>
      <c r="E36" s="151"/>
      <c r="M36" s="60" t="s">
        <v>122</v>
      </c>
      <c r="N36" s="62"/>
      <c r="O36" s="64"/>
      <c r="P36" s="368">
        <v>0.03</v>
      </c>
      <c r="Q36" s="62"/>
      <c r="R36" s="70"/>
      <c r="T36" s="60" t="s">
        <v>123</v>
      </c>
      <c r="U36" s="142"/>
      <c r="V36" s="142"/>
      <c r="W36" s="142"/>
      <c r="X36" s="362"/>
      <c r="Y36" s="92" t="e">
        <f>X47/DEBT</f>
        <v>#DIV/0!</v>
      </c>
    </row>
    <row r="37" spans="1:31" x14ac:dyDescent="0.2">
      <c r="A37" s="71" t="s">
        <v>394</v>
      </c>
      <c r="B37" s="79"/>
      <c r="C37" s="79"/>
      <c r="D37" s="425"/>
      <c r="E37" s="239"/>
      <c r="M37" s="60" t="s">
        <v>125</v>
      </c>
      <c r="N37" s="62"/>
      <c r="O37" s="62"/>
      <c r="P37" s="64" t="s">
        <v>6</v>
      </c>
      <c r="Q37" s="62"/>
      <c r="R37" s="371">
        <v>0</v>
      </c>
      <c r="T37" s="60" t="s">
        <v>126</v>
      </c>
      <c r="U37" s="142"/>
      <c r="V37" s="142"/>
      <c r="W37" s="142"/>
      <c r="X37" s="362"/>
    </row>
    <row r="38" spans="1:31" x14ac:dyDescent="0.2">
      <c r="M38" s="60" t="s">
        <v>128</v>
      </c>
      <c r="N38" s="62"/>
      <c r="O38" s="368">
        <v>0</v>
      </c>
      <c r="P38" s="62"/>
      <c r="Q38" s="62"/>
      <c r="R38" s="371">
        <v>0</v>
      </c>
      <c r="T38" s="149" t="s">
        <v>129</v>
      </c>
      <c r="U38" s="150"/>
      <c r="V38" s="150"/>
      <c r="W38" s="377"/>
      <c r="X38" s="151" t="s">
        <v>103</v>
      </c>
    </row>
    <row r="39" spans="1:31" x14ac:dyDescent="0.2">
      <c r="A39" s="96" t="s">
        <v>114</v>
      </c>
      <c r="B39" s="59"/>
      <c r="C39" s="59"/>
      <c r="D39" s="147" t="s">
        <v>115</v>
      </c>
      <c r="E39" s="364">
        <v>0.02</v>
      </c>
      <c r="M39" s="60" t="s">
        <v>131</v>
      </c>
      <c r="N39" s="62"/>
      <c r="O39" s="62" t="s">
        <v>6</v>
      </c>
      <c r="P39" s="62"/>
      <c r="Q39" s="62"/>
      <c r="R39" s="371">
        <v>0</v>
      </c>
      <c r="T39" s="149" t="s">
        <v>132</v>
      </c>
      <c r="U39" s="252" t="s">
        <v>133</v>
      </c>
      <c r="V39" s="150"/>
      <c r="W39" s="378"/>
      <c r="X39" s="253">
        <f>DEBT*W39</f>
        <v>0</v>
      </c>
    </row>
    <row r="40" spans="1:31" x14ac:dyDescent="0.2">
      <c r="A40" s="60"/>
      <c r="B40" s="62"/>
      <c r="C40" s="62"/>
      <c r="D40" s="62"/>
      <c r="E40" s="61"/>
      <c r="M40" s="60" t="s">
        <v>135</v>
      </c>
      <c r="N40" s="62"/>
      <c r="O40" s="62" t="s">
        <v>6</v>
      </c>
      <c r="P40" s="108" t="s">
        <v>6</v>
      </c>
      <c r="Q40" s="62"/>
      <c r="R40" s="372">
        <v>0</v>
      </c>
      <c r="T40" s="149" t="s">
        <v>111</v>
      </c>
      <c r="U40" s="150"/>
      <c r="V40" s="150"/>
      <c r="W40" s="150"/>
      <c r="X40" s="360"/>
    </row>
    <row r="41" spans="1:31" x14ac:dyDescent="0.2">
      <c r="A41" s="143" t="s">
        <v>121</v>
      </c>
      <c r="B41" s="62"/>
      <c r="C41" s="69">
        <v>2000</v>
      </c>
      <c r="D41" s="62"/>
      <c r="E41" s="68" t="s">
        <v>68</v>
      </c>
      <c r="M41" s="221" t="s">
        <v>137</v>
      </c>
      <c r="N41" s="222"/>
      <c r="O41" s="222"/>
      <c r="P41" s="222"/>
      <c r="Q41" s="222"/>
      <c r="R41" s="223">
        <f>R36+R37+R38+R39+R40</f>
        <v>0</v>
      </c>
      <c r="T41" s="149" t="s">
        <v>113</v>
      </c>
      <c r="U41" s="150"/>
      <c r="V41" s="150"/>
      <c r="W41" s="254"/>
      <c r="X41" s="151">
        <f>IF(X39=0,0,ROUND(X40/2+(TERM_C/12)-0.5,1))</f>
        <v>0</v>
      </c>
    </row>
    <row r="42" spans="1:31" x14ac:dyDescent="0.2">
      <c r="A42" s="60" t="s">
        <v>124</v>
      </c>
      <c r="B42" s="62"/>
      <c r="C42" s="365">
        <v>0</v>
      </c>
      <c r="D42" s="62"/>
      <c r="E42" s="362">
        <f t="shared" ref="E42:E54" si="0">CPI</f>
        <v>0.02</v>
      </c>
      <c r="M42" s="60" t="s">
        <v>139</v>
      </c>
      <c r="N42" s="62"/>
      <c r="O42" s="62" t="s">
        <v>6</v>
      </c>
      <c r="P42" s="62"/>
      <c r="Q42" s="62"/>
      <c r="R42" s="371">
        <v>0</v>
      </c>
      <c r="T42" s="149" t="s">
        <v>117</v>
      </c>
      <c r="U42" s="150"/>
      <c r="V42" s="150"/>
      <c r="W42" s="335" t="s">
        <v>118</v>
      </c>
      <c r="X42" s="360"/>
      <c r="Y42" s="92" t="e">
        <f>X55/DEBT</f>
        <v>#DIV/0!</v>
      </c>
    </row>
    <row r="43" spans="1:31" x14ac:dyDescent="0.2">
      <c r="A43" s="60" t="s">
        <v>127</v>
      </c>
      <c r="B43" s="62"/>
      <c r="C43" s="365">
        <v>0</v>
      </c>
      <c r="D43" s="62"/>
      <c r="E43" s="362">
        <f t="shared" si="0"/>
        <v>0.02</v>
      </c>
      <c r="M43" s="60" t="s">
        <v>141</v>
      </c>
      <c r="N43" s="62"/>
      <c r="O43" s="62" t="s">
        <v>6</v>
      </c>
      <c r="P43" s="62"/>
      <c r="Q43" s="62"/>
      <c r="R43" s="372">
        <v>0</v>
      </c>
      <c r="T43" s="149" t="s">
        <v>120</v>
      </c>
      <c r="U43" s="379"/>
      <c r="V43" s="255"/>
      <c r="W43" s="150"/>
      <c r="X43" s="256">
        <f>V43+U43</f>
        <v>0</v>
      </c>
    </row>
    <row r="44" spans="1:31" x14ac:dyDescent="0.2">
      <c r="A44" s="60" t="s">
        <v>130</v>
      </c>
      <c r="B44" s="62"/>
      <c r="C44" s="365">
        <v>0</v>
      </c>
      <c r="D44" s="62"/>
      <c r="E44" s="362">
        <f t="shared" si="0"/>
        <v>0.02</v>
      </c>
      <c r="M44" s="221" t="s">
        <v>142</v>
      </c>
      <c r="N44" s="222"/>
      <c r="O44" s="222"/>
      <c r="P44" s="222"/>
      <c r="Q44" s="222"/>
      <c r="R44" s="223">
        <f>SUM(R42:R43)</f>
        <v>0</v>
      </c>
      <c r="T44" s="149" t="s">
        <v>123</v>
      </c>
      <c r="U44" s="150"/>
      <c r="V44" s="150"/>
      <c r="W44" s="150"/>
      <c r="X44" s="362"/>
    </row>
    <row r="45" spans="1:31" x14ac:dyDescent="0.2">
      <c r="A45" s="60" t="s">
        <v>134</v>
      </c>
      <c r="B45" s="62"/>
      <c r="C45" s="365">
        <v>0</v>
      </c>
      <c r="D45"/>
      <c r="E45" s="362">
        <f t="shared" si="0"/>
        <v>0.02</v>
      </c>
      <c r="M45" s="60" t="s">
        <v>143</v>
      </c>
      <c r="N45" s="62"/>
      <c r="O45" s="62" t="s">
        <v>6</v>
      </c>
      <c r="P45" s="62"/>
      <c r="Q45" s="62"/>
      <c r="R45" s="371">
        <v>0</v>
      </c>
      <c r="T45" s="149" t="s">
        <v>126</v>
      </c>
      <c r="U45" s="150"/>
      <c r="V45" s="150"/>
      <c r="W45" s="150"/>
      <c r="X45" s="362"/>
      <c r="Z45" s="47" t="s">
        <v>6</v>
      </c>
    </row>
    <row r="46" spans="1:31" x14ac:dyDescent="0.2">
      <c r="A46" s="60" t="s">
        <v>136</v>
      </c>
      <c r="B46" s="62"/>
      <c r="C46" s="365">
        <v>0</v>
      </c>
      <c r="D46" s="62"/>
      <c r="E46" s="362">
        <f t="shared" si="0"/>
        <v>0.02</v>
      </c>
      <c r="M46" s="60" t="s">
        <v>145</v>
      </c>
      <c r="N46" s="62"/>
      <c r="O46" s="370">
        <v>0</v>
      </c>
      <c r="P46" s="62"/>
      <c r="Q46" s="62"/>
      <c r="R46" s="70">
        <f>O46*(1+CPI)^($R$8-$O$8)</f>
        <v>0</v>
      </c>
      <c r="T46" s="149" t="s">
        <v>146</v>
      </c>
      <c r="U46" s="150"/>
      <c r="V46" s="150"/>
      <c r="W46" s="377"/>
      <c r="X46" s="151" t="s">
        <v>103</v>
      </c>
    </row>
    <row r="47" spans="1:31" x14ac:dyDescent="0.2">
      <c r="A47" s="60" t="s">
        <v>138</v>
      </c>
      <c r="B47" s="62"/>
      <c r="C47" s="365">
        <v>0</v>
      </c>
      <c r="D47"/>
      <c r="E47" s="362">
        <f t="shared" si="0"/>
        <v>0.02</v>
      </c>
      <c r="M47" s="221" t="s">
        <v>147</v>
      </c>
      <c r="N47" s="222"/>
      <c r="O47" s="222"/>
      <c r="P47" s="222"/>
      <c r="Q47" s="222"/>
      <c r="R47" s="223">
        <f>SUM(R45:R46)</f>
        <v>0</v>
      </c>
      <c r="T47" s="149" t="s">
        <v>109</v>
      </c>
      <c r="U47" s="150"/>
      <c r="V47" s="150"/>
      <c r="W47" s="378"/>
      <c r="X47" s="253">
        <f>DEBT*W47</f>
        <v>0</v>
      </c>
    </row>
    <row r="48" spans="1:31" x14ac:dyDescent="0.2">
      <c r="A48" s="60" t="s">
        <v>140</v>
      </c>
      <c r="B48" s="62"/>
      <c r="C48" s="365">
        <v>0</v>
      </c>
      <c r="D48" s="62"/>
      <c r="E48" s="362">
        <f t="shared" si="0"/>
        <v>0.02</v>
      </c>
      <c r="M48" s="60" t="s">
        <v>149</v>
      </c>
      <c r="N48" s="62"/>
      <c r="O48" s="62"/>
      <c r="P48" s="205">
        <v>776012.56952960149</v>
      </c>
      <c r="Q48" s="62"/>
      <c r="R48" s="371">
        <v>0</v>
      </c>
      <c r="T48" s="149" t="s">
        <v>111</v>
      </c>
      <c r="U48" s="150"/>
      <c r="V48" s="150"/>
      <c r="W48" s="150"/>
      <c r="X48" s="360"/>
      <c r="Y48" s="92" t="e">
        <f>X63/DEBT</f>
        <v>#DIV/0!</v>
      </c>
    </row>
    <row r="49" spans="1:25" x14ac:dyDescent="0.2">
      <c r="A49" s="60" t="s">
        <v>379</v>
      </c>
      <c r="B49" s="62"/>
      <c r="C49" s="365">
        <v>0</v>
      </c>
      <c r="D49" s="62"/>
      <c r="E49" s="362">
        <f t="shared" si="0"/>
        <v>0.02</v>
      </c>
      <c r="F49" s="47" t="s">
        <v>6</v>
      </c>
      <c r="M49" s="60" t="s">
        <v>150</v>
      </c>
      <c r="N49" s="62"/>
      <c r="O49" s="62"/>
      <c r="P49" s="62"/>
      <c r="Q49" s="62"/>
      <c r="R49" s="371">
        <v>0</v>
      </c>
      <c r="T49" s="149" t="s">
        <v>113</v>
      </c>
      <c r="U49" s="150"/>
      <c r="V49" s="150"/>
      <c r="W49" s="254"/>
      <c r="X49" s="151">
        <f>IF(X47=0,0,ROUND(X48/2+(TERM_C/12)-0.5,1))</f>
        <v>0</v>
      </c>
    </row>
    <row r="50" spans="1:25" x14ac:dyDescent="0.2">
      <c r="A50" s="60" t="s">
        <v>377</v>
      </c>
      <c r="B50" s="62"/>
      <c r="C50" s="365">
        <v>0</v>
      </c>
      <c r="D50" s="62"/>
      <c r="E50" s="362">
        <f t="shared" si="0"/>
        <v>0.02</v>
      </c>
      <c r="M50" s="60" t="s">
        <v>150</v>
      </c>
      <c r="N50" s="62"/>
      <c r="O50" s="62"/>
      <c r="P50" s="62"/>
      <c r="Q50" s="62"/>
      <c r="R50" s="372">
        <v>0</v>
      </c>
      <c r="T50" s="149" t="s">
        <v>117</v>
      </c>
      <c r="U50" s="150"/>
      <c r="V50" s="150"/>
      <c r="W50" s="335" t="s">
        <v>118</v>
      </c>
      <c r="X50" s="360"/>
    </row>
    <row r="51" spans="1:25" x14ac:dyDescent="0.2">
      <c r="A51" s="60" t="s">
        <v>144</v>
      </c>
      <c r="B51" s="62"/>
      <c r="C51" s="365">
        <v>0</v>
      </c>
      <c r="D51" s="62"/>
      <c r="E51" s="362">
        <f t="shared" si="0"/>
        <v>0.02</v>
      </c>
      <c r="M51" s="221" t="s">
        <v>152</v>
      </c>
      <c r="N51" s="222"/>
      <c r="O51" s="222"/>
      <c r="P51" s="222"/>
      <c r="Q51" s="222"/>
      <c r="R51" s="224">
        <f>SUM(R48:R50)</f>
        <v>0</v>
      </c>
      <c r="T51" s="149" t="s">
        <v>151</v>
      </c>
      <c r="U51" s="379"/>
      <c r="V51" s="255"/>
      <c r="W51" s="150"/>
      <c r="X51" s="256">
        <f>V51+U51</f>
        <v>0</v>
      </c>
    </row>
    <row r="52" spans="1:25" x14ac:dyDescent="0.2">
      <c r="A52" s="60" t="s">
        <v>89</v>
      </c>
      <c r="B52" s="62"/>
      <c r="C52" s="365">
        <v>45</v>
      </c>
      <c r="D52" s="62"/>
      <c r="E52" s="362">
        <f t="shared" si="0"/>
        <v>0.02</v>
      </c>
      <c r="G52"/>
      <c r="H52"/>
      <c r="I52"/>
      <c r="J52"/>
      <c r="K52"/>
      <c r="M52" s="152" t="s">
        <v>40</v>
      </c>
      <c r="N52" s="153"/>
      <c r="O52" s="153"/>
      <c r="P52" s="153"/>
      <c r="Q52" s="79"/>
      <c r="R52" s="154">
        <f>SUM(R12+R14+R18+R22+R35+R41+R44+R47+R51)</f>
        <v>13000</v>
      </c>
      <c r="T52" s="149" t="s">
        <v>123</v>
      </c>
      <c r="U52" s="150"/>
      <c r="V52" s="150"/>
      <c r="W52" s="150"/>
      <c r="X52" s="362"/>
    </row>
    <row r="53" spans="1:25" x14ac:dyDescent="0.2">
      <c r="A53" s="60" t="s">
        <v>391</v>
      </c>
      <c r="B53" s="62"/>
      <c r="C53" s="365">
        <v>0</v>
      </c>
      <c r="D53" s="62"/>
      <c r="E53" s="362">
        <f t="shared" si="0"/>
        <v>0.02</v>
      </c>
      <c r="G53"/>
      <c r="H53"/>
      <c r="I53"/>
      <c r="J53"/>
      <c r="K53"/>
      <c r="M53" s="87"/>
      <c r="N53" s="88"/>
      <c r="O53" s="88"/>
      <c r="P53" s="88"/>
      <c r="Q53" s="79"/>
      <c r="R53" s="90"/>
      <c r="T53" s="149" t="s">
        <v>126</v>
      </c>
      <c r="U53" s="150"/>
      <c r="V53" s="150"/>
      <c r="W53" s="150"/>
      <c r="X53" s="362"/>
    </row>
    <row r="54" spans="1:25" x14ac:dyDescent="0.2">
      <c r="A54" s="60" t="s">
        <v>175</v>
      </c>
      <c r="B54" s="62"/>
      <c r="C54" s="365">
        <f>SUM(C42:C53)</f>
        <v>45</v>
      </c>
      <c r="D54" s="62"/>
      <c r="E54" s="362">
        <f t="shared" si="0"/>
        <v>0.02</v>
      </c>
      <c r="G54"/>
      <c r="H54"/>
      <c r="I54"/>
      <c r="J54"/>
      <c r="K54"/>
      <c r="M54" s="84" t="s">
        <v>154</v>
      </c>
      <c r="N54" s="88"/>
      <c r="O54" s="88"/>
      <c r="P54" s="88"/>
      <c r="Q54" s="79"/>
      <c r="R54" s="155">
        <f>COST/capacity</f>
        <v>27.368421052631579</v>
      </c>
      <c r="T54" s="149" t="s">
        <v>153</v>
      </c>
      <c r="U54" s="150"/>
      <c r="V54" s="150"/>
      <c r="W54" s="377"/>
      <c r="X54" s="151" t="s">
        <v>103</v>
      </c>
      <c r="Y54" s="92" t="e">
        <f>X71/DEBT</f>
        <v>#DIV/0!</v>
      </c>
    </row>
    <row r="55" spans="1:25" x14ac:dyDescent="0.2">
      <c r="A55" s="60"/>
      <c r="B55" s="62"/>
      <c r="C55" s="62"/>
      <c r="D55" s="62"/>
      <c r="E55" s="116"/>
      <c r="G55"/>
      <c r="H55"/>
      <c r="I55"/>
      <c r="J55"/>
      <c r="K55"/>
      <c r="T55" s="149" t="s">
        <v>109</v>
      </c>
      <c r="U55" s="150"/>
      <c r="V55" s="150"/>
      <c r="W55" s="378"/>
      <c r="X55" s="253">
        <f>W55*DEBT</f>
        <v>0</v>
      </c>
    </row>
    <row r="56" spans="1:25" x14ac:dyDescent="0.2">
      <c r="A56" s="143" t="s">
        <v>148</v>
      </c>
      <c r="B56" s="62"/>
      <c r="C56" s="365">
        <v>0</v>
      </c>
      <c r="D56" s="62"/>
      <c r="E56" s="362">
        <f>CPI</f>
        <v>0.02</v>
      </c>
      <c r="G56"/>
      <c r="H56"/>
      <c r="I56"/>
      <c r="J56"/>
      <c r="K56"/>
      <c r="T56" s="149" t="s">
        <v>111</v>
      </c>
      <c r="U56" s="150"/>
      <c r="V56" s="150"/>
      <c r="W56" s="150"/>
      <c r="X56" s="360"/>
    </row>
    <row r="57" spans="1:25" x14ac:dyDescent="0.2">
      <c r="A57" s="60" t="s">
        <v>395</v>
      </c>
      <c r="B57" s="62"/>
      <c r="C57" s="365">
        <v>0</v>
      </c>
      <c r="D57" s="62"/>
      <c r="E57" s="362">
        <f>CPI</f>
        <v>0.02</v>
      </c>
      <c r="G57"/>
      <c r="H57"/>
      <c r="I57"/>
      <c r="J57"/>
      <c r="K57"/>
      <c r="T57" s="149" t="s">
        <v>113</v>
      </c>
      <c r="U57" s="150"/>
      <c r="V57" s="150"/>
      <c r="W57" s="254"/>
      <c r="X57" s="151">
        <f>IF(X55=0,0,ROUND(X56/2+(TERM_C/12)-0.5,1))</f>
        <v>0</v>
      </c>
    </row>
    <row r="58" spans="1:25" x14ac:dyDescent="0.2">
      <c r="A58" s="60" t="s">
        <v>130</v>
      </c>
      <c r="B58" s="62"/>
      <c r="C58" s="365">
        <v>0</v>
      </c>
      <c r="D58" s="62"/>
      <c r="E58" s="362">
        <f>CPI</f>
        <v>0.02</v>
      </c>
      <c r="G58"/>
      <c r="H58"/>
      <c r="I58"/>
      <c r="J58"/>
      <c r="K58"/>
      <c r="T58" s="149" t="s">
        <v>117</v>
      </c>
      <c r="U58" s="150"/>
      <c r="V58" s="150"/>
      <c r="W58" s="335" t="s">
        <v>118</v>
      </c>
      <c r="X58" s="360"/>
    </row>
    <row r="59" spans="1:25" x14ac:dyDescent="0.2">
      <c r="A59" s="60" t="s">
        <v>378</v>
      </c>
      <c r="B59" s="62"/>
      <c r="C59" s="365">
        <v>0</v>
      </c>
      <c r="D59" s="62"/>
      <c r="E59" s="362">
        <f>CPI</f>
        <v>0.02</v>
      </c>
      <c r="G59"/>
      <c r="H59"/>
      <c r="I59"/>
      <c r="J59"/>
      <c r="K59"/>
      <c r="T59" s="149" t="s">
        <v>155</v>
      </c>
      <c r="U59" s="379"/>
      <c r="V59" s="255"/>
      <c r="W59" s="150"/>
      <c r="X59" s="256">
        <f>V59+U59</f>
        <v>0</v>
      </c>
    </row>
    <row r="60" spans="1:25" x14ac:dyDescent="0.2">
      <c r="A60" s="71" t="s">
        <v>89</v>
      </c>
      <c r="B60" s="79"/>
      <c r="C60" s="366">
        <v>0</v>
      </c>
      <c r="D60" s="79"/>
      <c r="E60" s="363">
        <f>CPI</f>
        <v>0.02</v>
      </c>
      <c r="G60"/>
      <c r="H60"/>
      <c r="I60"/>
      <c r="J60"/>
      <c r="K60"/>
      <c r="T60" s="149" t="s">
        <v>123</v>
      </c>
      <c r="U60" s="150"/>
      <c r="V60" s="150"/>
      <c r="W60" s="150"/>
      <c r="X60" s="362"/>
    </row>
    <row r="61" spans="1:25" x14ac:dyDescent="0.2">
      <c r="G61"/>
      <c r="H61"/>
      <c r="I61"/>
      <c r="J61"/>
      <c r="K61"/>
      <c r="T61" s="149" t="s">
        <v>126</v>
      </c>
      <c r="U61" s="150"/>
      <c r="V61" s="150"/>
      <c r="W61" s="150"/>
      <c r="X61" s="362"/>
    </row>
    <row r="62" spans="1:25" x14ac:dyDescent="0.2">
      <c r="A62" s="47" t="s">
        <v>386</v>
      </c>
      <c r="D62" s="92">
        <v>0.04</v>
      </c>
      <c r="G62"/>
      <c r="H62"/>
      <c r="I62"/>
      <c r="J62"/>
      <c r="K62"/>
      <c r="T62" s="149" t="s">
        <v>156</v>
      </c>
      <c r="U62" s="150"/>
      <c r="V62" s="150"/>
      <c r="W62" s="377"/>
      <c r="X62" s="151" t="s">
        <v>103</v>
      </c>
      <c r="Y62" s="92" t="e">
        <f>SUM(Y23:Y61)</f>
        <v>#DIV/0!</v>
      </c>
    </row>
    <row r="63" spans="1:25" x14ac:dyDescent="0.2">
      <c r="G63"/>
      <c r="H63"/>
      <c r="I63"/>
      <c r="J63"/>
      <c r="K63"/>
      <c r="M63"/>
      <c r="T63" s="149" t="s">
        <v>109</v>
      </c>
      <c r="U63" s="150"/>
      <c r="V63" s="150"/>
      <c r="W63" s="378"/>
      <c r="X63" s="253">
        <f>W63*DEBT</f>
        <v>0</v>
      </c>
    </row>
    <row r="64" spans="1:25" x14ac:dyDescent="0.2">
      <c r="G64"/>
      <c r="H64"/>
      <c r="I64"/>
      <c r="J64"/>
      <c r="K64"/>
      <c r="M64"/>
      <c r="T64" s="149" t="s">
        <v>111</v>
      </c>
      <c r="U64" s="150"/>
      <c r="V64" s="150"/>
      <c r="W64" s="150"/>
      <c r="X64" s="360"/>
    </row>
    <row r="65" spans="1:24" x14ac:dyDescent="0.2">
      <c r="G65"/>
      <c r="H65"/>
      <c r="I65"/>
      <c r="J65"/>
      <c r="K65"/>
      <c r="M65"/>
      <c r="T65" s="149" t="s">
        <v>113</v>
      </c>
      <c r="U65" s="150"/>
      <c r="V65" s="150"/>
      <c r="W65" s="254"/>
      <c r="X65" s="151">
        <f>IF(X63=0,0,ROUND(X64/2+(TERM_C/12)-0.5,1))</f>
        <v>0</v>
      </c>
    </row>
    <row r="66" spans="1:24" x14ac:dyDescent="0.2">
      <c r="G66"/>
      <c r="H66"/>
      <c r="I66"/>
      <c r="J66"/>
      <c r="K66"/>
      <c r="M66"/>
      <c r="T66" s="149" t="s">
        <v>117</v>
      </c>
      <c r="U66" s="150"/>
      <c r="V66" s="150"/>
      <c r="W66" s="335" t="s">
        <v>118</v>
      </c>
      <c r="X66" s="360"/>
    </row>
    <row r="67" spans="1:24" x14ac:dyDescent="0.2">
      <c r="G67"/>
      <c r="H67"/>
      <c r="I67"/>
      <c r="J67"/>
      <c r="K67"/>
      <c r="M67"/>
      <c r="T67" s="149" t="s">
        <v>151</v>
      </c>
      <c r="U67" s="379"/>
      <c r="V67" s="255"/>
      <c r="W67" s="150"/>
      <c r="X67" s="256">
        <f>V67+U67</f>
        <v>0</v>
      </c>
    </row>
    <row r="68" spans="1:24" x14ac:dyDescent="0.2">
      <c r="F68"/>
      <c r="G68"/>
      <c r="H68"/>
      <c r="I68"/>
      <c r="J68"/>
      <c r="K68"/>
      <c r="L68"/>
      <c r="M68"/>
      <c r="T68" s="149" t="s">
        <v>123</v>
      </c>
      <c r="U68" s="150"/>
      <c r="V68" s="150"/>
      <c r="W68" s="150"/>
      <c r="X68" s="362"/>
    </row>
    <row r="69" spans="1:24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T69" s="149" t="s">
        <v>126</v>
      </c>
      <c r="U69" s="150"/>
      <c r="V69" s="150"/>
      <c r="W69" s="150"/>
      <c r="X69" s="362"/>
    </row>
    <row r="70" spans="1:24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T70" s="149" t="s">
        <v>157</v>
      </c>
      <c r="U70" s="150"/>
      <c r="V70" s="150"/>
      <c r="W70" s="377"/>
      <c r="X70" s="151" t="s">
        <v>103</v>
      </c>
    </row>
    <row r="71" spans="1:24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T71" s="149" t="s">
        <v>109</v>
      </c>
      <c r="U71" s="150"/>
      <c r="V71" s="150"/>
      <c r="W71" s="378"/>
      <c r="X71" s="253">
        <f>W71*DEBT</f>
        <v>0</v>
      </c>
    </row>
    <row r="72" spans="1:24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T72" s="149" t="s">
        <v>111</v>
      </c>
      <c r="U72" s="150"/>
      <c r="V72" s="150"/>
      <c r="W72" s="150"/>
      <c r="X72" s="360"/>
    </row>
    <row r="73" spans="1:24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T73" s="149" t="s">
        <v>113</v>
      </c>
      <c r="U73" s="150"/>
      <c r="V73" s="150"/>
      <c r="W73" s="254"/>
      <c r="X73" s="151">
        <f>IF(X71=0,0,ROUND(X72/2+(TERM_C/12)-0.5,1))</f>
        <v>0</v>
      </c>
    </row>
    <row r="74" spans="1:24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T74" s="149" t="s">
        <v>117</v>
      </c>
      <c r="U74" s="150"/>
      <c r="V74" s="150"/>
      <c r="W74" s="335" t="s">
        <v>118</v>
      </c>
      <c r="X74" s="360"/>
    </row>
    <row r="75" spans="1:24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T75" s="149" t="s">
        <v>155</v>
      </c>
      <c r="U75" s="379"/>
      <c r="V75" s="255"/>
      <c r="W75" s="150"/>
      <c r="X75" s="256">
        <f>V75+U75</f>
        <v>0</v>
      </c>
    </row>
    <row r="76" spans="1:24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T76" s="149" t="s">
        <v>123</v>
      </c>
      <c r="U76" s="150"/>
      <c r="V76" s="150"/>
      <c r="W76" s="150"/>
      <c r="X76" s="362"/>
    </row>
    <row r="77" spans="1:24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T77" s="149" t="s">
        <v>126</v>
      </c>
      <c r="U77" s="150"/>
      <c r="V77" s="150"/>
      <c r="W77" s="150"/>
      <c r="X77" s="362"/>
    </row>
    <row r="78" spans="1:24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T78" s="149"/>
      <c r="U78" s="150"/>
      <c r="V78" s="150"/>
      <c r="W78" s="150"/>
      <c r="X78" s="61"/>
    </row>
    <row r="79" spans="1:24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T79" s="149" t="s">
        <v>364</v>
      </c>
      <c r="U79" s="384" t="s">
        <v>365</v>
      </c>
      <c r="V79" s="150"/>
      <c r="W79" s="466" t="s">
        <v>366</v>
      </c>
      <c r="X79" s="467"/>
    </row>
    <row r="80" spans="1:24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T80" s="60"/>
      <c r="U80" s="142"/>
      <c r="V80" s="142"/>
      <c r="W80" s="142"/>
      <c r="X80" s="61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T81" s="60" t="s">
        <v>158</v>
      </c>
      <c r="U81" s="142"/>
      <c r="V81" s="156">
        <f>1-equityperc</f>
        <v>0</v>
      </c>
      <c r="W81" s="142"/>
      <c r="X81" s="70">
        <f>COST*DEBTPERC</f>
        <v>0</v>
      </c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T82" s="60" t="s">
        <v>159</v>
      </c>
      <c r="U82" s="142"/>
      <c r="V82" s="380">
        <v>1</v>
      </c>
      <c r="W82" s="142"/>
      <c r="X82" s="139">
        <f>COST*equityperc</f>
        <v>13000</v>
      </c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T83" s="71" t="s">
        <v>160</v>
      </c>
      <c r="U83" s="157"/>
      <c r="V83" s="158">
        <f>DEBTPERC+equityperc</f>
        <v>1</v>
      </c>
      <c r="W83" s="157"/>
      <c r="X83" s="159">
        <f>SUM(X81:X82)</f>
        <v>13000</v>
      </c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T84" s="62"/>
      <c r="U84" s="142"/>
      <c r="V84" s="381"/>
      <c r="W84" s="142"/>
      <c r="X84" s="382"/>
      <c r="Y84" s="339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U85" s="104"/>
      <c r="V85" s="104"/>
      <c r="W85" s="104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U86" s="104"/>
      <c r="V86" s="104"/>
      <c r="W86" s="104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U87" s="104"/>
      <c r="V87" s="104"/>
      <c r="W87" s="104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U88" s="104"/>
      <c r="V88" s="104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U89" s="104"/>
      <c r="V89" s="104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U90" s="104"/>
      <c r="V90" s="104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U91" s="104"/>
      <c r="V91" s="104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U92" s="104"/>
      <c r="V92" s="104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U93" s="104"/>
      <c r="V93" s="104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U94" s="104"/>
      <c r="V94" s="10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U95" s="104"/>
      <c r="V95" s="104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U96" s="104"/>
      <c r="V96" s="104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U97" s="104"/>
      <c r="V97" s="104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47" t="s">
        <v>161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47" t="s">
        <v>162</v>
      </c>
    </row>
    <row r="104" spans="1:33" x14ac:dyDescent="0.2">
      <c r="A104"/>
      <c r="B104"/>
      <c r="C104"/>
      <c r="D104"/>
      <c r="E104"/>
      <c r="F104"/>
      <c r="L104"/>
      <c r="M104"/>
      <c r="O104" s="47" t="s">
        <v>163</v>
      </c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47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47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47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47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47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47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47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79:X79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I84"/>
  <sheetViews>
    <sheetView topLeftCell="A46" workbookViewId="0">
      <selection activeCell="I68" sqref="I68"/>
    </sheetView>
  </sheetViews>
  <sheetFormatPr defaultRowHeight="12.75" x14ac:dyDescent="0.2"/>
  <cols>
    <col min="1" max="1" width="29.7109375" style="47" customWidth="1"/>
    <col min="2" max="2" width="13.7109375" style="47" customWidth="1"/>
    <col min="3" max="3" width="20.5703125" style="47" customWidth="1"/>
    <col min="4" max="7" width="10.7109375" style="47" customWidth="1"/>
    <col min="8" max="16384" width="9.140625" style="47"/>
  </cols>
  <sheetData>
    <row r="1" spans="1:7" ht="15.75" x14ac:dyDescent="0.25">
      <c r="A1" s="207" t="s">
        <v>164</v>
      </c>
      <c r="B1" s="238"/>
    </row>
    <row r="2" spans="1:7" ht="15.75" x14ac:dyDescent="0.25">
      <c r="A2" s="227">
        <f>ASS!A4</f>
        <v>0</v>
      </c>
      <c r="B2" s="151"/>
    </row>
    <row r="3" spans="1:7" ht="15.75" x14ac:dyDescent="0.25">
      <c r="A3" s="229" t="str">
        <f>ASS!A5</f>
        <v>BASE MODEL</v>
      </c>
      <c r="B3" s="239"/>
    </row>
    <row r="4" spans="1:7" ht="15.75" x14ac:dyDescent="0.25">
      <c r="A4" s="211"/>
      <c r="B4" s="216"/>
    </row>
    <row r="5" spans="1:7" x14ac:dyDescent="0.2">
      <c r="A5" s="52" t="s">
        <v>165</v>
      </c>
      <c r="B5" s="59"/>
      <c r="C5" s="59"/>
      <c r="D5" s="59">
        <v>1</v>
      </c>
      <c r="E5" s="59">
        <f>D5+1</f>
        <v>2</v>
      </c>
      <c r="F5" s="59">
        <f>E5+1</f>
        <v>3</v>
      </c>
      <c r="G5" s="48"/>
    </row>
    <row r="6" spans="1:7" x14ac:dyDescent="0.2">
      <c r="A6" s="297" t="s">
        <v>166</v>
      </c>
      <c r="B6" s="62"/>
      <c r="C6" s="62"/>
      <c r="D6" s="295">
        <f>STARTYR</f>
        <v>2001</v>
      </c>
      <c r="E6" s="295">
        <f>IF(D6+1-$D$6&gt;TERM, 0, IF(D6&gt;0, D6+1, 0))</f>
        <v>2002</v>
      </c>
      <c r="F6" s="295">
        <f>IF(E6+1-$D$6&gt;TERM, 0, IF(E6&gt;0, E6+1, 0))</f>
        <v>2003</v>
      </c>
      <c r="G6" s="49" t="s">
        <v>167</v>
      </c>
    </row>
    <row r="7" spans="1:7" x14ac:dyDescent="0.2">
      <c r="A7" s="71" t="s">
        <v>168</v>
      </c>
      <c r="B7" s="79"/>
      <c r="C7" s="79"/>
      <c r="D7" s="79">
        <f>IF(D5&lt;=TERM, 12, IF(D5=TERM+1, +MOSYR1-1,))</f>
        <v>12</v>
      </c>
      <c r="E7" s="79">
        <f>IF(E5&lt;=TERM, 12, IF(E5=TERM+1, +MOSYR1-1,))</f>
        <v>12</v>
      </c>
      <c r="F7" s="79">
        <f>IF(F5&lt;=TERM, 12, IF(F5=TERM+1, +MOSYR1-1,))</f>
        <v>12</v>
      </c>
      <c r="G7" s="94"/>
    </row>
    <row r="8" spans="1:7" x14ac:dyDescent="0.2">
      <c r="A8" s="60"/>
      <c r="B8" s="62"/>
      <c r="C8" s="62"/>
      <c r="D8" s="62"/>
      <c r="E8" s="62"/>
      <c r="F8" s="62"/>
      <c r="G8" s="61"/>
    </row>
    <row r="9" spans="1:7" x14ac:dyDescent="0.2">
      <c r="A9" s="52" t="s">
        <v>169</v>
      </c>
      <c r="B9" s="59"/>
      <c r="C9" s="59"/>
      <c r="D9" s="59">
        <f>IF(D5&gt;TERM,0,capacity)</f>
        <v>475</v>
      </c>
      <c r="E9" s="59">
        <f>IF(E5&gt;TERM,0,capacity)</f>
        <v>475</v>
      </c>
      <c r="F9" s="59">
        <f>IF(F5&gt;TERM,0,capacity)</f>
        <v>475</v>
      </c>
      <c r="G9" s="48"/>
    </row>
    <row r="10" spans="1:7" x14ac:dyDescent="0.2">
      <c r="A10" s="62" t="s">
        <v>170</v>
      </c>
      <c r="B10" s="62"/>
      <c r="C10" s="62"/>
      <c r="D10" s="140">
        <f>24*365*D9*avail*dispatch*D7/12</f>
        <v>4161000</v>
      </c>
      <c r="E10" s="140">
        <f>24*365*E9*avail*dispatch*E7/12</f>
        <v>4161000</v>
      </c>
      <c r="F10" s="140">
        <f>24*365*F9*avail*dispatch*F7/12</f>
        <v>4161000</v>
      </c>
      <c r="G10" s="50"/>
    </row>
    <row r="11" spans="1:7" x14ac:dyDescent="0.2">
      <c r="A11" s="60"/>
      <c r="B11" s="62"/>
      <c r="C11" s="62"/>
      <c r="D11" s="62"/>
      <c r="E11" s="62"/>
      <c r="F11" s="62"/>
      <c r="G11" s="50"/>
    </row>
    <row r="12" spans="1:7" x14ac:dyDescent="0.2">
      <c r="A12" s="105" t="s">
        <v>171</v>
      </c>
      <c r="B12" s="62"/>
      <c r="C12" s="62"/>
      <c r="D12" s="62"/>
      <c r="E12" s="62"/>
      <c r="F12" s="62"/>
      <c r="G12" s="50"/>
    </row>
    <row r="13" spans="1:7" x14ac:dyDescent="0.2">
      <c r="A13" s="60" t="s">
        <v>406</v>
      </c>
      <c r="B13" s="62"/>
      <c r="C13" s="62"/>
      <c r="D13" s="398">
        <v>3200</v>
      </c>
      <c r="E13" s="398">
        <v>2400</v>
      </c>
      <c r="F13" s="398">
        <v>1600</v>
      </c>
      <c r="G13" s="50"/>
    </row>
    <row r="14" spans="1:7" x14ac:dyDescent="0.2">
      <c r="A14" s="60" t="s">
        <v>407</v>
      </c>
      <c r="B14" s="62"/>
      <c r="C14" s="62"/>
      <c r="D14" s="398">
        <v>3300</v>
      </c>
      <c r="E14" s="398">
        <v>3300</v>
      </c>
      <c r="F14" s="398">
        <v>3300</v>
      </c>
      <c r="G14" s="50"/>
    </row>
    <row r="15" spans="1:7" x14ac:dyDescent="0.2">
      <c r="A15" s="60" t="s">
        <v>408</v>
      </c>
      <c r="B15" s="62"/>
      <c r="C15" s="62"/>
      <c r="D15" s="395">
        <v>600</v>
      </c>
      <c r="E15" s="395">
        <v>500</v>
      </c>
      <c r="F15" s="395">
        <v>400</v>
      </c>
      <c r="G15" s="50"/>
    </row>
    <row r="16" spans="1:7" x14ac:dyDescent="0.2">
      <c r="A16" s="60" t="s">
        <v>409</v>
      </c>
      <c r="B16" s="62"/>
      <c r="C16" s="62"/>
      <c r="D16" s="398">
        <f>SUM(D13:D15)</f>
        <v>7100</v>
      </c>
      <c r="E16" s="398">
        <f>SUM(E13:E15)</f>
        <v>6200</v>
      </c>
      <c r="F16" s="398">
        <f>SUM(F13:F15)</f>
        <v>5300</v>
      </c>
      <c r="G16" s="50"/>
    </row>
    <row r="17" spans="1:7" x14ac:dyDescent="0.2">
      <c r="A17" s="105"/>
      <c r="B17" s="62"/>
      <c r="C17" s="62"/>
      <c r="D17" s="62"/>
      <c r="E17" s="62"/>
      <c r="F17" s="62"/>
      <c r="G17" s="50"/>
    </row>
    <row r="18" spans="1:7" x14ac:dyDescent="0.2">
      <c r="A18" s="60" t="s">
        <v>388</v>
      </c>
      <c r="B18" s="62"/>
      <c r="C18" s="62"/>
      <c r="D18" s="160">
        <f>ASS!$D$62*BS_IS!F9*D7/12</f>
        <v>0</v>
      </c>
      <c r="E18" s="160">
        <f>ASS!$D$62*BS_IS!G9*E7/12</f>
        <v>0</v>
      </c>
      <c r="F18" s="160">
        <f>ASS!$D$62*BS_IS!H9*F7/12</f>
        <v>0</v>
      </c>
      <c r="G18" s="82"/>
    </row>
    <row r="19" spans="1:7" x14ac:dyDescent="0.2">
      <c r="A19" s="60"/>
      <c r="B19" s="62"/>
      <c r="C19" s="62"/>
      <c r="D19" s="160"/>
      <c r="E19" s="160"/>
      <c r="F19" s="160"/>
      <c r="G19" s="82"/>
    </row>
    <row r="20" spans="1:7" x14ac:dyDescent="0.2">
      <c r="A20" s="105" t="s">
        <v>387</v>
      </c>
      <c r="B20" s="62"/>
      <c r="C20" s="62"/>
      <c r="D20" s="198">
        <f>D16+D18</f>
        <v>7100</v>
      </c>
      <c r="E20" s="198">
        <f>E16+E18</f>
        <v>6200</v>
      </c>
      <c r="F20" s="198">
        <f>F16+F18</f>
        <v>5300</v>
      </c>
      <c r="G20" s="83">
        <f>SUM(D20:F20)</f>
        <v>18600</v>
      </c>
    </row>
    <row r="21" spans="1:7" x14ac:dyDescent="0.2">
      <c r="A21" s="60"/>
      <c r="B21" s="62"/>
      <c r="C21" s="62"/>
      <c r="D21" s="410"/>
      <c r="E21" s="62"/>
      <c r="F21" s="62"/>
      <c r="G21" s="50"/>
    </row>
    <row r="22" spans="1:7" x14ac:dyDescent="0.2">
      <c r="A22" s="60"/>
      <c r="B22" s="62"/>
      <c r="C22" s="62"/>
      <c r="D22" s="410"/>
      <c r="E22" s="403"/>
      <c r="F22" s="403"/>
      <c r="G22" s="50"/>
    </row>
    <row r="23" spans="1:7" x14ac:dyDescent="0.2">
      <c r="A23" s="105" t="s">
        <v>172</v>
      </c>
      <c r="B23" s="62"/>
      <c r="C23" s="62"/>
      <c r="D23" s="403"/>
      <c r="E23" s="411"/>
      <c r="F23" s="62"/>
      <c r="G23" s="50"/>
    </row>
    <row r="24" spans="1:7" x14ac:dyDescent="0.2">
      <c r="A24" s="60"/>
      <c r="B24" s="62"/>
      <c r="C24" s="62"/>
      <c r="D24" s="160"/>
      <c r="E24" s="160"/>
      <c r="F24" s="160"/>
      <c r="G24" s="82"/>
    </row>
    <row r="25" spans="1:7" x14ac:dyDescent="0.2">
      <c r="A25" s="124" t="s">
        <v>173</v>
      </c>
      <c r="B25" s="62"/>
      <c r="C25" s="62"/>
      <c r="D25" s="160"/>
      <c r="E25" s="160"/>
      <c r="F25" s="160"/>
      <c r="G25" s="82"/>
    </row>
    <row r="26" spans="1:7" x14ac:dyDescent="0.2">
      <c r="A26" s="124" t="s">
        <v>174</v>
      </c>
      <c r="B26" s="62"/>
      <c r="C26" s="62"/>
      <c r="D26" s="160"/>
      <c r="E26" s="160"/>
      <c r="F26" s="160"/>
      <c r="G26" s="82"/>
    </row>
    <row r="27" spans="1:7" x14ac:dyDescent="0.2">
      <c r="A27" s="60" t="str">
        <f>ASS!A42</f>
        <v>Miscellaneous O&amp;M</v>
      </c>
      <c r="B27" s="62"/>
      <c r="C27" s="62"/>
      <c r="D27" s="160">
        <f>ASS!$C$42*(1+ASS!$E$42)^(D6-ASS!$C$41)*D7/12</f>
        <v>0</v>
      </c>
      <c r="E27" s="160">
        <f>ASS!$C$42*(1+ASS!$E$42)^(E6-ASS!$C$41)*E7/12</f>
        <v>0</v>
      </c>
      <c r="F27" s="160">
        <f>ASS!$C$42*(1+ASS!$E$42)^(F6-ASS!$C$41)*F7/12</f>
        <v>0</v>
      </c>
      <c r="G27" s="82">
        <f t="shared" ref="G27:G39" si="0">SUM(D27:F27)</f>
        <v>0</v>
      </c>
    </row>
    <row r="28" spans="1:7" x14ac:dyDescent="0.2">
      <c r="A28" s="60" t="str">
        <f>ASS!A43</f>
        <v>Miscellaneous G&amp;A</v>
      </c>
      <c r="B28" s="62"/>
      <c r="C28" s="62"/>
      <c r="D28" s="160">
        <f>ASS!$C$43*(1+ASS!$E$43)^(D6-ASS!$C$41)*D7/12</f>
        <v>0</v>
      </c>
      <c r="E28" s="160">
        <f>ASS!$C$43*(1+ASS!$E$43)^(E6-ASS!$C$41)*E7/12</f>
        <v>0</v>
      </c>
      <c r="F28" s="160">
        <f>ASS!$C$43*(1+ASS!$E$43)^(F6-ASS!$C$41)*F7/12</f>
        <v>0</v>
      </c>
      <c r="G28" s="82">
        <f t="shared" si="0"/>
        <v>0</v>
      </c>
    </row>
    <row r="29" spans="1:7" x14ac:dyDescent="0.2">
      <c r="A29" s="60" t="str">
        <f>ASS!A44</f>
        <v>Maintenance Reserve</v>
      </c>
      <c r="B29" s="62"/>
      <c r="C29" s="62"/>
      <c r="D29" s="160">
        <f>ASS!$C$44*(1+ASS!$E$44)^(D6-ASS!$C$41)*D7/12</f>
        <v>0</v>
      </c>
      <c r="E29" s="160">
        <f>ASS!$C$44*(1+ASS!$E$44)^(E6-ASS!$C$41)*E7/12</f>
        <v>0</v>
      </c>
      <c r="F29" s="160">
        <f>ASS!$C$44*(1+ASS!$E$44)^(F6-ASS!$C$41)*F7/12</f>
        <v>0</v>
      </c>
      <c r="G29" s="82">
        <f t="shared" si="0"/>
        <v>0</v>
      </c>
    </row>
    <row r="30" spans="1:7" x14ac:dyDescent="0.2">
      <c r="A30" s="60" t="str">
        <f>ASS!A45</f>
        <v>Plant Insurance</v>
      </c>
      <c r="B30" s="62"/>
      <c r="C30" s="62"/>
      <c r="D30" s="160">
        <f>ASS!$C$45*(1+ASS!$E$45)^(D6-ASS!$C$41)*D7/12</f>
        <v>0</v>
      </c>
      <c r="E30" s="160">
        <f>ASS!$C$45*(1+ASS!$E$45)^(E6-ASS!$C$41)*E7/12</f>
        <v>0</v>
      </c>
      <c r="F30" s="160">
        <f>ASS!$C$45*(1+ASS!$E$45)^(F6-ASS!$C$41)*F7/12</f>
        <v>0</v>
      </c>
      <c r="G30" s="82">
        <f t="shared" si="0"/>
        <v>0</v>
      </c>
    </row>
    <row r="31" spans="1:7" x14ac:dyDescent="0.2">
      <c r="A31" s="60" t="str">
        <f>ASS!A46</f>
        <v>Payroll</v>
      </c>
      <c r="B31" s="62"/>
      <c r="C31" s="62"/>
      <c r="D31" s="160">
        <f>ASS!$C$46*(1+ASS!$E$46)^(D6-ASS!$C$41)*D7/12</f>
        <v>0</v>
      </c>
      <c r="E31" s="160">
        <f>ASS!$C$46*(1+ASS!$E$46)^(E6-ASS!$C$41)*E7/12</f>
        <v>0</v>
      </c>
      <c r="F31" s="160">
        <f>ASS!$C$46*(1+ASS!$E$46)^(F6-ASS!$C$41)*F7/12</f>
        <v>0</v>
      </c>
      <c r="G31" s="82">
        <f t="shared" si="0"/>
        <v>0</v>
      </c>
    </row>
    <row r="32" spans="1:7" x14ac:dyDescent="0.2">
      <c r="A32" s="60" t="str">
        <f>ASS!A47</f>
        <v xml:space="preserve">Spare Parts </v>
      </c>
      <c r="B32" s="62"/>
      <c r="C32" s="62"/>
      <c r="D32" s="160">
        <f>ASS!$C$47*(1+ASS!$E$47)^(D6-ASS!$C$41)*D7/12</f>
        <v>0</v>
      </c>
      <c r="E32" s="160">
        <f>ASS!$C$47*(1+ASS!$E$47)^(E6-ASS!$C$41)*E7/12</f>
        <v>0</v>
      </c>
      <c r="F32" s="160">
        <f>ASS!$C$47*(1+ASS!$E$47)^(F6-ASS!$C$41)*F7/12</f>
        <v>0</v>
      </c>
      <c r="G32" s="82">
        <f t="shared" si="0"/>
        <v>0</v>
      </c>
    </row>
    <row r="33" spans="1:7" x14ac:dyDescent="0.2">
      <c r="A33" s="60" t="str">
        <f>ASS!A48</f>
        <v>Water &amp; Chemicals</v>
      </c>
      <c r="B33" s="62"/>
      <c r="C33" s="62"/>
      <c r="D33" s="160">
        <f>ASS!$C$48*(1+ASS!$E$48)^(D6-ASS!$C$41)*D7/12</f>
        <v>0</v>
      </c>
      <c r="E33" s="160">
        <f>ASS!$C$48*(1+ASS!$E$48)^(E6-ASS!$C$41)*E7/12</f>
        <v>0</v>
      </c>
      <c r="F33" s="160">
        <f>ASS!$C$48*(1+ASS!$E$48)^(F6-ASS!$C$41)*F7/12</f>
        <v>0</v>
      </c>
      <c r="G33" s="82">
        <f t="shared" si="0"/>
        <v>0</v>
      </c>
    </row>
    <row r="34" spans="1:7" x14ac:dyDescent="0.2">
      <c r="A34" s="60" t="str">
        <f>ASS!A49</f>
        <v>Plant Operations (O&amp;M Fee)</v>
      </c>
      <c r="B34" s="62"/>
      <c r="C34" s="62"/>
      <c r="D34" s="160">
        <f>ASS!$C$49*(1+ASS!$E$49)^(D6-ASS!$C$41)*D7/12</f>
        <v>0</v>
      </c>
      <c r="E34" s="160">
        <f>ASS!$C$49*(1+ASS!$E$49)^(E6-ASS!$C$41)*E7/12</f>
        <v>0</v>
      </c>
      <c r="F34" s="160">
        <f>ASS!$C$49*(1+ASS!$E$49)^(F6-ASS!$C$41)*F7/12</f>
        <v>0</v>
      </c>
      <c r="G34" s="82">
        <f t="shared" si="0"/>
        <v>0</v>
      </c>
    </row>
    <row r="35" spans="1:7" x14ac:dyDescent="0.2">
      <c r="A35" s="60" t="str">
        <f>ASS!A50</f>
        <v>Transmission Capacity Pmt.</v>
      </c>
      <c r="B35" s="62"/>
      <c r="C35" s="305"/>
      <c r="D35" s="305">
        <f>ASS!$C$50*(1+ASS!$E$50)^(D6-ASS!$C$41)*D7/12</f>
        <v>0</v>
      </c>
      <c r="E35" s="160">
        <f>ASS!$C$50*(1+ASS!$E$50)^(E6-ASS!$C$41)*E7/12</f>
        <v>0</v>
      </c>
      <c r="F35" s="160">
        <f>ASS!$C$50*(1+ASS!$E$50)^(F6-ASS!$C$41)*F7/12</f>
        <v>0</v>
      </c>
      <c r="G35" s="82">
        <f t="shared" si="0"/>
        <v>0</v>
      </c>
    </row>
    <row r="36" spans="1:7" x14ac:dyDescent="0.2">
      <c r="A36" s="60" t="str">
        <f>ASS!A51</f>
        <v>Pipeline Operations</v>
      </c>
      <c r="B36" s="62"/>
      <c r="C36" s="62"/>
      <c r="D36" s="160">
        <f>ASS!$C$51*(1+ASS!$E$51)^(D6-ASS!$C$41)*D7/12</f>
        <v>0</v>
      </c>
      <c r="E36" s="160">
        <f>ASS!$C$51*(1+ASS!$E$51)^(E6-ASS!$C$41)*E7/12</f>
        <v>0</v>
      </c>
      <c r="F36" s="160">
        <f>ASS!$C$51*(1+ASS!$E$51)^(F6-ASS!$C$41)*F7/12</f>
        <v>0</v>
      </c>
      <c r="G36" s="82">
        <f t="shared" si="0"/>
        <v>0</v>
      </c>
    </row>
    <row r="37" spans="1:7" x14ac:dyDescent="0.2">
      <c r="A37" s="60" t="str">
        <f>ASS!A52</f>
        <v>Other</v>
      </c>
      <c r="B37" s="62"/>
      <c r="C37" s="62"/>
      <c r="D37" s="160">
        <f>ASS!$C$52*(1+ASS!$E$52)^(D6-ASS!$C$41)*D7/12</f>
        <v>45.9</v>
      </c>
      <c r="E37" s="160">
        <f>ASS!$C$52*(1+ASS!$E$52)^(E6-ASS!$C$41)*E7/12</f>
        <v>46.818000000000005</v>
      </c>
      <c r="F37" s="160">
        <f>ASS!$C$52*(1+ASS!$E$52)^(F6-ASS!$C$41)*F7/12</f>
        <v>47.754359999999998</v>
      </c>
      <c r="G37" s="82">
        <f t="shared" si="0"/>
        <v>140.47236000000001</v>
      </c>
    </row>
    <row r="38" spans="1:7" x14ac:dyDescent="0.2">
      <c r="A38" s="60" t="str">
        <f>ASS!A53</f>
        <v>Property Tax</v>
      </c>
      <c r="B38" s="62"/>
      <c r="C38" s="62"/>
      <c r="D38" s="161">
        <f>ASS!$C$53*(1+ASS!$E$53)^(D6-ASS!$C$41)*D7/12</f>
        <v>0</v>
      </c>
      <c r="E38" s="161">
        <f>ASS!$C$53*(1+ASS!$E$53)^(E6-ASS!$C$41)*E7/12</f>
        <v>0</v>
      </c>
      <c r="F38" s="161">
        <f>ASS!$C$53*(1+ASS!$E$53)^(F6-ASS!$C$41)*F7/12</f>
        <v>0</v>
      </c>
      <c r="G38" s="89">
        <f t="shared" si="0"/>
        <v>0</v>
      </c>
    </row>
    <row r="39" spans="1:7" x14ac:dyDescent="0.2">
      <c r="A39" s="60" t="s">
        <v>175</v>
      </c>
      <c r="B39" s="62"/>
      <c r="C39" s="62"/>
      <c r="D39" s="160">
        <f>SUM(D27:D38)</f>
        <v>45.9</v>
      </c>
      <c r="E39" s="160">
        <f>SUM(E27:E38)</f>
        <v>46.818000000000005</v>
      </c>
      <c r="F39" s="160">
        <f>SUM(F27:F38)</f>
        <v>47.754359999999998</v>
      </c>
      <c r="G39" s="82">
        <f t="shared" si="0"/>
        <v>140.47236000000001</v>
      </c>
    </row>
    <row r="40" spans="1:7" x14ac:dyDescent="0.2">
      <c r="A40" s="60"/>
      <c r="B40" s="62"/>
      <c r="C40" s="62"/>
      <c r="D40" s="160"/>
      <c r="E40" s="160"/>
      <c r="F40" s="160"/>
      <c r="G40" s="82"/>
    </row>
    <row r="41" spans="1:7" x14ac:dyDescent="0.2">
      <c r="A41" s="124" t="s">
        <v>176</v>
      </c>
      <c r="B41" s="62"/>
      <c r="C41" s="62"/>
      <c r="D41" s="160"/>
      <c r="E41" s="160"/>
      <c r="F41" s="160"/>
      <c r="G41" s="82"/>
    </row>
    <row r="42" spans="1:7" x14ac:dyDescent="0.2">
      <c r="A42" s="60" t="str">
        <f>ASS!A58</f>
        <v>Maintenance Reserve</v>
      </c>
      <c r="B42" s="62"/>
      <c r="C42" s="305"/>
      <c r="D42" s="305">
        <f>ASS!$C$57*(1+ASS!$E$57)^(D6-ASS!$C$41)*D7/12</f>
        <v>0</v>
      </c>
      <c r="E42" s="160">
        <f>ASS!$C$57*(1+ASS!$E$57)^(E6-ASS!$C$41)*E7/12</f>
        <v>0</v>
      </c>
      <c r="F42" s="160">
        <f>ASS!$C$57*(1+ASS!$E$57)^(F6-ASS!$C$41)*F7/12</f>
        <v>0</v>
      </c>
      <c r="G42" s="82">
        <f>SUM(D42:F42)</f>
        <v>0</v>
      </c>
    </row>
    <row r="43" spans="1:7" x14ac:dyDescent="0.2">
      <c r="A43" s="60" t="str">
        <f>ASS!A59</f>
        <v>Maintenance Excluding (Major Maint)</v>
      </c>
      <c r="B43" s="62"/>
      <c r="C43" s="62"/>
      <c r="D43" s="160">
        <f>ASS!$C$58*(1+ASS!$E$58)^(D6-ASS!$C$41)*D7/12</f>
        <v>0</v>
      </c>
      <c r="E43" s="160">
        <f>ASS!$C$58*(1+ASS!$E$58)^(E6-ASS!$C$41)*E7/12</f>
        <v>0</v>
      </c>
      <c r="F43" s="160">
        <f>ASS!$C$58*(1+ASS!$E$58)^(F6-ASS!$C$41)*F7/12</f>
        <v>0</v>
      </c>
      <c r="G43" s="82">
        <f>SUM(D43:F43)</f>
        <v>0</v>
      </c>
    </row>
    <row r="44" spans="1:7" x14ac:dyDescent="0.2">
      <c r="A44" s="60" t="str">
        <f>ASS!A60</f>
        <v>Other</v>
      </c>
      <c r="B44" s="62"/>
      <c r="C44" s="62"/>
      <c r="D44" s="160">
        <f>ASS!$C$59*(1+ASS!$E$59)^(D6-ASS!$C$41)*D7/12</f>
        <v>0</v>
      </c>
      <c r="E44" s="160">
        <f>ASS!$C$59*(1+ASS!$E$59)^(E6-ASS!$C$41)*E7/12</f>
        <v>0</v>
      </c>
      <c r="F44" s="160">
        <f>ASS!$C$59*(1+ASS!$E$59)^(F6-ASS!$C$41)*F7/12</f>
        <v>0</v>
      </c>
      <c r="G44" s="82">
        <f>SUM(D44:F44)</f>
        <v>0</v>
      </c>
    </row>
    <row r="45" spans="1:7" x14ac:dyDescent="0.2">
      <c r="A45" s="60" t="s">
        <v>177</v>
      </c>
      <c r="B45" s="62"/>
      <c r="C45" s="62"/>
      <c r="D45" s="160">
        <f>SUM(D42:D44)</f>
        <v>0</v>
      </c>
      <c r="E45" s="160">
        <f>SUM(E42:E44)</f>
        <v>0</v>
      </c>
      <c r="F45" s="160">
        <f>SUM(F42:F44)</f>
        <v>0</v>
      </c>
      <c r="G45" s="82">
        <f>SUM(D45:F45)</f>
        <v>0</v>
      </c>
    </row>
    <row r="46" spans="1:7" x14ac:dyDescent="0.2">
      <c r="A46" s="60"/>
      <c r="B46" s="62"/>
      <c r="C46" s="62"/>
      <c r="D46" s="160"/>
      <c r="E46" s="160"/>
      <c r="F46" s="160"/>
      <c r="G46" s="82"/>
    </row>
    <row r="47" spans="1:7" x14ac:dyDescent="0.2">
      <c r="A47" s="60" t="s">
        <v>178</v>
      </c>
      <c r="B47" s="62"/>
      <c r="C47" s="62"/>
      <c r="D47" s="160">
        <f>D39+D45</f>
        <v>45.9</v>
      </c>
      <c r="E47" s="160">
        <f>E39+E45</f>
        <v>46.818000000000005</v>
      </c>
      <c r="F47" s="160">
        <f>F39+F45</f>
        <v>47.754359999999998</v>
      </c>
      <c r="G47" s="82">
        <f>SUM(D47:F47)</f>
        <v>140.47236000000001</v>
      </c>
    </row>
    <row r="48" spans="1:7" x14ac:dyDescent="0.2">
      <c r="A48" s="60"/>
      <c r="B48" s="62"/>
      <c r="C48" s="62"/>
      <c r="D48" s="160"/>
      <c r="E48" s="160"/>
      <c r="F48" s="160"/>
      <c r="G48" s="82"/>
    </row>
    <row r="49" spans="1:9" s="51" customFormat="1" x14ac:dyDescent="0.2">
      <c r="A49" s="105" t="s">
        <v>179</v>
      </c>
      <c r="B49" s="86"/>
      <c r="C49" s="86"/>
      <c r="D49" s="198">
        <f>D47</f>
        <v>45.9</v>
      </c>
      <c r="E49" s="198">
        <f>E47</f>
        <v>46.818000000000005</v>
      </c>
      <c r="F49" s="198">
        <f>F47</f>
        <v>47.754359999999998</v>
      </c>
      <c r="G49" s="83">
        <f>G47</f>
        <v>140.47236000000001</v>
      </c>
    </row>
    <row r="50" spans="1:9" x14ac:dyDescent="0.2">
      <c r="A50" s="60"/>
      <c r="B50" s="62"/>
      <c r="C50" s="62"/>
      <c r="D50" s="62"/>
      <c r="E50" s="62"/>
      <c r="F50" s="62"/>
      <c r="G50" s="50"/>
    </row>
    <row r="51" spans="1:9" s="51" customFormat="1" x14ac:dyDescent="0.2">
      <c r="A51" s="105" t="s">
        <v>369</v>
      </c>
      <c r="B51" s="86"/>
      <c r="C51" s="405" t="s">
        <v>411</v>
      </c>
      <c r="D51" s="405">
        <f>D20-D49</f>
        <v>7054.1</v>
      </c>
      <c r="E51" s="198">
        <f>E20-E49</f>
        <v>6153.1819999999998</v>
      </c>
      <c r="F51" s="198">
        <f>F20-F49</f>
        <v>5252.2456400000001</v>
      </c>
      <c r="G51" s="83">
        <f>SUM(D51:F51)</f>
        <v>18459.52764</v>
      </c>
    </row>
    <row r="52" spans="1:9" x14ac:dyDescent="0.2">
      <c r="A52" s="60" t="s">
        <v>180</v>
      </c>
      <c r="B52" s="62"/>
      <c r="C52" s="62"/>
      <c r="D52" s="161">
        <v>0</v>
      </c>
      <c r="E52" s="161">
        <v>0</v>
      </c>
      <c r="F52" s="161">
        <v>0</v>
      </c>
      <c r="G52" s="89">
        <f>SUM(D52:F52)</f>
        <v>0</v>
      </c>
      <c r="H52" s="454" t="str">
        <f>IF(ABS(-$G$52-ASS!$I$21)&lt;0.1," ","WARNING:  CHECK DEPRECIATION")</f>
        <v>WARNING:  CHECK DEPRECIATION</v>
      </c>
    </row>
    <row r="53" spans="1:9" x14ac:dyDescent="0.2">
      <c r="A53" s="60"/>
      <c r="B53" s="62"/>
      <c r="C53" s="62"/>
      <c r="D53" s="160"/>
      <c r="E53" s="160"/>
      <c r="F53" s="160"/>
      <c r="G53" s="82"/>
      <c r="H53"/>
      <c r="I53"/>
    </row>
    <row r="54" spans="1:9" s="51" customFormat="1" x14ac:dyDescent="0.2">
      <c r="A54" s="105" t="s">
        <v>181</v>
      </c>
      <c r="B54" s="86"/>
      <c r="C54" s="86"/>
      <c r="D54" s="198">
        <f>SUM(D51:D52)</f>
        <v>7054.1</v>
      </c>
      <c r="E54" s="198">
        <f>SUM(E51:E52)</f>
        <v>6153.1819999999998</v>
      </c>
      <c r="F54" s="198">
        <f>SUM(F51:F52)</f>
        <v>5252.2456400000001</v>
      </c>
      <c r="G54" s="83">
        <f>SUM(D54:F54)</f>
        <v>18459.52764</v>
      </c>
    </row>
    <row r="55" spans="1:9" x14ac:dyDescent="0.2">
      <c r="A55" s="60" t="s">
        <v>182</v>
      </c>
      <c r="B55" s="62"/>
      <c r="C55" s="62"/>
      <c r="D55" s="160">
        <f>-FIN!D10</f>
        <v>0</v>
      </c>
      <c r="E55" s="160">
        <f>-FIN!E10</f>
        <v>0</v>
      </c>
      <c r="F55" s="160">
        <f>-FIN!F10</f>
        <v>0</v>
      </c>
      <c r="G55" s="82">
        <f>SUM(D55:F55)</f>
        <v>0</v>
      </c>
      <c r="H55" s="95" t="str">
        <f>IF(ABS(-$G$55-FIN!$AD$10)&lt;0.01," ","CHECK:  DOES NOT EQUAL INTEREST PAYMENTS MADE")</f>
        <v xml:space="preserve"> </v>
      </c>
    </row>
    <row r="56" spans="1:9" x14ac:dyDescent="0.2">
      <c r="A56" s="60"/>
      <c r="B56" s="62"/>
      <c r="C56" s="62"/>
      <c r="D56" s="161"/>
      <c r="E56" s="161"/>
      <c r="F56" s="161"/>
      <c r="G56" s="89"/>
    </row>
    <row r="57" spans="1:9" s="51" customFormat="1" x14ac:dyDescent="0.2">
      <c r="A57" s="105" t="s">
        <v>183</v>
      </c>
      <c r="B57" s="86"/>
      <c r="C57" s="86"/>
      <c r="D57" s="198">
        <f>SUM(D54:D55)</f>
        <v>7054.1</v>
      </c>
      <c r="E57" s="198">
        <f>SUM(E54:E55)</f>
        <v>6153.1819999999998</v>
      </c>
      <c r="F57" s="198">
        <f>SUM(F54:F55)</f>
        <v>5252.2456400000001</v>
      </c>
      <c r="G57" s="83">
        <f>SUM(D57:F57)</f>
        <v>18459.52764</v>
      </c>
    </row>
    <row r="58" spans="1:9" x14ac:dyDescent="0.2">
      <c r="A58" s="60" t="s">
        <v>184</v>
      </c>
      <c r="B58" s="288"/>
      <c r="C58" s="62"/>
      <c r="D58" s="161">
        <v>0</v>
      </c>
      <c r="E58" s="161">
        <v>0</v>
      </c>
      <c r="F58" s="161">
        <v>0</v>
      </c>
      <c r="G58" s="91">
        <f>SUM(D58:F58)</f>
        <v>0</v>
      </c>
    </row>
    <row r="59" spans="1:9" x14ac:dyDescent="0.2">
      <c r="A59" s="60"/>
      <c r="B59" s="62"/>
      <c r="C59" s="62"/>
      <c r="D59" s="160"/>
      <c r="E59" s="160"/>
      <c r="F59" s="160"/>
      <c r="G59" s="82"/>
    </row>
    <row r="60" spans="1:9" s="51" customFormat="1" x14ac:dyDescent="0.2">
      <c r="A60" s="241" t="s">
        <v>185</v>
      </c>
      <c r="B60" s="242"/>
      <c r="C60" s="242"/>
      <c r="D60" s="243">
        <f>SUM(D57:D58)</f>
        <v>7054.1</v>
      </c>
      <c r="E60" s="243">
        <f>SUM(E57:E58)</f>
        <v>6153.1819999999998</v>
      </c>
      <c r="F60" s="243">
        <f>SUM(F57:F58)</f>
        <v>5252.2456400000001</v>
      </c>
      <c r="G60" s="244">
        <f t="shared" ref="G60:G68" si="1">SUM(D60:F60)</f>
        <v>18459.52764</v>
      </c>
    </row>
    <row r="61" spans="1:9" x14ac:dyDescent="0.2">
      <c r="A61" s="60" t="s">
        <v>186</v>
      </c>
      <c r="B61" s="62"/>
      <c r="C61" s="62"/>
      <c r="D61" s="160">
        <v>0</v>
      </c>
      <c r="E61" s="160">
        <v>0</v>
      </c>
      <c r="F61" s="160">
        <v>0</v>
      </c>
      <c r="G61" s="82">
        <f t="shared" si="1"/>
        <v>0</v>
      </c>
    </row>
    <row r="62" spans="1:9" x14ac:dyDescent="0.2">
      <c r="A62" s="60" t="s">
        <v>187</v>
      </c>
      <c r="B62" s="62"/>
      <c r="C62" s="62"/>
      <c r="D62" s="160">
        <f>IF(D5=TERM,SPARES,0)</f>
        <v>0</v>
      </c>
      <c r="E62" s="160">
        <f>IF(E5=TERM,SPARES,0)</f>
        <v>0</v>
      </c>
      <c r="F62" s="160">
        <f>IF(F5=TERM,SPARES,0)</f>
        <v>0</v>
      </c>
      <c r="G62" s="82">
        <f t="shared" si="1"/>
        <v>0</v>
      </c>
    </row>
    <row r="63" spans="1:9" x14ac:dyDescent="0.2">
      <c r="A63" s="60" t="s">
        <v>188</v>
      </c>
      <c r="B63" s="62" t="s">
        <v>189</v>
      </c>
      <c r="C63" s="62"/>
      <c r="D63" s="160">
        <f>IF(D5=TERM,WCAP,0)</f>
        <v>0</v>
      </c>
      <c r="E63" s="160">
        <f>IF(E5=TERM,WCAP,0)</f>
        <v>0</v>
      </c>
      <c r="F63" s="160">
        <f>IF(F5=TERM,WCAP,0)</f>
        <v>0</v>
      </c>
      <c r="G63" s="82">
        <f t="shared" si="1"/>
        <v>0</v>
      </c>
    </row>
    <row r="64" spans="1:9" x14ac:dyDescent="0.2">
      <c r="A64" s="60" t="s">
        <v>190</v>
      </c>
      <c r="B64" s="62"/>
      <c r="C64" s="396"/>
      <c r="D64" s="305">
        <f>-D58</f>
        <v>0</v>
      </c>
      <c r="E64" s="305">
        <f>-E58</f>
        <v>0</v>
      </c>
      <c r="F64" s="305">
        <f>-F58</f>
        <v>0</v>
      </c>
      <c r="G64" s="82">
        <f t="shared" si="1"/>
        <v>0</v>
      </c>
    </row>
    <row r="65" spans="1:9" x14ac:dyDescent="0.2">
      <c r="A65" s="60" t="s">
        <v>382</v>
      </c>
      <c r="B65" s="62"/>
      <c r="C65" s="396"/>
      <c r="D65" s="402">
        <f>-ASS!$C$57*(1+ASS!$E$57)^(D6-ASS!$C$41)*D7/12</f>
        <v>0</v>
      </c>
      <c r="E65" s="402">
        <f>-ASS!$C$57*(1+ASS!$E$57)^(E6-ASS!$C$41)*E7/12</f>
        <v>0</v>
      </c>
      <c r="F65" s="402">
        <f>-ASS!$C$57*(1+ASS!$E$57)^(F6-ASS!$C$41)*F7/12</f>
        <v>0</v>
      </c>
      <c r="G65" s="82">
        <f t="shared" si="1"/>
        <v>0</v>
      </c>
    </row>
    <row r="66" spans="1:9" x14ac:dyDescent="0.2">
      <c r="A66" s="60" t="s">
        <v>383</v>
      </c>
      <c r="B66" s="62"/>
      <c r="C66" s="396"/>
      <c r="D66" s="402">
        <f>IF(-D65&gt;D42,D42,IF(D42&gt;(BS_IS!F9+(-D65)),BS_IS!F9+(-D65),D42))</f>
        <v>0</v>
      </c>
      <c r="E66" s="402">
        <f>IF(-E65&gt;E42,E42,IF(E42&gt;(BS_IS!G9+(-E65)),BS_IS!G9+(-E65),E42))</f>
        <v>0</v>
      </c>
      <c r="F66" s="402">
        <f>IF(-F65&gt;F42,F42,IF(F42&gt;(BS_IS!H9+(-F65)),BS_IS!H9+(-F65),F42))</f>
        <v>0</v>
      </c>
      <c r="G66" s="82">
        <f t="shared" si="1"/>
        <v>0</v>
      </c>
    </row>
    <row r="67" spans="1:9" x14ac:dyDescent="0.2">
      <c r="A67" s="60" t="s">
        <v>191</v>
      </c>
      <c r="B67" s="62"/>
      <c r="C67" s="62"/>
      <c r="D67" s="460">
        <v>0</v>
      </c>
      <c r="E67" s="460">
        <v>0</v>
      </c>
      <c r="F67" s="460">
        <v>0</v>
      </c>
      <c r="G67" s="82">
        <f t="shared" si="1"/>
        <v>0</v>
      </c>
      <c r="H67" s="455" t="str">
        <f>IF(ABS(-G67-TAXES_FEES!$G$16)&lt;0.01," ","CHECK:  TOTAL CASH TAXES DOES NOT MATCH TOTAL CASH TAXES CALCD")</f>
        <v>CHECK:  TOTAL CASH TAXES DOES NOT MATCH TOTAL CASH TAXES CALCD</v>
      </c>
      <c r="I67" s="93"/>
    </row>
    <row r="68" spans="1:9" x14ac:dyDescent="0.2">
      <c r="A68" s="60" t="s">
        <v>192</v>
      </c>
      <c r="B68" s="62"/>
      <c r="C68" s="62"/>
      <c r="D68" s="305">
        <f>-FIN!D11</f>
        <v>0</v>
      </c>
      <c r="E68" s="305">
        <v>0</v>
      </c>
      <c r="F68" s="305">
        <v>0</v>
      </c>
      <c r="G68" s="245">
        <f t="shared" si="1"/>
        <v>0</v>
      </c>
      <c r="H68" s="187" t="str">
        <f>IF(ABS(-$G$68-DEBT)&lt;0.01," ","CHECK:  DOES NOT EQUAL PRINCIPAL PAYMENTS MADE")</f>
        <v xml:space="preserve"> </v>
      </c>
      <c r="I68" s="93"/>
    </row>
    <row r="69" spans="1:9" x14ac:dyDescent="0.2">
      <c r="A69" s="246" t="s">
        <v>193</v>
      </c>
      <c r="B69" s="247"/>
      <c r="C69" s="247"/>
      <c r="D69" s="248">
        <f>SUM(D60:D68)</f>
        <v>7054.1</v>
      </c>
      <c r="E69" s="248">
        <f>SUM(E60:E68)</f>
        <v>6153.1819999999998</v>
      </c>
      <c r="F69" s="248">
        <f>SUM(F60:F68)</f>
        <v>5252.2456400000001</v>
      </c>
      <c r="G69" s="249">
        <f>SUM(G60:G68)</f>
        <v>18459.52764</v>
      </c>
    </row>
    <row r="70" spans="1:9" x14ac:dyDescent="0.2">
      <c r="A70" s="60"/>
      <c r="B70" s="62"/>
      <c r="C70" s="62"/>
      <c r="D70" s="62"/>
      <c r="E70" s="62"/>
      <c r="F70" s="62"/>
      <c r="G70" s="50"/>
    </row>
    <row r="71" spans="1:9" x14ac:dyDescent="0.2">
      <c r="A71" s="87" t="s">
        <v>194</v>
      </c>
      <c r="B71" s="88" t="s">
        <v>195</v>
      </c>
      <c r="C71" s="88"/>
      <c r="D71" s="389">
        <f>IF(equityperc&gt;0.99,0,IF(D5&gt;MAX(ASS!$X$32,ASS!$X$40,ASS!$X$48,ASS!$X$56,ASS!$X$64,ASS!$X$72),"n/a",(D51+D42)/(FIN!D12-TAXES_FEES!#REF!)))</f>
        <v>0</v>
      </c>
      <c r="E71" s="389">
        <f>IF(equityperc&gt;0.99,0,IF(E5&gt;MAX(ASS!$X$32,ASS!$X$40,ASS!$X$48,ASS!$X$56,ASS!$X$64,ASS!$X$72),"n/a",(E51+E42)/(FIN!E12-TAXES_FEES!#REF!)))</f>
        <v>0</v>
      </c>
      <c r="F71" s="389">
        <f>IF(equityperc&gt;0.99,0,IF(F5&gt;MAX(ASS!$X$32,ASS!$X$40,ASS!$X$48,ASS!$X$56,ASS!$X$64,ASS!$X$72),"n/a",(F51+F42)/(FIN!F12-TAXES_FEES!#REF!)))</f>
        <v>0</v>
      </c>
      <c r="G71" s="50"/>
    </row>
    <row r="72" spans="1:9" x14ac:dyDescent="0.2">
      <c r="A72" s="71" t="s">
        <v>196</v>
      </c>
      <c r="B72" s="79" t="s">
        <v>197</v>
      </c>
      <c r="C72" s="79"/>
      <c r="D72" s="390">
        <f>IF(equityperc&gt;0.99,0,IF(D5&gt;MAX(ASS!$X$32,ASS!$X$40,ASS!$X$48,ASS!$X$56,ASS!$X$64,ASS!$X$72),"n/a",(D51+D67+D42)/(FIN!D12-TAXES_FEES!#REF!)))</f>
        <v>0</v>
      </c>
      <c r="E72" s="390">
        <f>IF(equityperc&gt;0.99,0,IF(E5&gt;MAX(ASS!$X$32,ASS!$X$40,ASS!$X$48,ASS!$X$56,ASS!$X$64,ASS!$X$72),"n/a",(E51+E67+E42)/(FIN!E12-TAXES_FEES!#REF!)))</f>
        <v>0</v>
      </c>
      <c r="F72" s="390">
        <f>IF(equityperc&gt;0.99,0,IF(F5&gt;MAX(ASS!$X$32,ASS!$X$40,ASS!$X$48,ASS!$X$56,ASS!$X$64,ASS!$X$72),"n/a",(F51+F67+F42)/(FIN!F12-TAXES_FEES!#REF!)))</f>
        <v>0</v>
      </c>
      <c r="G72" s="94"/>
    </row>
    <row r="75" spans="1:9" x14ac:dyDescent="0.2">
      <c r="A75" s="408"/>
      <c r="B75" s="408"/>
      <c r="C75" s="408"/>
      <c r="D75" s="408"/>
      <c r="E75" s="408"/>
      <c r="F75" s="408"/>
    </row>
    <row r="76" spans="1:9" x14ac:dyDescent="0.2">
      <c r="B76" s="388"/>
      <c r="C76" s="388"/>
      <c r="D76" s="388"/>
      <c r="E76" s="388"/>
      <c r="F76" s="388"/>
    </row>
    <row r="82" spans="1:1" x14ac:dyDescent="0.2">
      <c r="A82" s="409"/>
    </row>
    <row r="83" spans="1:1" x14ac:dyDescent="0.2">
      <c r="A83" s="409"/>
    </row>
    <row r="84" spans="1:1" x14ac:dyDescent="0.2">
      <c r="A84" s="409"/>
    </row>
  </sheetData>
  <printOptions horizontalCentered="1"/>
  <pageMargins left="0.5" right="1" top="0.75" bottom="0.75" header="0.5" footer="0.5"/>
  <pageSetup scale="54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P53"/>
  <sheetViews>
    <sheetView tabSelected="1" workbookViewId="0">
      <selection activeCell="G27" sqref="G27"/>
    </sheetView>
  </sheetViews>
  <sheetFormatPr defaultRowHeight="12.75" x14ac:dyDescent="0.2"/>
  <cols>
    <col min="1" max="1" width="18" style="47" bestFit="1" customWidth="1"/>
    <col min="2" max="2" width="32" style="47" customWidth="1"/>
    <col min="3" max="3" width="3.7109375" style="47" customWidth="1"/>
    <col min="4" max="7" width="9.140625" style="47"/>
    <col min="8" max="8" width="9.85546875" style="47" bestFit="1" customWidth="1"/>
    <col min="9" max="16384" width="9.140625" style="47"/>
  </cols>
  <sheetData>
    <row r="1" spans="1:10" ht="15.75" x14ac:dyDescent="0.25">
      <c r="A1" s="207" t="s">
        <v>198</v>
      </c>
      <c r="B1" s="226"/>
    </row>
    <row r="2" spans="1:10" ht="15.75" x14ac:dyDescent="0.25">
      <c r="A2" s="227">
        <f>ASS!A4</f>
        <v>0</v>
      </c>
      <c r="B2" s="228"/>
    </row>
    <row r="3" spans="1:10" ht="15.75" x14ac:dyDescent="0.25">
      <c r="A3" s="229" t="str">
        <f>ASS!A5</f>
        <v>BASE MODEL</v>
      </c>
      <c r="B3" s="230"/>
      <c r="D3" s="394"/>
      <c r="F3" s="409"/>
    </row>
    <row r="5" spans="1:10" x14ac:dyDescent="0.2">
      <c r="A5" s="52" t="s">
        <v>199</v>
      </c>
      <c r="B5" s="59"/>
      <c r="C5" s="59"/>
      <c r="D5" s="59">
        <f>IF(D6&lt;STARTYR,0,#REF!+1)</f>
        <v>0</v>
      </c>
      <c r="E5" s="59">
        <f>IF(E6&lt;STARTYR,0,D5+1)</f>
        <v>1</v>
      </c>
      <c r="F5" s="59">
        <f>IF(F6&lt;STARTYR,0,E5+1)</f>
        <v>2</v>
      </c>
      <c r="G5" s="59">
        <f>IF(G6&lt;STARTYR,0,F5+1)</f>
        <v>3</v>
      </c>
      <c r="H5" s="48"/>
    </row>
    <row r="6" spans="1:10" x14ac:dyDescent="0.2">
      <c r="A6" s="306" t="s">
        <v>166</v>
      </c>
      <c r="B6" s="79"/>
      <c r="C6" s="79"/>
      <c r="D6" s="153">
        <f>E6-1</f>
        <v>2000</v>
      </c>
      <c r="E6" s="153">
        <f>CF!D6</f>
        <v>2001</v>
      </c>
      <c r="F6" s="153">
        <f>CF!E6</f>
        <v>2002</v>
      </c>
      <c r="G6" s="153">
        <f>CF!F6</f>
        <v>2003</v>
      </c>
      <c r="H6" s="232" t="s">
        <v>167</v>
      </c>
    </row>
    <row r="7" spans="1:10" x14ac:dyDescent="0.2">
      <c r="A7" s="60"/>
      <c r="B7" s="62"/>
      <c r="C7" s="62"/>
      <c r="D7" s="62"/>
      <c r="E7" s="62"/>
      <c r="F7" s="62"/>
      <c r="G7" s="62"/>
      <c r="H7" s="61"/>
    </row>
    <row r="8" spans="1:10" x14ac:dyDescent="0.2">
      <c r="A8" s="96" t="s">
        <v>200</v>
      </c>
      <c r="B8" s="59"/>
      <c r="C8" s="59"/>
      <c r="D8" s="59"/>
      <c r="E8" s="59"/>
      <c r="F8" s="59"/>
      <c r="G8" s="59"/>
      <c r="H8" s="48"/>
    </row>
    <row r="9" spans="1:10" x14ac:dyDescent="0.2">
      <c r="A9" s="60"/>
      <c r="B9" s="62" t="s">
        <v>201</v>
      </c>
      <c r="C9" s="62"/>
      <c r="D9" s="451">
        <f>-EQUITY</f>
        <v>-13000</v>
      </c>
      <c r="E9" s="450">
        <v>0</v>
      </c>
      <c r="F9" s="451">
        <f>E9</f>
        <v>0</v>
      </c>
      <c r="G9" s="451">
        <f>F9</f>
        <v>0</v>
      </c>
      <c r="H9" s="82">
        <f>SUM(D9:G9)</f>
        <v>-13000</v>
      </c>
      <c r="I9" s="95" t="str">
        <f>IF(ABS(H9+EQUITY)&lt;0.1," ", "CHECK")</f>
        <v xml:space="preserve"> </v>
      </c>
    </row>
    <row r="10" spans="1:10" x14ac:dyDescent="0.2">
      <c r="A10" s="60"/>
      <c r="B10" s="62" t="s">
        <v>202</v>
      </c>
      <c r="C10" s="62"/>
      <c r="D10" s="448">
        <f>CF!C69</f>
        <v>0</v>
      </c>
      <c r="E10" s="448">
        <f>CF!D69</f>
        <v>7054.1</v>
      </c>
      <c r="F10" s="448">
        <f>CF!E69</f>
        <v>6153.1819999999998</v>
      </c>
      <c r="G10" s="448">
        <f>CF!F69</f>
        <v>5252.2456400000001</v>
      </c>
      <c r="H10" s="89">
        <f>SUM(D10:G10)</f>
        <v>18459.52764</v>
      </c>
      <c r="I10" s="95" t="str">
        <f>IF(ABS($H$10-CF!$G$69)&lt;0.01," ","CHECK:  DOES NOT EQUAL TOTAL CF DISTRIBUTED")</f>
        <v xml:space="preserve"> </v>
      </c>
    </row>
    <row r="11" spans="1:10" s="80" customFormat="1" x14ac:dyDescent="0.2">
      <c r="A11" s="124"/>
      <c r="B11" s="62" t="s">
        <v>203</v>
      </c>
      <c r="C11" s="62"/>
      <c r="D11" s="162">
        <f>SUM(D9:D10)</f>
        <v>-13000</v>
      </c>
      <c r="E11" s="162">
        <f>SUM(E9:E10)</f>
        <v>7054.1</v>
      </c>
      <c r="F11" s="162">
        <f>SUM(F9:F10)</f>
        <v>6153.1819999999998</v>
      </c>
      <c r="G11" s="162">
        <f>SUM(G9:G10)</f>
        <v>5252.2456400000001</v>
      </c>
      <c r="H11" s="163">
        <f>SUM(H9:H10)</f>
        <v>5459.5276400000002</v>
      </c>
      <c r="J11" s="47"/>
    </row>
    <row r="12" spans="1:10" x14ac:dyDescent="0.2">
      <c r="A12" s="60"/>
      <c r="B12" s="62" t="s">
        <v>204</v>
      </c>
      <c r="C12" s="62"/>
      <c r="D12" s="160">
        <f>D11</f>
        <v>-13000</v>
      </c>
      <c r="E12" s="160">
        <f>$D$11+NPV(DISC, $E$11:E11)</f>
        <v>-6587.181818181818</v>
      </c>
      <c r="F12" s="160">
        <f>$D$11+NPV(DISC, $E$11:F11)</f>
        <v>-1501.9074380165312</v>
      </c>
      <c r="G12" s="160">
        <f>$D$11+NPV(DISC, $E$11:G11)</f>
        <v>2444.1824492862488</v>
      </c>
      <c r="H12" s="82">
        <f>SUM(D12:G12)</f>
        <v>-18644.906806912099</v>
      </c>
    </row>
    <row r="13" spans="1:10" x14ac:dyDescent="0.2">
      <c r="A13" s="60"/>
      <c r="B13" s="62" t="s">
        <v>205</v>
      </c>
      <c r="C13" s="62"/>
      <c r="D13" s="64" t="e">
        <f>IRR($D$11:D11, -0.9)</f>
        <v>#NUM!</v>
      </c>
      <c r="E13" s="64">
        <f>IRR($D$11:E11, -0.9)</f>
        <v>-0.45737692307700406</v>
      </c>
      <c r="F13" s="64">
        <f>IRR($D$11:F11, -0.9)</f>
        <v>1.0859808157311964E-2</v>
      </c>
      <c r="G13" s="64">
        <f>IRR($D$11:G11, -0.9)</f>
        <v>0.20985859719338909</v>
      </c>
      <c r="H13" s="50"/>
    </row>
    <row r="14" spans="1:10" x14ac:dyDescent="0.2">
      <c r="A14" s="60"/>
      <c r="B14" s="62"/>
      <c r="C14" s="62"/>
      <c r="D14" s="164"/>
      <c r="E14" s="164"/>
      <c r="F14" s="164"/>
      <c r="G14" s="164"/>
      <c r="H14" s="452"/>
      <c r="I14" s="164"/>
      <c r="J14" s="62"/>
    </row>
    <row r="15" spans="1:10" x14ac:dyDescent="0.2">
      <c r="A15" s="60"/>
      <c r="B15" s="86" t="s">
        <v>368</v>
      </c>
      <c r="C15" s="432">
        <f>DISC</f>
        <v>0.1</v>
      </c>
      <c r="D15" s="198">
        <f>G12</f>
        <v>2444.1824492862488</v>
      </c>
      <c r="E15" s="198"/>
      <c r="F15" s="385"/>
      <c r="G15" s="386"/>
      <c r="H15" s="452"/>
      <c r="I15" s="164"/>
      <c r="J15" s="62"/>
    </row>
    <row r="16" spans="1:10" x14ac:dyDescent="0.2">
      <c r="A16" s="60"/>
      <c r="B16" s="86" t="s">
        <v>3</v>
      </c>
      <c r="C16" s="62"/>
      <c r="D16" s="421">
        <f>G13</f>
        <v>0.20985859719338909</v>
      </c>
      <c r="E16" s="421"/>
      <c r="F16" s="164"/>
      <c r="G16" s="164"/>
      <c r="H16" s="452"/>
      <c r="I16" s="164"/>
      <c r="J16" s="62"/>
    </row>
    <row r="17" spans="1:11" x14ac:dyDescent="0.2">
      <c r="A17" s="71"/>
      <c r="B17" s="153" t="s">
        <v>206</v>
      </c>
      <c r="C17" s="79"/>
      <c r="D17" s="449">
        <f>MAX(F17:I17)</f>
        <v>2</v>
      </c>
      <c r="E17" s="231">
        <f>IF(AND(E12&gt;0,D12&lt;0),D5,0)</f>
        <v>0</v>
      </c>
      <c r="F17" s="231">
        <f>IF(AND(F12&gt;0,E12&lt;0),E5,0)</f>
        <v>0</v>
      </c>
      <c r="G17" s="231">
        <f>IF(AND(G12&gt;0,F12&lt;0),F5,0)</f>
        <v>2</v>
      </c>
      <c r="H17" s="453">
        <f>SUM(E17:G17)</f>
        <v>2</v>
      </c>
      <c r="I17" s="447"/>
      <c r="J17" s="62"/>
    </row>
    <row r="18" spans="1:11" x14ac:dyDescent="0.2">
      <c r="A18" s="62"/>
      <c r="B18" s="62"/>
      <c r="C18" s="62"/>
      <c r="D18" s="164"/>
      <c r="E18" s="164"/>
      <c r="F18" s="164"/>
      <c r="G18" s="164"/>
      <c r="H18" s="164"/>
      <c r="I18" s="164"/>
      <c r="J18" s="164"/>
      <c r="K18" s="62"/>
    </row>
    <row r="19" spans="1:11" x14ac:dyDescent="0.2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1:11" x14ac:dyDescent="0.2">
      <c r="A20" s="96" t="s">
        <v>207</v>
      </c>
      <c r="B20" s="59"/>
      <c r="C20" s="97"/>
      <c r="D20" s="59"/>
      <c r="E20" s="59"/>
      <c r="F20" s="59"/>
      <c r="G20" s="59"/>
      <c r="H20" s="48"/>
    </row>
    <row r="21" spans="1:11" x14ac:dyDescent="0.2">
      <c r="A21" s="165">
        <f>ASS!$I$26</f>
        <v>1</v>
      </c>
      <c r="B21" s="62" t="s">
        <v>201</v>
      </c>
      <c r="C21" s="62"/>
      <c r="D21" s="451">
        <f>-EQUITY</f>
        <v>-13000</v>
      </c>
      <c r="E21" s="459">
        <v>0</v>
      </c>
      <c r="F21" s="451">
        <f>E21</f>
        <v>0</v>
      </c>
      <c r="G21" s="160">
        <f>G9*$A$21</f>
        <v>0</v>
      </c>
      <c r="H21" s="82">
        <f>SUM(D21:G21)</f>
        <v>-13000</v>
      </c>
    </row>
    <row r="22" spans="1:11" x14ac:dyDescent="0.2">
      <c r="A22" s="165">
        <f>ASS!$J$26</f>
        <v>1</v>
      </c>
      <c r="B22" s="62" t="s">
        <v>202</v>
      </c>
      <c r="C22" s="62"/>
      <c r="D22" s="448">
        <f>CF!C81</f>
        <v>0</v>
      </c>
      <c r="E22" s="448">
        <f>CF!D69</f>
        <v>7054.1</v>
      </c>
      <c r="F22" s="448">
        <f>CF!E69</f>
        <v>6153.1819999999998</v>
      </c>
      <c r="G22" s="160">
        <f>G10*$A$22</f>
        <v>5252.2456400000001</v>
      </c>
      <c r="H22" s="82">
        <f>SUM(D22:G22)</f>
        <v>18459.52764</v>
      </c>
    </row>
    <row r="23" spans="1:11" s="168" customFormat="1" x14ac:dyDescent="0.2">
      <c r="A23" s="167"/>
      <c r="B23" s="62" t="s">
        <v>203</v>
      </c>
      <c r="C23" s="62"/>
      <c r="D23" s="162">
        <f>SUM(D21:D22)</f>
        <v>-13000</v>
      </c>
      <c r="E23" s="162">
        <f>SUM(E21:E22)</f>
        <v>7054.1</v>
      </c>
      <c r="F23" s="162">
        <f>SUM(F21:F22)</f>
        <v>6153.1819999999998</v>
      </c>
      <c r="G23" s="162">
        <f>SUM(G22:G22)</f>
        <v>5252.2456400000001</v>
      </c>
      <c r="H23" s="163">
        <f>SUM(D23:G23)</f>
        <v>5459.5276400000002</v>
      </c>
      <c r="J23" s="47"/>
    </row>
    <row r="24" spans="1:11" x14ac:dyDescent="0.2">
      <c r="A24" s="60"/>
      <c r="B24" s="62" t="s">
        <v>204</v>
      </c>
      <c r="C24" s="62"/>
      <c r="D24" s="160">
        <f>D23</f>
        <v>-13000</v>
      </c>
      <c r="E24" s="160">
        <f>$D$23+NPV(DISC, E$23:$E23)</f>
        <v>-6587.181818181818</v>
      </c>
      <c r="F24" s="160">
        <f>$D$11+NPV(DISC, $E$23:F23)</f>
        <v>-1501.9074380165312</v>
      </c>
      <c r="G24" s="160">
        <f>$D$23+NPV(DISC, $E$23:G23)</f>
        <v>2444.1824492862488</v>
      </c>
      <c r="H24" s="82">
        <f>SUM(D24:G24)</f>
        <v>-18644.906806912099</v>
      </c>
    </row>
    <row r="25" spans="1:11" x14ac:dyDescent="0.2">
      <c r="A25" s="60"/>
      <c r="B25" s="62" t="s">
        <v>205</v>
      </c>
      <c r="C25" s="62"/>
      <c r="D25" s="64" t="e">
        <f>IF(D23=0, 0, IRR($D$23:D23))</f>
        <v>#NUM!</v>
      </c>
      <c r="E25" s="64">
        <f>IRR($D$23:E23, -0.9)</f>
        <v>-0.45737692307700406</v>
      </c>
      <c r="F25" s="64">
        <f>IRR($D$23:F23, -0.9)</f>
        <v>1.0859808157311964E-2</v>
      </c>
      <c r="G25" s="64">
        <f>IF(G23=0, 0, IRR($D$23:G23))</f>
        <v>0.20985859719811081</v>
      </c>
      <c r="H25" s="50"/>
    </row>
    <row r="26" spans="1:11" ht="13.5" thickBot="1" x14ac:dyDescent="0.25">
      <c r="A26" s="60"/>
      <c r="B26" s="62"/>
      <c r="C26" s="62"/>
      <c r="D26" s="164"/>
      <c r="E26" s="164"/>
      <c r="F26" s="164"/>
      <c r="G26" s="164"/>
      <c r="H26" s="50"/>
    </row>
    <row r="27" spans="1:11" x14ac:dyDescent="0.2">
      <c r="A27" s="60"/>
      <c r="B27" s="100" t="s">
        <v>367</v>
      </c>
      <c r="C27" s="387">
        <f>ASS!V12</f>
        <v>0.1</v>
      </c>
      <c r="D27" s="233">
        <f>G24</f>
        <v>2444.1824492862488</v>
      </c>
      <c r="E27" s="198"/>
      <c r="F27" s="164"/>
      <c r="G27" s="164"/>
      <c r="H27" s="50"/>
    </row>
    <row r="28" spans="1:11" x14ac:dyDescent="0.2">
      <c r="A28" s="60"/>
      <c r="B28" s="110" t="s">
        <v>4</v>
      </c>
      <c r="C28" s="86"/>
      <c r="D28" s="234">
        <f>G25</f>
        <v>0.20985859719811081</v>
      </c>
      <c r="E28" s="421"/>
      <c r="F28" s="164"/>
      <c r="G28" s="164"/>
      <c r="H28" s="50"/>
    </row>
    <row r="29" spans="1:11" ht="13.5" thickBot="1" x14ac:dyDescent="0.25">
      <c r="A29" s="71"/>
      <c r="B29" s="235" t="s">
        <v>206</v>
      </c>
      <c r="C29" s="236"/>
      <c r="D29" s="237">
        <f>MAX(F29:G29)</f>
        <v>2</v>
      </c>
      <c r="E29" s="445">
        <f>IF(AND(E24&gt;0,C24&lt;0),D5,0)</f>
        <v>0</v>
      </c>
      <c r="F29" s="201">
        <f>IF(AND(F24&gt;0,D24&lt;0),E5,0)</f>
        <v>0</v>
      </c>
      <c r="G29" s="231">
        <f>IF(AND(G24&gt;0,F24&lt;0),F5,0)</f>
        <v>2</v>
      </c>
      <c r="H29" s="453">
        <f>SUM(E29:G29)</f>
        <v>2</v>
      </c>
    </row>
    <row r="30" spans="1:11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1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2" spans="1:11" x14ac:dyDescent="0.2">
      <c r="A32" s="434"/>
      <c r="B32" s="62"/>
      <c r="C32" s="86"/>
      <c r="D32" s="62"/>
      <c r="E32" s="62"/>
      <c r="F32" s="62"/>
      <c r="G32" s="62"/>
      <c r="H32" s="62"/>
      <c r="I32" s="62"/>
      <c r="J32" s="62"/>
      <c r="K32" s="62"/>
    </row>
    <row r="33" spans="1:16" x14ac:dyDescent="0.2">
      <c r="A33" s="111"/>
      <c r="B33" s="62"/>
      <c r="C33" s="62"/>
      <c r="D33" s="160"/>
      <c r="E33" s="160"/>
      <c r="F33" s="160"/>
      <c r="G33" s="160"/>
      <c r="H33" s="160"/>
      <c r="I33" s="160"/>
      <c r="J33" s="160"/>
      <c r="K33" s="160"/>
    </row>
    <row r="34" spans="1:16" x14ac:dyDescent="0.2">
      <c r="A34" s="111"/>
      <c r="B34" s="62"/>
      <c r="C34" s="62"/>
      <c r="D34" s="160"/>
      <c r="E34" s="160"/>
      <c r="F34" s="160"/>
      <c r="G34" s="160"/>
      <c r="H34" s="160"/>
      <c r="I34" s="160"/>
      <c r="J34" s="160"/>
      <c r="K34" s="160"/>
    </row>
    <row r="35" spans="1:16" s="80" customFormat="1" x14ac:dyDescent="0.2">
      <c r="A35" s="435"/>
      <c r="B35" s="62"/>
      <c r="C35" s="62"/>
      <c r="D35" s="161"/>
      <c r="E35" s="161"/>
      <c r="F35" s="161"/>
      <c r="G35" s="161"/>
      <c r="H35" s="161"/>
      <c r="I35" s="161"/>
      <c r="J35" s="161"/>
      <c r="K35" s="161"/>
      <c r="M35" s="47"/>
      <c r="P35" s="81"/>
    </row>
    <row r="36" spans="1:16" s="168" customFormat="1" x14ac:dyDescent="0.2">
      <c r="A36" s="436"/>
      <c r="B36" s="62"/>
      <c r="C36" s="62"/>
      <c r="D36" s="162"/>
      <c r="E36" s="162"/>
      <c r="F36" s="162"/>
      <c r="G36" s="162"/>
      <c r="H36" s="162"/>
      <c r="I36" s="162"/>
      <c r="J36" s="162"/>
      <c r="K36" s="162"/>
      <c r="M36" s="47"/>
    </row>
    <row r="37" spans="1:16" x14ac:dyDescent="0.2">
      <c r="A37" s="113"/>
      <c r="B37" s="62"/>
      <c r="C37" s="62"/>
      <c r="D37" s="160"/>
      <c r="E37" s="160"/>
      <c r="F37" s="160"/>
      <c r="G37" s="160"/>
      <c r="H37" s="160"/>
      <c r="I37" s="160"/>
      <c r="J37" s="160"/>
      <c r="K37" s="160"/>
    </row>
    <row r="38" spans="1:16" x14ac:dyDescent="0.2">
      <c r="A38" s="113"/>
      <c r="B38" s="62"/>
      <c r="C38" s="62"/>
      <c r="D38" s="64"/>
      <c r="E38" s="64"/>
      <c r="F38" s="64"/>
      <c r="G38" s="64"/>
      <c r="H38" s="64"/>
      <c r="I38" s="64"/>
      <c r="J38" s="64"/>
      <c r="K38" s="62"/>
    </row>
    <row r="39" spans="1:16" x14ac:dyDescent="0.2">
      <c r="A39" s="113"/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1:16" x14ac:dyDescent="0.2">
      <c r="A40" s="113"/>
      <c r="B40" s="86"/>
      <c r="C40" s="432"/>
      <c r="D40" s="198"/>
      <c r="E40" s="198"/>
      <c r="F40" s="62"/>
      <c r="G40" s="62"/>
      <c r="H40" s="62"/>
      <c r="I40" s="62"/>
      <c r="J40" s="62"/>
      <c r="K40" s="62"/>
    </row>
    <row r="41" spans="1:16" x14ac:dyDescent="0.2">
      <c r="A41" s="113"/>
      <c r="B41" s="86"/>
      <c r="C41" s="86"/>
      <c r="D41" s="421"/>
      <c r="E41" s="421"/>
      <c r="F41" s="62"/>
      <c r="G41" s="62"/>
      <c r="H41" s="62"/>
      <c r="I41" s="62"/>
      <c r="J41" s="62"/>
      <c r="K41" s="62"/>
    </row>
    <row r="42" spans="1:16" x14ac:dyDescent="0.2">
      <c r="A42" s="113"/>
      <c r="B42" s="62"/>
      <c r="C42" s="62"/>
      <c r="D42" s="62"/>
      <c r="E42" s="62"/>
      <c r="F42" s="62"/>
      <c r="G42" s="62"/>
      <c r="H42" s="62"/>
      <c r="I42" s="62"/>
      <c r="J42" s="62"/>
      <c r="K42" s="62"/>
    </row>
    <row r="43" spans="1:16" x14ac:dyDescent="0.2">
      <c r="A43" s="113"/>
      <c r="B43" s="62"/>
      <c r="C43" s="62"/>
      <c r="D43" s="62"/>
      <c r="E43" s="62"/>
      <c r="F43" s="62"/>
      <c r="G43" s="62"/>
      <c r="H43" s="62"/>
      <c r="I43" s="62"/>
      <c r="J43" s="62"/>
      <c r="K43" s="62"/>
    </row>
    <row r="44" spans="1:16" x14ac:dyDescent="0.2">
      <c r="A44" s="434"/>
      <c r="B44" s="62"/>
      <c r="C44" s="86"/>
      <c r="D44" s="62"/>
      <c r="E44" s="62"/>
      <c r="F44" s="62"/>
      <c r="G44" s="62"/>
      <c r="H44" s="62"/>
      <c r="I44" s="62"/>
      <c r="J44" s="62"/>
      <c r="K44" s="62"/>
    </row>
    <row r="45" spans="1:16" x14ac:dyDescent="0.2">
      <c r="A45" s="111"/>
      <c r="B45" s="62"/>
      <c r="C45" s="62"/>
      <c r="D45" s="160"/>
      <c r="E45" s="160"/>
      <c r="F45" s="160"/>
      <c r="G45" s="160"/>
      <c r="H45" s="160"/>
      <c r="I45" s="160"/>
      <c r="J45" s="160"/>
      <c r="K45" s="160"/>
    </row>
    <row r="46" spans="1:16" x14ac:dyDescent="0.2">
      <c r="A46" s="111"/>
      <c r="B46" s="62"/>
      <c r="C46" s="62"/>
      <c r="D46" s="160"/>
      <c r="E46" s="160"/>
      <c r="F46" s="160"/>
      <c r="G46" s="160"/>
      <c r="H46" s="160"/>
      <c r="I46" s="160"/>
      <c r="J46" s="160"/>
      <c r="K46" s="160"/>
    </row>
    <row r="47" spans="1:16" s="80" customFormat="1" x14ac:dyDescent="0.2">
      <c r="A47" s="435"/>
      <c r="B47" s="62"/>
      <c r="C47" s="62"/>
      <c r="D47" s="161"/>
      <c r="E47" s="161"/>
      <c r="F47" s="161"/>
      <c r="G47" s="161"/>
      <c r="H47" s="161"/>
      <c r="I47" s="161"/>
      <c r="J47" s="161"/>
      <c r="K47" s="161"/>
      <c r="M47" s="47"/>
      <c r="P47" s="81"/>
    </row>
    <row r="48" spans="1:16" s="168" customFormat="1" x14ac:dyDescent="0.2">
      <c r="A48" s="436"/>
      <c r="B48" s="62"/>
      <c r="C48" s="62"/>
      <c r="D48" s="162"/>
      <c r="E48" s="162"/>
      <c r="F48" s="162"/>
      <c r="G48" s="162"/>
      <c r="H48" s="162"/>
      <c r="I48" s="162"/>
      <c r="J48" s="162"/>
      <c r="K48" s="162"/>
      <c r="M48" s="47"/>
    </row>
    <row r="49" spans="1:11" x14ac:dyDescent="0.2">
      <c r="A49" s="113"/>
      <c r="B49" s="62"/>
      <c r="C49" s="62"/>
      <c r="D49" s="160"/>
      <c r="E49" s="160"/>
      <c r="F49" s="160"/>
      <c r="G49" s="160"/>
      <c r="H49" s="160"/>
      <c r="I49" s="160"/>
      <c r="J49" s="160"/>
      <c r="K49" s="160"/>
    </row>
    <row r="50" spans="1:11" x14ac:dyDescent="0.2">
      <c r="A50" s="113"/>
      <c r="B50" s="62"/>
      <c r="C50" s="62"/>
      <c r="D50" s="64"/>
      <c r="E50" s="64"/>
      <c r="F50" s="64"/>
      <c r="G50" s="64"/>
      <c r="H50" s="64"/>
      <c r="I50" s="64"/>
      <c r="J50" s="64"/>
      <c r="K50" s="62"/>
    </row>
    <row r="51" spans="1:11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 x14ac:dyDescent="0.2">
      <c r="A52" s="62"/>
      <c r="B52" s="433"/>
      <c r="C52" s="432"/>
      <c r="D52" s="422"/>
      <c r="E52" s="422"/>
      <c r="F52" s="62"/>
      <c r="G52" s="62"/>
      <c r="H52" s="62"/>
      <c r="I52" s="62"/>
      <c r="J52" s="62"/>
      <c r="K52" s="62"/>
    </row>
    <row r="53" spans="1:11" x14ac:dyDescent="0.2">
      <c r="A53" s="62"/>
      <c r="B53" s="433"/>
      <c r="C53" s="433"/>
      <c r="D53" s="423"/>
      <c r="E53" s="423"/>
      <c r="F53" s="62"/>
      <c r="G53" s="62"/>
      <c r="H53" s="62"/>
      <c r="I53" s="62"/>
      <c r="J53" s="62"/>
      <c r="K53" s="62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4"/>
  <sheetViews>
    <sheetView topLeftCell="A46" workbookViewId="0">
      <selection activeCell="J14" sqref="J14"/>
    </sheetView>
  </sheetViews>
  <sheetFormatPr defaultRowHeight="12.75" x14ac:dyDescent="0.2"/>
  <cols>
    <col min="1" max="2" width="9.140625" style="47"/>
    <col min="3" max="3" width="21.7109375" style="47" customWidth="1"/>
    <col min="4" max="6" width="9.140625" style="47"/>
    <col min="7" max="7" width="10" style="47" customWidth="1"/>
    <col min="8" max="9" width="9.140625" style="47"/>
    <col min="10" max="10" width="8.7109375" style="47" customWidth="1"/>
    <col min="11" max="11" width="13.5703125" style="47" customWidth="1"/>
    <col min="12" max="12" width="9" style="47" customWidth="1"/>
    <col min="13" max="13" width="13.85546875" style="47" customWidth="1"/>
    <col min="14" max="14" width="10.28515625" style="47" customWidth="1"/>
    <col min="15" max="15" width="15.140625" style="47" customWidth="1"/>
    <col min="16" max="16384" width="9.140625" style="47"/>
  </cols>
  <sheetData>
    <row r="1" spans="1:8" ht="15.75" x14ac:dyDescent="0.25">
      <c r="A1" s="207" t="s">
        <v>208</v>
      </c>
      <c r="B1" s="250"/>
      <c r="C1" s="226"/>
    </row>
    <row r="2" spans="1:8" ht="15.75" x14ac:dyDescent="0.25">
      <c r="A2" s="227">
        <f>ASS!A4</f>
        <v>0</v>
      </c>
      <c r="B2" s="222"/>
      <c r="C2" s="228"/>
    </row>
    <row r="3" spans="1:8" ht="15.75" x14ac:dyDescent="0.25">
      <c r="A3" s="229" t="str">
        <f>ASS!A5</f>
        <v>BASE MODEL</v>
      </c>
      <c r="B3" s="251"/>
      <c r="C3" s="230"/>
    </row>
    <row r="5" spans="1:8" x14ac:dyDescent="0.2">
      <c r="B5" s="311" t="s">
        <v>209</v>
      </c>
      <c r="C5" s="88"/>
      <c r="D5" s="441">
        <v>13000</v>
      </c>
    </row>
    <row r="6" spans="1:8" x14ac:dyDescent="0.2">
      <c r="B6" s="60"/>
      <c r="E6" s="312" t="s">
        <v>210</v>
      </c>
      <c r="F6" s="169"/>
      <c r="G6" s="170"/>
    </row>
    <row r="7" spans="1:8" x14ac:dyDescent="0.2">
      <c r="B7" s="48"/>
      <c r="C7" s="59"/>
      <c r="D7" s="53"/>
      <c r="E7" s="316" t="s">
        <v>211</v>
      </c>
      <c r="F7" s="318" t="s">
        <v>211</v>
      </c>
      <c r="G7" s="319" t="s">
        <v>212</v>
      </c>
    </row>
    <row r="8" spans="1:8" x14ac:dyDescent="0.2">
      <c r="B8" s="50"/>
      <c r="C8" s="315" t="s">
        <v>213</v>
      </c>
      <c r="D8" s="61"/>
      <c r="E8" s="317" t="s">
        <v>214</v>
      </c>
      <c r="F8" s="315" t="s">
        <v>215</v>
      </c>
      <c r="G8" s="320" t="s">
        <v>215</v>
      </c>
    </row>
    <row r="9" spans="1:8" x14ac:dyDescent="0.2">
      <c r="B9" s="313" t="s">
        <v>216</v>
      </c>
      <c r="C9" s="314" t="s">
        <v>217</v>
      </c>
      <c r="D9" s="61"/>
      <c r="E9" s="67" t="s">
        <v>218</v>
      </c>
      <c r="F9" s="69" t="s">
        <v>219</v>
      </c>
      <c r="G9" s="68" t="s">
        <v>219</v>
      </c>
    </row>
    <row r="10" spans="1:8" x14ac:dyDescent="0.2">
      <c r="A10" s="337">
        <v>1</v>
      </c>
      <c r="B10" s="442">
        <v>36739</v>
      </c>
      <c r="C10" s="47" t="s">
        <v>414</v>
      </c>
      <c r="D10" s="61"/>
      <c r="E10" s="443">
        <v>0.03</v>
      </c>
      <c r="F10" s="63">
        <f>E10*$D$5</f>
        <v>390</v>
      </c>
      <c r="G10" s="70">
        <f>F10</f>
        <v>390</v>
      </c>
    </row>
    <row r="11" spans="1:8" x14ac:dyDescent="0.2">
      <c r="A11" s="47">
        <f>A10+1</f>
        <v>2</v>
      </c>
      <c r="B11" s="442">
        <v>36770</v>
      </c>
      <c r="C11" s="62" t="s">
        <v>416</v>
      </c>
      <c r="D11" s="61"/>
      <c r="E11" s="443">
        <v>0.2</v>
      </c>
      <c r="F11" s="63">
        <f t="shared" ref="F11:F26" si="0">E11*$D$5</f>
        <v>2600</v>
      </c>
      <c r="G11" s="70">
        <f>F11+G10</f>
        <v>2990</v>
      </c>
    </row>
    <row r="12" spans="1:8" x14ac:dyDescent="0.2">
      <c r="A12" s="47">
        <f t="shared" ref="A12:A27" si="1">A11+1</f>
        <v>3</v>
      </c>
      <c r="B12" s="442">
        <v>36800</v>
      </c>
      <c r="C12" s="47" t="s">
        <v>420</v>
      </c>
      <c r="D12" s="61"/>
      <c r="E12" s="443">
        <v>0</v>
      </c>
      <c r="F12" s="63">
        <f t="shared" si="0"/>
        <v>0</v>
      </c>
      <c r="G12" s="70">
        <f t="shared" ref="G12:G27" si="2">F12+G11</f>
        <v>2990</v>
      </c>
    </row>
    <row r="13" spans="1:8" customFormat="1" x14ac:dyDescent="0.2">
      <c r="A13" s="47">
        <f t="shared" si="1"/>
        <v>4</v>
      </c>
      <c r="B13" s="442">
        <v>36831</v>
      </c>
      <c r="C13" s="47" t="s">
        <v>415</v>
      </c>
      <c r="D13" s="61"/>
      <c r="E13" s="443">
        <v>0.06</v>
      </c>
      <c r="F13" s="63">
        <f t="shared" si="0"/>
        <v>780</v>
      </c>
      <c r="G13" s="70">
        <f t="shared" si="2"/>
        <v>3770</v>
      </c>
      <c r="H13" s="47"/>
    </row>
    <row r="14" spans="1:8" customFormat="1" x14ac:dyDescent="0.2">
      <c r="A14" s="47">
        <f t="shared" si="1"/>
        <v>5</v>
      </c>
      <c r="B14" s="442">
        <v>36861</v>
      </c>
      <c r="C14" s="62" t="s">
        <v>417</v>
      </c>
      <c r="D14" s="61"/>
      <c r="E14" s="443">
        <v>0.7</v>
      </c>
      <c r="F14" s="63">
        <f t="shared" si="0"/>
        <v>9100</v>
      </c>
      <c r="G14" s="70">
        <f t="shared" si="2"/>
        <v>12870</v>
      </c>
      <c r="H14" s="47"/>
    </row>
    <row r="15" spans="1:8" customFormat="1" x14ac:dyDescent="0.2">
      <c r="A15" s="47">
        <f t="shared" si="1"/>
        <v>6</v>
      </c>
      <c r="B15" s="442">
        <v>36892</v>
      </c>
      <c r="C15" s="62" t="s">
        <v>418</v>
      </c>
      <c r="D15" s="61"/>
      <c r="E15" s="172">
        <v>0</v>
      </c>
      <c r="F15" s="63">
        <f t="shared" si="0"/>
        <v>0</v>
      </c>
      <c r="G15" s="70">
        <f t="shared" si="2"/>
        <v>12870</v>
      </c>
      <c r="H15" s="47"/>
    </row>
    <row r="16" spans="1:8" customFormat="1" x14ac:dyDescent="0.2">
      <c r="A16" s="47">
        <f t="shared" si="1"/>
        <v>7</v>
      </c>
      <c r="B16" s="442">
        <v>36923</v>
      </c>
      <c r="C16" s="62" t="s">
        <v>418</v>
      </c>
      <c r="D16" s="61"/>
      <c r="E16" s="172">
        <f t="shared" ref="E16:E26" si="3">IF(TERM_C&gt;=A16, 1/TERM_C, 0)</f>
        <v>0</v>
      </c>
      <c r="F16" s="63">
        <f t="shared" si="0"/>
        <v>0</v>
      </c>
      <c r="G16" s="70">
        <f t="shared" si="2"/>
        <v>12870</v>
      </c>
      <c r="H16" s="47"/>
    </row>
    <row r="17" spans="1:8" customFormat="1" x14ac:dyDescent="0.2">
      <c r="A17" s="47">
        <f t="shared" si="1"/>
        <v>8</v>
      </c>
      <c r="B17" s="442">
        <v>36951</v>
      </c>
      <c r="C17" s="62" t="s">
        <v>418</v>
      </c>
      <c r="D17" s="61"/>
      <c r="E17" s="172">
        <f t="shared" si="3"/>
        <v>0</v>
      </c>
      <c r="F17" s="63">
        <f t="shared" si="0"/>
        <v>0</v>
      </c>
      <c r="G17" s="70">
        <f t="shared" si="2"/>
        <v>12870</v>
      </c>
      <c r="H17" s="47"/>
    </row>
    <row r="18" spans="1:8" customFormat="1" x14ac:dyDescent="0.2">
      <c r="A18" s="47">
        <f t="shared" si="1"/>
        <v>9</v>
      </c>
      <c r="B18" s="442">
        <v>36982</v>
      </c>
      <c r="C18" s="62" t="s">
        <v>418</v>
      </c>
      <c r="D18" s="61"/>
      <c r="E18" s="172">
        <f t="shared" si="3"/>
        <v>0</v>
      </c>
      <c r="F18" s="63">
        <f t="shared" si="0"/>
        <v>0</v>
      </c>
      <c r="G18" s="70">
        <f t="shared" si="2"/>
        <v>12870</v>
      </c>
      <c r="H18" s="47"/>
    </row>
    <row r="19" spans="1:8" customFormat="1" x14ac:dyDescent="0.2">
      <c r="A19" s="47">
        <f t="shared" si="1"/>
        <v>10</v>
      </c>
      <c r="B19" s="442">
        <v>37012</v>
      </c>
      <c r="C19" s="62" t="s">
        <v>418</v>
      </c>
      <c r="D19" s="61"/>
      <c r="E19" s="172">
        <f t="shared" si="3"/>
        <v>0</v>
      </c>
      <c r="F19" s="63">
        <f t="shared" si="0"/>
        <v>0</v>
      </c>
      <c r="G19" s="70">
        <f t="shared" si="2"/>
        <v>12870</v>
      </c>
      <c r="H19" s="47"/>
    </row>
    <row r="20" spans="1:8" customFormat="1" x14ac:dyDescent="0.2">
      <c r="A20" s="47">
        <f t="shared" si="1"/>
        <v>11</v>
      </c>
      <c r="B20" s="442">
        <v>37043</v>
      </c>
      <c r="C20" s="62" t="s">
        <v>419</v>
      </c>
      <c r="D20" s="61"/>
      <c r="E20" s="172">
        <f t="shared" si="3"/>
        <v>0</v>
      </c>
      <c r="F20" s="63">
        <f t="shared" si="0"/>
        <v>0</v>
      </c>
      <c r="G20" s="70">
        <f t="shared" si="2"/>
        <v>12870</v>
      </c>
      <c r="H20" s="47"/>
    </row>
    <row r="21" spans="1:8" customFormat="1" x14ac:dyDescent="0.2">
      <c r="A21" s="47">
        <f t="shared" si="1"/>
        <v>12</v>
      </c>
      <c r="B21" s="442">
        <v>37073</v>
      </c>
      <c r="C21" s="62" t="s">
        <v>419</v>
      </c>
      <c r="D21" s="61"/>
      <c r="E21" s="172">
        <f t="shared" si="3"/>
        <v>0</v>
      </c>
      <c r="F21" s="63">
        <f t="shared" si="0"/>
        <v>0</v>
      </c>
      <c r="G21" s="70">
        <f t="shared" si="2"/>
        <v>12870</v>
      </c>
      <c r="H21" s="47"/>
    </row>
    <row r="22" spans="1:8" customFormat="1" x14ac:dyDescent="0.2">
      <c r="A22" s="47">
        <f t="shared" si="1"/>
        <v>13</v>
      </c>
      <c r="B22" s="442">
        <v>37104</v>
      </c>
      <c r="C22" s="62" t="s">
        <v>419</v>
      </c>
      <c r="D22" s="61"/>
      <c r="E22" s="172">
        <f t="shared" si="3"/>
        <v>0</v>
      </c>
      <c r="F22" s="63">
        <f t="shared" si="0"/>
        <v>0</v>
      </c>
      <c r="G22" s="70">
        <f t="shared" si="2"/>
        <v>12870</v>
      </c>
      <c r="H22" s="47"/>
    </row>
    <row r="23" spans="1:8" customFormat="1" x14ac:dyDescent="0.2">
      <c r="A23" s="47">
        <f t="shared" si="1"/>
        <v>14</v>
      </c>
      <c r="B23" s="442">
        <v>37135</v>
      </c>
      <c r="C23" s="62" t="s">
        <v>419</v>
      </c>
      <c r="D23" s="61"/>
      <c r="E23" s="172">
        <f t="shared" si="3"/>
        <v>0</v>
      </c>
      <c r="F23" s="63">
        <f t="shared" si="0"/>
        <v>0</v>
      </c>
      <c r="G23" s="70">
        <f t="shared" si="2"/>
        <v>12870</v>
      </c>
      <c r="H23" s="47"/>
    </row>
    <row r="24" spans="1:8" x14ac:dyDescent="0.2">
      <c r="A24" s="47">
        <f t="shared" si="1"/>
        <v>15</v>
      </c>
      <c r="B24" s="442">
        <v>37165</v>
      </c>
      <c r="C24" s="62" t="s">
        <v>419</v>
      </c>
      <c r="D24" s="61"/>
      <c r="E24" s="172">
        <f t="shared" si="3"/>
        <v>0</v>
      </c>
      <c r="F24" s="63">
        <f t="shared" si="0"/>
        <v>0</v>
      </c>
      <c r="G24" s="70">
        <f t="shared" si="2"/>
        <v>12870</v>
      </c>
    </row>
    <row r="25" spans="1:8" x14ac:dyDescent="0.2">
      <c r="A25" s="47">
        <f t="shared" si="1"/>
        <v>16</v>
      </c>
      <c r="B25" s="442">
        <v>37196</v>
      </c>
      <c r="C25" s="62" t="s">
        <v>419</v>
      </c>
      <c r="D25" s="61"/>
      <c r="E25" s="172">
        <f t="shared" si="3"/>
        <v>0</v>
      </c>
      <c r="F25" s="63">
        <f t="shared" si="0"/>
        <v>0</v>
      </c>
      <c r="G25" s="70">
        <f t="shared" si="2"/>
        <v>12870</v>
      </c>
    </row>
    <row r="26" spans="1:8" x14ac:dyDescent="0.2">
      <c r="A26" s="47">
        <f t="shared" si="1"/>
        <v>17</v>
      </c>
      <c r="B26" s="442">
        <v>37226</v>
      </c>
      <c r="C26" s="62" t="s">
        <v>419</v>
      </c>
      <c r="D26" s="61"/>
      <c r="E26" s="172">
        <f t="shared" si="3"/>
        <v>0</v>
      </c>
      <c r="F26" s="63">
        <f t="shared" si="0"/>
        <v>0</v>
      </c>
      <c r="G26" s="70">
        <f t="shared" si="2"/>
        <v>12870</v>
      </c>
    </row>
    <row r="27" spans="1:8" x14ac:dyDescent="0.2">
      <c r="A27" s="47">
        <f t="shared" si="1"/>
        <v>18</v>
      </c>
      <c r="B27" s="442">
        <v>37257</v>
      </c>
      <c r="C27" s="62" t="s">
        <v>419</v>
      </c>
      <c r="D27" s="61"/>
      <c r="E27" s="172">
        <f t="shared" ref="E27:E42" si="4">IF(TERM_C&gt;=A27, 1/TERM_C, 0)</f>
        <v>0</v>
      </c>
      <c r="F27" s="63">
        <f t="shared" ref="F27:F42" si="5">E27*$D$5</f>
        <v>0</v>
      </c>
      <c r="G27" s="70">
        <f t="shared" si="2"/>
        <v>12870</v>
      </c>
    </row>
    <row r="28" spans="1:8" x14ac:dyDescent="0.2">
      <c r="A28" s="47">
        <f t="shared" ref="A28:A43" si="6">A27+1</f>
        <v>19</v>
      </c>
      <c r="B28" s="442">
        <v>37288</v>
      </c>
      <c r="C28" s="62" t="s">
        <v>419</v>
      </c>
      <c r="D28" s="61"/>
      <c r="E28" s="172">
        <f t="shared" si="4"/>
        <v>0</v>
      </c>
      <c r="F28" s="63">
        <f t="shared" si="5"/>
        <v>0</v>
      </c>
      <c r="G28" s="70">
        <f t="shared" ref="G28:G43" si="7">F28+G27</f>
        <v>12870</v>
      </c>
    </row>
    <row r="29" spans="1:8" x14ac:dyDescent="0.2">
      <c r="A29" s="47">
        <f t="shared" si="6"/>
        <v>20</v>
      </c>
      <c r="B29" s="442">
        <v>37316</v>
      </c>
      <c r="C29" s="62" t="s">
        <v>419</v>
      </c>
      <c r="D29" s="61"/>
      <c r="E29" s="172">
        <f t="shared" si="4"/>
        <v>0</v>
      </c>
      <c r="F29" s="63">
        <f t="shared" si="5"/>
        <v>0</v>
      </c>
      <c r="G29" s="70">
        <f t="shared" si="7"/>
        <v>12870</v>
      </c>
    </row>
    <row r="30" spans="1:8" x14ac:dyDescent="0.2">
      <c r="A30" s="47">
        <f t="shared" si="6"/>
        <v>21</v>
      </c>
      <c r="B30" s="442">
        <v>37347</v>
      </c>
      <c r="C30" s="62" t="s">
        <v>419</v>
      </c>
      <c r="D30" s="61"/>
      <c r="E30" s="172">
        <f t="shared" si="4"/>
        <v>0</v>
      </c>
      <c r="F30" s="63">
        <f t="shared" si="5"/>
        <v>0</v>
      </c>
      <c r="G30" s="70">
        <f t="shared" si="7"/>
        <v>12870</v>
      </c>
    </row>
    <row r="31" spans="1:8" x14ac:dyDescent="0.2">
      <c r="A31" s="47">
        <f t="shared" si="6"/>
        <v>22</v>
      </c>
      <c r="B31" s="442">
        <v>37377</v>
      </c>
      <c r="C31" s="62" t="s">
        <v>419</v>
      </c>
      <c r="D31" s="61"/>
      <c r="E31" s="172">
        <f t="shared" si="4"/>
        <v>0</v>
      </c>
      <c r="F31" s="63">
        <f t="shared" si="5"/>
        <v>0</v>
      </c>
      <c r="G31" s="70">
        <f t="shared" si="7"/>
        <v>12870</v>
      </c>
    </row>
    <row r="32" spans="1:8" x14ac:dyDescent="0.2">
      <c r="A32" s="47">
        <f t="shared" si="6"/>
        <v>23</v>
      </c>
      <c r="B32" s="442">
        <v>37408</v>
      </c>
      <c r="C32" s="62" t="s">
        <v>419</v>
      </c>
      <c r="D32" s="61"/>
      <c r="E32" s="172">
        <f t="shared" si="4"/>
        <v>0</v>
      </c>
      <c r="F32" s="63">
        <f t="shared" si="5"/>
        <v>0</v>
      </c>
      <c r="G32" s="70">
        <f t="shared" si="7"/>
        <v>12870</v>
      </c>
    </row>
    <row r="33" spans="1:7" x14ac:dyDescent="0.2">
      <c r="A33" s="47">
        <f t="shared" si="6"/>
        <v>24</v>
      </c>
      <c r="B33" s="442">
        <v>37438</v>
      </c>
      <c r="C33" s="62" t="s">
        <v>419</v>
      </c>
      <c r="D33" s="61"/>
      <c r="E33" s="172">
        <f t="shared" si="4"/>
        <v>0</v>
      </c>
      <c r="F33" s="63">
        <f t="shared" si="5"/>
        <v>0</v>
      </c>
      <c r="G33" s="70">
        <f t="shared" si="7"/>
        <v>12870</v>
      </c>
    </row>
    <row r="34" spans="1:7" x14ac:dyDescent="0.2">
      <c r="A34" s="47">
        <f t="shared" si="6"/>
        <v>25</v>
      </c>
      <c r="B34" s="442">
        <v>37469</v>
      </c>
      <c r="C34" s="62" t="s">
        <v>419</v>
      </c>
      <c r="D34" s="61"/>
      <c r="E34" s="172">
        <f t="shared" si="4"/>
        <v>0</v>
      </c>
      <c r="F34" s="63">
        <f t="shared" si="5"/>
        <v>0</v>
      </c>
      <c r="G34" s="70">
        <f t="shared" si="7"/>
        <v>12870</v>
      </c>
    </row>
    <row r="35" spans="1:7" x14ac:dyDescent="0.2">
      <c r="A35" s="47">
        <f t="shared" si="6"/>
        <v>26</v>
      </c>
      <c r="B35" s="442">
        <v>37500</v>
      </c>
      <c r="C35" s="62" t="s">
        <v>419</v>
      </c>
      <c r="D35" s="61"/>
      <c r="E35" s="172">
        <f t="shared" si="4"/>
        <v>0</v>
      </c>
      <c r="F35" s="63">
        <f t="shared" si="5"/>
        <v>0</v>
      </c>
      <c r="G35" s="70">
        <f t="shared" si="7"/>
        <v>12870</v>
      </c>
    </row>
    <row r="36" spans="1:7" x14ac:dyDescent="0.2">
      <c r="A36" s="47">
        <f t="shared" si="6"/>
        <v>27</v>
      </c>
      <c r="B36" s="442">
        <v>37530</v>
      </c>
      <c r="C36" s="62" t="s">
        <v>419</v>
      </c>
      <c r="D36" s="61"/>
      <c r="E36" s="172">
        <f t="shared" si="4"/>
        <v>0</v>
      </c>
      <c r="F36" s="63">
        <f t="shared" si="5"/>
        <v>0</v>
      </c>
      <c r="G36" s="70">
        <f t="shared" si="7"/>
        <v>12870</v>
      </c>
    </row>
    <row r="37" spans="1:7" x14ac:dyDescent="0.2">
      <c r="A37" s="47">
        <f t="shared" si="6"/>
        <v>28</v>
      </c>
      <c r="B37" s="442">
        <v>37561</v>
      </c>
      <c r="C37" s="62" t="s">
        <v>419</v>
      </c>
      <c r="D37" s="61"/>
      <c r="E37" s="172">
        <f t="shared" si="4"/>
        <v>0</v>
      </c>
      <c r="F37" s="63">
        <f t="shared" si="5"/>
        <v>0</v>
      </c>
      <c r="G37" s="70">
        <f t="shared" si="7"/>
        <v>12870</v>
      </c>
    </row>
    <row r="38" spans="1:7" x14ac:dyDescent="0.2">
      <c r="A38" s="47">
        <f t="shared" si="6"/>
        <v>29</v>
      </c>
      <c r="B38" s="442">
        <v>37591</v>
      </c>
      <c r="C38" s="62" t="s">
        <v>419</v>
      </c>
      <c r="D38" s="61"/>
      <c r="E38" s="172">
        <f t="shared" si="4"/>
        <v>0</v>
      </c>
      <c r="F38" s="63">
        <f t="shared" si="5"/>
        <v>0</v>
      </c>
      <c r="G38" s="70">
        <f t="shared" si="7"/>
        <v>12870</v>
      </c>
    </row>
    <row r="39" spans="1:7" x14ac:dyDescent="0.2">
      <c r="A39" s="47">
        <f t="shared" si="6"/>
        <v>30</v>
      </c>
      <c r="B39" s="442">
        <v>37622</v>
      </c>
      <c r="C39" s="62" t="s">
        <v>419</v>
      </c>
      <c r="D39" s="61"/>
      <c r="E39" s="172">
        <f t="shared" si="4"/>
        <v>0</v>
      </c>
      <c r="F39" s="63">
        <f t="shared" si="5"/>
        <v>0</v>
      </c>
      <c r="G39" s="70">
        <f t="shared" si="7"/>
        <v>12870</v>
      </c>
    </row>
    <row r="40" spans="1:7" x14ac:dyDescent="0.2">
      <c r="A40" s="47">
        <f t="shared" si="6"/>
        <v>31</v>
      </c>
      <c r="B40" s="442">
        <v>37653</v>
      </c>
      <c r="C40" s="62" t="s">
        <v>419</v>
      </c>
      <c r="D40" s="61"/>
      <c r="E40" s="172">
        <f t="shared" si="4"/>
        <v>0</v>
      </c>
      <c r="F40" s="63">
        <f t="shared" si="5"/>
        <v>0</v>
      </c>
      <c r="G40" s="70">
        <f t="shared" si="7"/>
        <v>12870</v>
      </c>
    </row>
    <row r="41" spans="1:7" x14ac:dyDescent="0.2">
      <c r="A41" s="47">
        <f t="shared" si="6"/>
        <v>32</v>
      </c>
      <c r="B41" s="442">
        <v>37681</v>
      </c>
      <c r="C41" s="62" t="s">
        <v>419</v>
      </c>
      <c r="D41" s="61"/>
      <c r="E41" s="172">
        <f t="shared" si="4"/>
        <v>0</v>
      </c>
      <c r="F41" s="63">
        <f t="shared" si="5"/>
        <v>0</v>
      </c>
      <c r="G41" s="70">
        <f t="shared" si="7"/>
        <v>12870</v>
      </c>
    </row>
    <row r="42" spans="1:7" x14ac:dyDescent="0.2">
      <c r="A42" s="47">
        <f t="shared" si="6"/>
        <v>33</v>
      </c>
      <c r="B42" s="442">
        <v>37712</v>
      </c>
      <c r="C42" s="62" t="s">
        <v>419</v>
      </c>
      <c r="D42" s="61"/>
      <c r="E42" s="172">
        <f t="shared" si="4"/>
        <v>0</v>
      </c>
      <c r="F42" s="63">
        <f t="shared" si="5"/>
        <v>0</v>
      </c>
      <c r="G42" s="70">
        <f t="shared" si="7"/>
        <v>12870</v>
      </c>
    </row>
    <row r="43" spans="1:7" x14ac:dyDescent="0.2">
      <c r="A43" s="47">
        <f t="shared" si="6"/>
        <v>34</v>
      </c>
      <c r="B43" s="442">
        <v>37742</v>
      </c>
      <c r="C43" s="62" t="s">
        <v>419</v>
      </c>
      <c r="D43" s="61"/>
      <c r="E43" s="172">
        <f t="shared" ref="E43:E58" si="8">IF(TERM_C&gt;=A43, 1/TERM_C, 0)</f>
        <v>0</v>
      </c>
      <c r="F43" s="63">
        <f t="shared" ref="F43:F58" si="9">E43*$D$5</f>
        <v>0</v>
      </c>
      <c r="G43" s="70">
        <f t="shared" si="7"/>
        <v>12870</v>
      </c>
    </row>
    <row r="44" spans="1:7" x14ac:dyDescent="0.2">
      <c r="A44" s="47">
        <f t="shared" ref="A44:A59" si="10">A43+1</f>
        <v>35</v>
      </c>
      <c r="B44" s="442">
        <v>37773</v>
      </c>
      <c r="C44" s="62" t="s">
        <v>419</v>
      </c>
      <c r="D44" s="61"/>
      <c r="E44" s="172">
        <f t="shared" si="8"/>
        <v>0</v>
      </c>
      <c r="F44" s="63">
        <f t="shared" si="9"/>
        <v>0</v>
      </c>
      <c r="G44" s="70">
        <f t="shared" ref="G44:G59" si="11">F44+G43</f>
        <v>12870</v>
      </c>
    </row>
    <row r="45" spans="1:7" x14ac:dyDescent="0.2">
      <c r="A45" s="47">
        <f t="shared" si="10"/>
        <v>36</v>
      </c>
      <c r="B45" s="442">
        <v>37803</v>
      </c>
      <c r="C45" s="62" t="s">
        <v>419</v>
      </c>
      <c r="D45" s="61"/>
      <c r="E45" s="172">
        <f t="shared" si="8"/>
        <v>0</v>
      </c>
      <c r="F45" s="63">
        <f t="shared" si="9"/>
        <v>0</v>
      </c>
      <c r="G45" s="70">
        <f t="shared" si="11"/>
        <v>12870</v>
      </c>
    </row>
    <row r="46" spans="1:7" x14ac:dyDescent="0.2">
      <c r="A46" s="47">
        <f t="shared" si="10"/>
        <v>37</v>
      </c>
      <c r="B46" s="442">
        <v>37834</v>
      </c>
      <c r="C46" s="62" t="s">
        <v>419</v>
      </c>
      <c r="D46" s="61"/>
      <c r="E46" s="172">
        <f t="shared" si="8"/>
        <v>0</v>
      </c>
      <c r="F46" s="63">
        <f t="shared" si="9"/>
        <v>0</v>
      </c>
      <c r="G46" s="70">
        <f t="shared" si="11"/>
        <v>12870</v>
      </c>
    </row>
    <row r="47" spans="1:7" x14ac:dyDescent="0.2">
      <c r="A47" s="47">
        <f t="shared" si="10"/>
        <v>38</v>
      </c>
      <c r="B47" s="442">
        <v>37865</v>
      </c>
      <c r="C47" s="62" t="s">
        <v>419</v>
      </c>
      <c r="D47" s="61"/>
      <c r="E47" s="172">
        <f t="shared" si="8"/>
        <v>0</v>
      </c>
      <c r="F47" s="63">
        <f t="shared" si="9"/>
        <v>0</v>
      </c>
      <c r="G47" s="70">
        <f t="shared" si="11"/>
        <v>12870</v>
      </c>
    </row>
    <row r="48" spans="1:7" x14ac:dyDescent="0.2">
      <c r="A48" s="47">
        <f t="shared" si="10"/>
        <v>39</v>
      </c>
      <c r="B48" s="442">
        <v>37895</v>
      </c>
      <c r="C48" s="62" t="s">
        <v>419</v>
      </c>
      <c r="D48" s="61"/>
      <c r="E48" s="172">
        <f t="shared" si="8"/>
        <v>0</v>
      </c>
      <c r="F48" s="63">
        <f t="shared" si="9"/>
        <v>0</v>
      </c>
      <c r="G48" s="70">
        <f t="shared" si="11"/>
        <v>12870</v>
      </c>
    </row>
    <row r="49" spans="1:7" x14ac:dyDescent="0.2">
      <c r="A49" s="47">
        <f t="shared" si="10"/>
        <v>40</v>
      </c>
      <c r="B49" s="442">
        <v>37926</v>
      </c>
      <c r="C49" s="62" t="s">
        <v>419</v>
      </c>
      <c r="D49" s="61"/>
      <c r="E49" s="172">
        <f t="shared" si="8"/>
        <v>0</v>
      </c>
      <c r="F49" s="63">
        <f t="shared" si="9"/>
        <v>0</v>
      </c>
      <c r="G49" s="70">
        <f t="shared" si="11"/>
        <v>12870</v>
      </c>
    </row>
    <row r="50" spans="1:7" x14ac:dyDescent="0.2">
      <c r="A50" s="47">
        <f t="shared" si="10"/>
        <v>41</v>
      </c>
      <c r="B50" s="442">
        <v>37956</v>
      </c>
      <c r="C50" s="62" t="s">
        <v>419</v>
      </c>
      <c r="D50" s="61"/>
      <c r="E50" s="172">
        <f t="shared" si="8"/>
        <v>0</v>
      </c>
      <c r="F50" s="63">
        <f t="shared" si="9"/>
        <v>0</v>
      </c>
      <c r="G50" s="70">
        <f t="shared" si="11"/>
        <v>12870</v>
      </c>
    </row>
    <row r="51" spans="1:7" x14ac:dyDescent="0.2">
      <c r="A51" s="47">
        <f t="shared" si="10"/>
        <v>42</v>
      </c>
      <c r="B51" s="442">
        <v>37987</v>
      </c>
      <c r="C51" s="62"/>
      <c r="D51" s="61"/>
      <c r="E51" s="172">
        <f t="shared" si="8"/>
        <v>0</v>
      </c>
      <c r="F51" s="63">
        <f t="shared" si="9"/>
        <v>0</v>
      </c>
      <c r="G51" s="70">
        <f t="shared" si="11"/>
        <v>12870</v>
      </c>
    </row>
    <row r="52" spans="1:7" x14ac:dyDescent="0.2">
      <c r="A52" s="47">
        <f t="shared" si="10"/>
        <v>43</v>
      </c>
      <c r="B52" s="442">
        <v>38018</v>
      </c>
      <c r="C52" s="62"/>
      <c r="D52" s="61"/>
      <c r="E52" s="172">
        <f t="shared" si="8"/>
        <v>0</v>
      </c>
      <c r="F52" s="63">
        <f t="shared" si="9"/>
        <v>0</v>
      </c>
      <c r="G52" s="70">
        <f t="shared" si="11"/>
        <v>12870</v>
      </c>
    </row>
    <row r="53" spans="1:7" x14ac:dyDescent="0.2">
      <c r="A53" s="47">
        <f t="shared" si="10"/>
        <v>44</v>
      </c>
      <c r="B53" s="442">
        <v>38047</v>
      </c>
      <c r="C53" s="62"/>
      <c r="D53" s="61"/>
      <c r="E53" s="172">
        <f t="shared" si="8"/>
        <v>0</v>
      </c>
      <c r="F53" s="63">
        <f t="shared" si="9"/>
        <v>0</v>
      </c>
      <c r="G53" s="70">
        <f t="shared" si="11"/>
        <v>12870</v>
      </c>
    </row>
    <row r="54" spans="1:7" x14ac:dyDescent="0.2">
      <c r="A54" s="47">
        <f t="shared" si="10"/>
        <v>45</v>
      </c>
      <c r="B54" s="442">
        <v>38078</v>
      </c>
      <c r="C54" s="62"/>
      <c r="D54" s="61"/>
      <c r="E54" s="172">
        <f t="shared" si="8"/>
        <v>0</v>
      </c>
      <c r="F54" s="63">
        <f t="shared" si="9"/>
        <v>0</v>
      </c>
      <c r="G54" s="70">
        <f t="shared" si="11"/>
        <v>12870</v>
      </c>
    </row>
    <row r="55" spans="1:7" x14ac:dyDescent="0.2">
      <c r="A55" s="47">
        <f t="shared" si="10"/>
        <v>46</v>
      </c>
      <c r="B55" s="442">
        <v>38108</v>
      </c>
      <c r="C55" s="62"/>
      <c r="D55" s="61"/>
      <c r="E55" s="172">
        <f t="shared" si="8"/>
        <v>0</v>
      </c>
      <c r="F55" s="63">
        <f t="shared" si="9"/>
        <v>0</v>
      </c>
      <c r="G55" s="70">
        <f t="shared" si="11"/>
        <v>12870</v>
      </c>
    </row>
    <row r="56" spans="1:7" x14ac:dyDescent="0.2">
      <c r="A56" s="47">
        <f t="shared" si="10"/>
        <v>47</v>
      </c>
      <c r="B56" s="442">
        <v>38139</v>
      </c>
      <c r="C56" s="62"/>
      <c r="D56" s="61"/>
      <c r="E56" s="172">
        <f t="shared" si="8"/>
        <v>0</v>
      </c>
      <c r="F56" s="63">
        <f t="shared" si="9"/>
        <v>0</v>
      </c>
      <c r="G56" s="70">
        <f t="shared" si="11"/>
        <v>12870</v>
      </c>
    </row>
    <row r="57" spans="1:7" x14ac:dyDescent="0.2">
      <c r="A57" s="47">
        <f t="shared" si="10"/>
        <v>48</v>
      </c>
      <c r="B57" s="442">
        <v>38169</v>
      </c>
      <c r="C57" s="62"/>
      <c r="D57" s="61"/>
      <c r="E57" s="172">
        <f t="shared" si="8"/>
        <v>0</v>
      </c>
      <c r="F57" s="63">
        <f t="shared" si="9"/>
        <v>0</v>
      </c>
      <c r="G57" s="70">
        <f t="shared" si="11"/>
        <v>12870</v>
      </c>
    </row>
    <row r="58" spans="1:7" x14ac:dyDescent="0.2">
      <c r="A58" s="47">
        <f t="shared" si="10"/>
        <v>49</v>
      </c>
      <c r="B58" s="442">
        <v>38200</v>
      </c>
      <c r="C58" s="62"/>
      <c r="D58" s="61"/>
      <c r="E58" s="172">
        <f t="shared" si="8"/>
        <v>0</v>
      </c>
      <c r="F58" s="63">
        <f t="shared" si="9"/>
        <v>0</v>
      </c>
      <c r="G58" s="70">
        <f t="shared" si="11"/>
        <v>12870</v>
      </c>
    </row>
    <row r="59" spans="1:7" x14ac:dyDescent="0.2">
      <c r="A59" s="47">
        <f t="shared" si="10"/>
        <v>50</v>
      </c>
      <c r="B59" s="442">
        <v>38231</v>
      </c>
      <c r="C59" s="62"/>
      <c r="D59" s="61"/>
      <c r="E59" s="172">
        <f t="shared" ref="E59:E69" si="12">IF(TERM_C&gt;=A59, 1/TERM_C, 0)</f>
        <v>0</v>
      </c>
      <c r="F59" s="63">
        <f t="shared" ref="F59:F69" si="13">E59*$D$5</f>
        <v>0</v>
      </c>
      <c r="G59" s="70">
        <f t="shared" si="11"/>
        <v>12870</v>
      </c>
    </row>
    <row r="60" spans="1:7" x14ac:dyDescent="0.2">
      <c r="A60" s="47">
        <f t="shared" ref="A60:A69" si="14">A59+1</f>
        <v>51</v>
      </c>
      <c r="B60" s="442">
        <v>38261</v>
      </c>
      <c r="C60" s="62"/>
      <c r="D60" s="61"/>
      <c r="E60" s="172">
        <f t="shared" si="12"/>
        <v>0</v>
      </c>
      <c r="F60" s="63">
        <f t="shared" si="13"/>
        <v>0</v>
      </c>
      <c r="G60" s="70">
        <f t="shared" ref="G60:G69" si="15">F60+G59</f>
        <v>12870</v>
      </c>
    </row>
    <row r="61" spans="1:7" x14ac:dyDescent="0.2">
      <c r="A61" s="47">
        <f t="shared" si="14"/>
        <v>52</v>
      </c>
      <c r="B61" s="442">
        <v>38292</v>
      </c>
      <c r="C61" s="62"/>
      <c r="D61" s="61"/>
      <c r="E61" s="172">
        <f t="shared" si="12"/>
        <v>0</v>
      </c>
      <c r="F61" s="63">
        <f t="shared" si="13"/>
        <v>0</v>
      </c>
      <c r="G61" s="70">
        <f t="shared" si="15"/>
        <v>12870</v>
      </c>
    </row>
    <row r="62" spans="1:7" x14ac:dyDescent="0.2">
      <c r="A62" s="47">
        <f t="shared" si="14"/>
        <v>53</v>
      </c>
      <c r="B62" s="442">
        <v>38322</v>
      </c>
      <c r="C62" s="62"/>
      <c r="D62" s="61"/>
      <c r="E62" s="172">
        <f t="shared" si="12"/>
        <v>0</v>
      </c>
      <c r="F62" s="63">
        <f t="shared" si="13"/>
        <v>0</v>
      </c>
      <c r="G62" s="70">
        <f t="shared" si="15"/>
        <v>12870</v>
      </c>
    </row>
    <row r="63" spans="1:7" x14ac:dyDescent="0.2">
      <c r="A63" s="47">
        <f t="shared" si="14"/>
        <v>54</v>
      </c>
      <c r="B63" s="442">
        <v>38353</v>
      </c>
      <c r="C63" s="62"/>
      <c r="D63" s="61"/>
      <c r="E63" s="172">
        <f t="shared" si="12"/>
        <v>0</v>
      </c>
      <c r="F63" s="63">
        <f t="shared" si="13"/>
        <v>0</v>
      </c>
      <c r="G63" s="70">
        <f t="shared" si="15"/>
        <v>12870</v>
      </c>
    </row>
    <row r="64" spans="1:7" x14ac:dyDescent="0.2">
      <c r="A64" s="47">
        <f t="shared" si="14"/>
        <v>55</v>
      </c>
      <c r="B64" s="442">
        <v>38384</v>
      </c>
      <c r="C64" s="62"/>
      <c r="D64" s="61"/>
      <c r="E64" s="172">
        <f t="shared" si="12"/>
        <v>0</v>
      </c>
      <c r="F64" s="63">
        <f t="shared" si="13"/>
        <v>0</v>
      </c>
      <c r="G64" s="70">
        <f t="shared" si="15"/>
        <v>12870</v>
      </c>
    </row>
    <row r="65" spans="1:7" x14ac:dyDescent="0.2">
      <c r="A65" s="47">
        <f t="shared" si="14"/>
        <v>56</v>
      </c>
      <c r="B65" s="442">
        <v>38412</v>
      </c>
      <c r="C65" s="62"/>
      <c r="D65" s="61"/>
      <c r="E65" s="172">
        <f t="shared" si="12"/>
        <v>0</v>
      </c>
      <c r="F65" s="63">
        <f t="shared" si="13"/>
        <v>0</v>
      </c>
      <c r="G65" s="70">
        <f t="shared" si="15"/>
        <v>12870</v>
      </c>
    </row>
    <row r="66" spans="1:7" x14ac:dyDescent="0.2">
      <c r="A66" s="47">
        <f t="shared" si="14"/>
        <v>57</v>
      </c>
      <c r="B66" s="442">
        <v>38443</v>
      </c>
      <c r="C66" s="62"/>
      <c r="D66" s="61"/>
      <c r="E66" s="172">
        <f t="shared" si="12"/>
        <v>0</v>
      </c>
      <c r="F66" s="63">
        <f t="shared" si="13"/>
        <v>0</v>
      </c>
      <c r="G66" s="70">
        <f t="shared" si="15"/>
        <v>12870</v>
      </c>
    </row>
    <row r="67" spans="1:7" x14ac:dyDescent="0.2">
      <c r="A67" s="47">
        <f t="shared" si="14"/>
        <v>58</v>
      </c>
      <c r="B67" s="442">
        <v>38473</v>
      </c>
      <c r="C67" s="62"/>
      <c r="D67" s="61"/>
      <c r="E67" s="172">
        <f t="shared" si="12"/>
        <v>0</v>
      </c>
      <c r="F67" s="63">
        <f t="shared" si="13"/>
        <v>0</v>
      </c>
      <c r="G67" s="70">
        <f t="shared" si="15"/>
        <v>12870</v>
      </c>
    </row>
    <row r="68" spans="1:7" x14ac:dyDescent="0.2">
      <c r="A68" s="47">
        <f t="shared" si="14"/>
        <v>59</v>
      </c>
      <c r="B68" s="442">
        <v>38504</v>
      </c>
      <c r="C68" s="62"/>
      <c r="D68" s="61"/>
      <c r="E68" s="172">
        <f t="shared" si="12"/>
        <v>0</v>
      </c>
      <c r="F68" s="63">
        <f t="shared" si="13"/>
        <v>0</v>
      </c>
      <c r="G68" s="70">
        <f t="shared" si="15"/>
        <v>12870</v>
      </c>
    </row>
    <row r="69" spans="1:7" x14ac:dyDescent="0.2">
      <c r="A69" s="47">
        <f t="shared" si="14"/>
        <v>60</v>
      </c>
      <c r="B69" s="442">
        <v>38534</v>
      </c>
      <c r="C69" s="62"/>
      <c r="D69" s="61"/>
      <c r="E69" s="172">
        <f t="shared" si="12"/>
        <v>0</v>
      </c>
      <c r="F69" s="63">
        <f t="shared" si="13"/>
        <v>0</v>
      </c>
      <c r="G69" s="70">
        <f t="shared" si="15"/>
        <v>12870</v>
      </c>
    </row>
    <row r="70" spans="1:7" ht="13.5" thickBot="1" x14ac:dyDescent="0.25">
      <c r="B70" s="50"/>
      <c r="C70" s="62"/>
      <c r="D70" s="61"/>
      <c r="E70" s="172" t="s">
        <v>6</v>
      </c>
      <c r="F70" s="62"/>
      <c r="G70" s="61"/>
    </row>
    <row r="71" spans="1:7" ht="14.25" thickTop="1" thickBot="1" x14ac:dyDescent="0.25">
      <c r="B71" s="307" t="s">
        <v>220</v>
      </c>
      <c r="C71" s="302"/>
      <c r="D71" s="308"/>
      <c r="E71" s="309">
        <f>SUM(E10:E70)</f>
        <v>0.99</v>
      </c>
      <c r="F71" s="310">
        <f>SUM(F10:F70)</f>
        <v>12870</v>
      </c>
      <c r="G71" s="308"/>
    </row>
    <row r="72" spans="1:7" ht="13.5" thickTop="1" x14ac:dyDescent="0.2"/>
    <row r="74" spans="1:7" x14ac:dyDescent="0.2">
      <c r="A74" s="338">
        <v>1</v>
      </c>
      <c r="B74" s="338">
        <f t="shared" ref="B74:G74" si="16">A74+1</f>
        <v>2</v>
      </c>
      <c r="C74" s="338">
        <f t="shared" si="16"/>
        <v>3</v>
      </c>
      <c r="D74" s="338">
        <f t="shared" si="16"/>
        <v>4</v>
      </c>
      <c r="E74" s="338">
        <f t="shared" si="16"/>
        <v>5</v>
      </c>
      <c r="F74" s="338">
        <f t="shared" si="16"/>
        <v>6</v>
      </c>
      <c r="G74" s="338">
        <f t="shared" si="16"/>
        <v>7</v>
      </c>
    </row>
  </sheetData>
  <printOptions horizontalCentered="1"/>
  <pageMargins left="0.5" right="1" top="0.75" bottom="0.75" header="0.5" footer="0.5"/>
  <pageSetup scale="54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6"/>
  <sheetViews>
    <sheetView topLeftCell="A4" workbookViewId="0">
      <selection activeCell="E28" sqref="E28"/>
    </sheetView>
  </sheetViews>
  <sheetFormatPr defaultRowHeight="12.75" x14ac:dyDescent="0.2"/>
  <cols>
    <col min="1" max="1" width="26.7109375" style="47" customWidth="1"/>
    <col min="2" max="2" width="10.7109375" style="47" customWidth="1"/>
    <col min="3" max="3" width="3.7109375" style="47" customWidth="1"/>
    <col min="4" max="16384" width="9.140625" style="47"/>
  </cols>
  <sheetData>
    <row r="1" spans="1:12" ht="15.75" x14ac:dyDescent="0.25">
      <c r="A1" s="197" t="s">
        <v>221</v>
      </c>
      <c r="B1" s="189"/>
      <c r="C1" s="192"/>
      <c r="D1" s="51"/>
    </row>
    <row r="2" spans="1:12" ht="15.75" x14ac:dyDescent="0.25">
      <c r="A2" s="193">
        <f>ASS!A4</f>
        <v>0</v>
      </c>
      <c r="B2" s="194"/>
      <c r="C2" s="195"/>
      <c r="D2" s="51"/>
    </row>
    <row r="3" spans="1:12" ht="15.75" x14ac:dyDescent="0.25">
      <c r="A3" s="190" t="str">
        <f>ASS!A5</f>
        <v>BASE MODEL</v>
      </c>
      <c r="B3" s="191"/>
      <c r="C3" s="196"/>
      <c r="D3" s="51"/>
    </row>
    <row r="6" spans="1:12" x14ac:dyDescent="0.2">
      <c r="A6" s="52" t="s">
        <v>222</v>
      </c>
      <c r="B6" s="59"/>
      <c r="C6" s="59"/>
      <c r="D6" s="59"/>
      <c r="E6" s="171">
        <f>1</f>
        <v>1</v>
      </c>
      <c r="F6" s="171">
        <f>E6+1</f>
        <v>2</v>
      </c>
      <c r="G6" s="171">
        <f>F6+1</f>
        <v>3</v>
      </c>
      <c r="H6" s="171">
        <f>G6+1</f>
        <v>4</v>
      </c>
      <c r="I6" s="171">
        <f>H6+1</f>
        <v>5</v>
      </c>
      <c r="J6" s="171">
        <f>I6+1</f>
        <v>6</v>
      </c>
      <c r="K6" s="48"/>
    </row>
    <row r="7" spans="1:12" x14ac:dyDescent="0.2">
      <c r="A7" s="152" t="s">
        <v>223</v>
      </c>
      <c r="B7" s="296"/>
      <c r="C7" s="296"/>
      <c r="D7" s="296"/>
      <c r="E7" s="444" t="s">
        <v>421</v>
      </c>
      <c r="F7" s="444" t="s">
        <v>422</v>
      </c>
      <c r="G7" s="444" t="s">
        <v>423</v>
      </c>
      <c r="H7" s="444" t="s">
        <v>424</v>
      </c>
      <c r="I7" s="444" t="s">
        <v>425</v>
      </c>
      <c r="J7" s="444" t="s">
        <v>426</v>
      </c>
      <c r="K7" s="232" t="s">
        <v>220</v>
      </c>
      <c r="L7" s="337">
        <v>1</v>
      </c>
    </row>
    <row r="8" spans="1:12" x14ac:dyDescent="0.2">
      <c r="L8" s="47">
        <f>L7+1</f>
        <v>2</v>
      </c>
    </row>
    <row r="9" spans="1:12" x14ac:dyDescent="0.2">
      <c r="L9" s="47">
        <f t="shared" ref="L9:L33" si="0">L8+1</f>
        <v>3</v>
      </c>
    </row>
    <row r="10" spans="1:12" x14ac:dyDescent="0.2">
      <c r="A10" s="96"/>
      <c r="B10" s="122" t="s">
        <v>224</v>
      </c>
      <c r="C10" s="122"/>
      <c r="D10" s="137" t="s">
        <v>225</v>
      </c>
      <c r="E10" s="59"/>
      <c r="F10" s="59"/>
      <c r="G10" s="59"/>
      <c r="H10" s="59"/>
      <c r="I10" s="59"/>
      <c r="J10" s="59"/>
      <c r="K10" s="48"/>
      <c r="L10" s="47">
        <f t="shared" si="0"/>
        <v>4</v>
      </c>
    </row>
    <row r="11" spans="1:12" x14ac:dyDescent="0.2">
      <c r="A11" s="105" t="s">
        <v>226</v>
      </c>
      <c r="B11" s="198">
        <f>Line_Cost</f>
        <v>13000</v>
      </c>
      <c r="C11" s="198"/>
      <c r="D11" s="198">
        <f>Line_Cost</f>
        <v>13000</v>
      </c>
      <c r="E11" s="62"/>
      <c r="F11" s="62"/>
      <c r="G11" s="62"/>
      <c r="H11" s="62"/>
      <c r="I11" s="62"/>
      <c r="J11" s="62"/>
      <c r="K11" s="50"/>
      <c r="L11" s="47">
        <f t="shared" si="0"/>
        <v>5</v>
      </c>
    </row>
    <row r="12" spans="1:12" x14ac:dyDescent="0.2">
      <c r="A12" s="105" t="s">
        <v>227</v>
      </c>
      <c r="B12" s="86"/>
      <c r="C12" s="86"/>
      <c r="D12" s="383">
        <f>DISC</f>
        <v>0.1</v>
      </c>
      <c r="E12" s="62"/>
      <c r="F12" s="62"/>
      <c r="G12" s="62"/>
      <c r="H12" s="62"/>
      <c r="I12" s="62"/>
      <c r="J12" s="62"/>
      <c r="K12" s="50"/>
      <c r="L12" s="47">
        <f t="shared" si="0"/>
        <v>6</v>
      </c>
    </row>
    <row r="13" spans="1:12" x14ac:dyDescent="0.2">
      <c r="A13" s="152" t="s">
        <v>363</v>
      </c>
      <c r="B13" s="468" t="str">
        <f>ASS!W79</f>
        <v/>
      </c>
      <c r="C13" s="468"/>
      <c r="D13" s="469"/>
      <c r="E13" s="62"/>
      <c r="F13" s="62"/>
      <c r="G13" s="62"/>
      <c r="H13" s="62"/>
      <c r="I13" s="62"/>
      <c r="J13" s="62"/>
      <c r="K13" s="50"/>
      <c r="L13" s="47">
        <f t="shared" si="0"/>
        <v>7</v>
      </c>
    </row>
    <row r="14" spans="1:12" x14ac:dyDescent="0.2">
      <c r="A14" s="60" t="s">
        <v>6</v>
      </c>
      <c r="B14" s="62"/>
      <c r="C14" s="62"/>
      <c r="D14" s="62"/>
      <c r="E14" s="62"/>
      <c r="F14" s="62"/>
      <c r="G14" s="62"/>
      <c r="H14" s="62"/>
      <c r="I14" s="62"/>
      <c r="J14" s="62"/>
      <c r="K14" s="50"/>
      <c r="L14" s="47">
        <f t="shared" si="0"/>
        <v>8</v>
      </c>
    </row>
    <row r="15" spans="1:12" x14ac:dyDescent="0.2">
      <c r="A15" s="60"/>
      <c r="B15" s="62"/>
      <c r="C15" s="62"/>
      <c r="D15" s="62"/>
      <c r="E15" s="62"/>
      <c r="F15" s="62"/>
      <c r="G15" s="62"/>
      <c r="H15" s="62"/>
      <c r="I15" s="62"/>
      <c r="J15" s="62"/>
      <c r="K15" s="50"/>
      <c r="L15" s="47">
        <f t="shared" si="0"/>
        <v>9</v>
      </c>
    </row>
    <row r="16" spans="1:12" x14ac:dyDescent="0.2">
      <c r="A16" s="143" t="s">
        <v>228</v>
      </c>
      <c r="B16" s="62"/>
      <c r="C16" s="62"/>
      <c r="D16" s="62"/>
      <c r="E16" s="62"/>
      <c r="F16" s="62"/>
      <c r="G16" s="62"/>
      <c r="H16" s="62"/>
      <c r="I16" s="62"/>
      <c r="J16" s="62"/>
      <c r="K16" s="50"/>
      <c r="L16" s="47">
        <f t="shared" si="0"/>
        <v>10</v>
      </c>
    </row>
    <row r="17" spans="1:12" x14ac:dyDescent="0.2">
      <c r="A17" s="60" t="s">
        <v>229</v>
      </c>
      <c r="B17" s="62"/>
      <c r="C17" s="62"/>
      <c r="D17" s="62"/>
      <c r="E17" s="199">
        <v>0</v>
      </c>
      <c r="F17" s="160">
        <f>E19</f>
        <v>390</v>
      </c>
      <c r="G17" s="160">
        <f>F19</f>
        <v>2990</v>
      </c>
      <c r="H17" s="160">
        <f>G19</f>
        <v>2990</v>
      </c>
      <c r="I17" s="160">
        <f>H19</f>
        <v>3770</v>
      </c>
      <c r="J17" s="160">
        <f>I19</f>
        <v>12870</v>
      </c>
      <c r="K17" s="50"/>
      <c r="L17" s="47">
        <f t="shared" si="0"/>
        <v>11</v>
      </c>
    </row>
    <row r="18" spans="1:12" x14ac:dyDescent="0.2">
      <c r="A18" s="60" t="s">
        <v>230</v>
      </c>
      <c r="B18" s="62"/>
      <c r="C18" s="62"/>
      <c r="D18" s="62"/>
      <c r="E18" s="160">
        <f>VLOOKUP(E6,DRAW_TABLE,DRAWDOWN!$F$74)</f>
        <v>390</v>
      </c>
      <c r="F18" s="160">
        <f>VLOOKUP(F6,DRAW_TABLE,DRAWDOWN!$F$74)</f>
        <v>2600</v>
      </c>
      <c r="G18" s="160">
        <f>VLOOKUP(G6,DRAW_TABLE,DRAWDOWN!$F$74)</f>
        <v>0</v>
      </c>
      <c r="H18" s="160">
        <f>VLOOKUP(H6,DRAW_TABLE,DRAWDOWN!$F$74)</f>
        <v>780</v>
      </c>
      <c r="I18" s="160">
        <f>VLOOKUP(I6,DRAW_TABLE,DRAWDOWN!$F$74)</f>
        <v>9100</v>
      </c>
      <c r="J18" s="160">
        <f>VLOOKUP(J6,DRAW_TABLE,DRAWDOWN!$F$74)</f>
        <v>0</v>
      </c>
      <c r="K18" s="82">
        <f>SUM(E18:J18)</f>
        <v>12870</v>
      </c>
      <c r="L18" s="47">
        <f t="shared" si="0"/>
        <v>12</v>
      </c>
    </row>
    <row r="19" spans="1:12" x14ac:dyDescent="0.2">
      <c r="A19" s="60" t="s">
        <v>231</v>
      </c>
      <c r="B19" s="62"/>
      <c r="C19" s="62"/>
      <c r="D19" s="62"/>
      <c r="E19" s="160">
        <f t="shared" ref="E19:J19" si="1">SUM(E17:E18)</f>
        <v>390</v>
      </c>
      <c r="F19" s="160">
        <f t="shared" si="1"/>
        <v>2990</v>
      </c>
      <c r="G19" s="160">
        <f t="shared" si="1"/>
        <v>2990</v>
      </c>
      <c r="H19" s="160">
        <f t="shared" si="1"/>
        <v>3770</v>
      </c>
      <c r="I19" s="160">
        <f t="shared" si="1"/>
        <v>12870</v>
      </c>
      <c r="J19" s="160">
        <f t="shared" si="1"/>
        <v>12870</v>
      </c>
      <c r="K19" s="50"/>
      <c r="L19" s="47">
        <f t="shared" si="0"/>
        <v>13</v>
      </c>
    </row>
    <row r="20" spans="1:12" x14ac:dyDescent="0.2">
      <c r="A20" s="60" t="s">
        <v>232</v>
      </c>
      <c r="B20" s="62"/>
      <c r="C20" s="62"/>
      <c r="D20" s="62"/>
      <c r="E20" s="200">
        <f>SUM($E$18:E18)/$B$11</f>
        <v>0.03</v>
      </c>
      <c r="F20" s="200">
        <f>SUM($E$18:F18)/$B$11</f>
        <v>0.23</v>
      </c>
      <c r="G20" s="200">
        <f>SUM($E$18:G18)/$B$11</f>
        <v>0.23</v>
      </c>
      <c r="H20" s="200">
        <f>SUM($E$18:H18)/$B$11</f>
        <v>0.28999999999999998</v>
      </c>
      <c r="I20" s="200">
        <f>SUM($E$18:I18)/$B$11</f>
        <v>0.99</v>
      </c>
      <c r="J20" s="200">
        <f>SUM($E$18:J18)/$B$11</f>
        <v>0.99</v>
      </c>
      <c r="K20" s="50"/>
      <c r="L20" s="47">
        <f t="shared" si="0"/>
        <v>14</v>
      </c>
    </row>
    <row r="21" spans="1:12" x14ac:dyDescent="0.2">
      <c r="A21" s="60" t="s">
        <v>233</v>
      </c>
      <c r="B21" s="62"/>
      <c r="C21" s="62"/>
      <c r="D21" s="62"/>
      <c r="E21" s="200">
        <f t="shared" ref="E21:J21" si="2">E19/$D$11</f>
        <v>0.03</v>
      </c>
      <c r="F21" s="200">
        <f t="shared" si="2"/>
        <v>0.23</v>
      </c>
      <c r="G21" s="200">
        <f t="shared" si="2"/>
        <v>0.23</v>
      </c>
      <c r="H21" s="200">
        <f t="shared" si="2"/>
        <v>0.28999999999999998</v>
      </c>
      <c r="I21" s="200">
        <f t="shared" si="2"/>
        <v>0.99</v>
      </c>
      <c r="J21" s="200">
        <f t="shared" si="2"/>
        <v>0.99</v>
      </c>
      <c r="K21" s="50"/>
      <c r="L21" s="47">
        <f t="shared" si="0"/>
        <v>15</v>
      </c>
    </row>
    <row r="22" spans="1:12" x14ac:dyDescent="0.2">
      <c r="A22" s="60"/>
      <c r="B22" s="62"/>
      <c r="C22" s="62"/>
      <c r="D22" s="62"/>
      <c r="E22" s="62"/>
      <c r="F22" s="62"/>
      <c r="G22" s="62"/>
      <c r="H22" s="62"/>
      <c r="I22" s="62"/>
      <c r="J22" s="62"/>
      <c r="K22" s="50"/>
      <c r="L22" s="47">
        <f t="shared" si="0"/>
        <v>16</v>
      </c>
    </row>
    <row r="23" spans="1:12" x14ac:dyDescent="0.2">
      <c r="A23" s="143" t="s">
        <v>234</v>
      </c>
      <c r="B23" s="62"/>
      <c r="C23" s="62"/>
      <c r="D23" s="62"/>
      <c r="E23" s="62"/>
      <c r="F23" s="62"/>
      <c r="G23" s="62"/>
      <c r="H23" s="62"/>
      <c r="I23" s="62"/>
      <c r="J23" s="62"/>
      <c r="K23" s="50"/>
      <c r="L23" s="47">
        <f t="shared" si="0"/>
        <v>17</v>
      </c>
    </row>
    <row r="24" spans="1:12" x14ac:dyDescent="0.2">
      <c r="A24" s="60" t="s">
        <v>235</v>
      </c>
      <c r="B24" s="62"/>
      <c r="C24" s="62"/>
      <c r="D24" s="62"/>
      <c r="E24" s="160">
        <f t="shared" ref="E24:J24" si="3">E17*DEBTPERC</f>
        <v>0</v>
      </c>
      <c r="F24" s="160">
        <f t="shared" si="3"/>
        <v>0</v>
      </c>
      <c r="G24" s="160">
        <f t="shared" si="3"/>
        <v>0</v>
      </c>
      <c r="H24" s="160">
        <f t="shared" si="3"/>
        <v>0</v>
      </c>
      <c r="I24" s="160">
        <f t="shared" si="3"/>
        <v>0</v>
      </c>
      <c r="J24" s="160">
        <f t="shared" si="3"/>
        <v>0</v>
      </c>
      <c r="K24" s="50"/>
      <c r="L24" s="47">
        <f t="shared" si="0"/>
        <v>18</v>
      </c>
    </row>
    <row r="25" spans="1:12" x14ac:dyDescent="0.2">
      <c r="A25" s="60" t="s">
        <v>236</v>
      </c>
      <c r="B25" s="62"/>
      <c r="C25" s="62"/>
      <c r="D25" s="62"/>
      <c r="E25" s="160">
        <f t="shared" ref="E25:J25" si="4">E18*DEBTPERC</f>
        <v>0</v>
      </c>
      <c r="F25" s="160">
        <f t="shared" si="4"/>
        <v>0</v>
      </c>
      <c r="G25" s="160">
        <f t="shared" si="4"/>
        <v>0</v>
      </c>
      <c r="H25" s="160">
        <f t="shared" si="4"/>
        <v>0</v>
      </c>
      <c r="I25" s="160">
        <f t="shared" si="4"/>
        <v>0</v>
      </c>
      <c r="J25" s="160">
        <f t="shared" si="4"/>
        <v>0</v>
      </c>
      <c r="K25" s="82">
        <f>SUM(E25:J25)</f>
        <v>0</v>
      </c>
      <c r="L25" s="47">
        <f t="shared" si="0"/>
        <v>19</v>
      </c>
    </row>
    <row r="26" spans="1:12" x14ac:dyDescent="0.2">
      <c r="A26" s="60" t="s">
        <v>237</v>
      </c>
      <c r="B26" s="62"/>
      <c r="C26" s="62"/>
      <c r="D26" s="62"/>
      <c r="E26" s="160">
        <f t="shared" ref="E26:J26" si="5">SUM(E24:E25)</f>
        <v>0</v>
      </c>
      <c r="F26" s="160">
        <f t="shared" si="5"/>
        <v>0</v>
      </c>
      <c r="G26" s="160">
        <f t="shared" si="5"/>
        <v>0</v>
      </c>
      <c r="H26" s="160">
        <f t="shared" si="5"/>
        <v>0</v>
      </c>
      <c r="I26" s="160">
        <f t="shared" si="5"/>
        <v>0</v>
      </c>
      <c r="J26" s="160">
        <f t="shared" si="5"/>
        <v>0</v>
      </c>
      <c r="K26" s="50"/>
      <c r="L26" s="47">
        <f t="shared" si="0"/>
        <v>20</v>
      </c>
    </row>
    <row r="27" spans="1:12" x14ac:dyDescent="0.2">
      <c r="A27" s="60"/>
      <c r="B27" s="62"/>
      <c r="C27" s="62"/>
      <c r="D27" s="62"/>
      <c r="E27" s="160"/>
      <c r="F27" s="160"/>
      <c r="G27" s="160"/>
      <c r="H27" s="160"/>
      <c r="I27" s="160"/>
      <c r="J27" s="160"/>
      <c r="K27" s="50"/>
      <c r="L27" s="47">
        <f t="shared" si="0"/>
        <v>21</v>
      </c>
    </row>
    <row r="28" spans="1:12" x14ac:dyDescent="0.2">
      <c r="A28" s="60" t="s">
        <v>428</v>
      </c>
      <c r="B28" s="62"/>
      <c r="C28" s="62"/>
      <c r="D28" s="62"/>
      <c r="E28" s="160">
        <f t="shared" ref="E28:J28" si="6">IF(E6&gt;TERM_C,0,(E17+SUM(E17:E18))/2*$D$12/12)</f>
        <v>1.625</v>
      </c>
      <c r="F28" s="160">
        <f t="shared" si="6"/>
        <v>14.083333333333334</v>
      </c>
      <c r="G28" s="160">
        <f t="shared" si="6"/>
        <v>24.916666666666668</v>
      </c>
      <c r="H28" s="160">
        <f t="shared" si="6"/>
        <v>28.166666666666668</v>
      </c>
      <c r="I28" s="160">
        <f t="shared" si="6"/>
        <v>69.333333333333329</v>
      </c>
      <c r="J28" s="160">
        <f t="shared" si="6"/>
        <v>107.25</v>
      </c>
      <c r="K28" s="82">
        <f>SUM(E28:J28)</f>
        <v>245.375</v>
      </c>
      <c r="L28" s="47">
        <f t="shared" si="0"/>
        <v>22</v>
      </c>
    </row>
    <row r="29" spans="1:12" x14ac:dyDescent="0.2">
      <c r="A29" s="60"/>
      <c r="B29" s="62"/>
      <c r="C29" s="62"/>
      <c r="D29" s="62"/>
      <c r="E29" s="160"/>
      <c r="F29" s="160"/>
      <c r="G29" s="160"/>
      <c r="H29" s="160"/>
      <c r="I29" s="160"/>
      <c r="J29" s="160"/>
      <c r="K29" s="50"/>
      <c r="L29" s="47">
        <f t="shared" si="0"/>
        <v>23</v>
      </c>
    </row>
    <row r="30" spans="1:12" x14ac:dyDescent="0.2">
      <c r="A30" s="143" t="s">
        <v>238</v>
      </c>
      <c r="B30" s="62"/>
      <c r="C30" s="62"/>
      <c r="D30" s="62"/>
      <c r="E30" s="160"/>
      <c r="F30" s="160"/>
      <c r="G30" s="160"/>
      <c r="H30" s="160"/>
      <c r="I30" s="160"/>
      <c r="J30" s="160"/>
      <c r="K30" s="50"/>
      <c r="L30" s="47">
        <f t="shared" si="0"/>
        <v>24</v>
      </c>
    </row>
    <row r="31" spans="1:12" x14ac:dyDescent="0.2">
      <c r="A31" s="60" t="s">
        <v>239</v>
      </c>
      <c r="B31" s="62"/>
      <c r="C31" s="62"/>
      <c r="D31" s="62"/>
      <c r="E31" s="160">
        <f t="shared" ref="E31:J31" si="7">E17-E24</f>
        <v>0</v>
      </c>
      <c r="F31" s="160">
        <f t="shared" si="7"/>
        <v>390</v>
      </c>
      <c r="G31" s="160">
        <f t="shared" si="7"/>
        <v>2990</v>
      </c>
      <c r="H31" s="160">
        <f t="shared" si="7"/>
        <v>2990</v>
      </c>
      <c r="I31" s="160">
        <f t="shared" si="7"/>
        <v>3770</v>
      </c>
      <c r="J31" s="160">
        <f t="shared" si="7"/>
        <v>12870</v>
      </c>
      <c r="K31" s="50"/>
      <c r="L31" s="47">
        <f t="shared" si="0"/>
        <v>25</v>
      </c>
    </row>
    <row r="32" spans="1:12" x14ac:dyDescent="0.2">
      <c r="A32" s="60" t="s">
        <v>240</v>
      </c>
      <c r="B32" s="62"/>
      <c r="C32" s="62"/>
      <c r="D32" s="62"/>
      <c r="E32" s="160">
        <f t="shared" ref="E32:J32" si="8">E18-E25</f>
        <v>390</v>
      </c>
      <c r="F32" s="160">
        <f t="shared" si="8"/>
        <v>2600</v>
      </c>
      <c r="G32" s="160">
        <f t="shared" si="8"/>
        <v>0</v>
      </c>
      <c r="H32" s="160">
        <f t="shared" si="8"/>
        <v>780</v>
      </c>
      <c r="I32" s="160">
        <f t="shared" si="8"/>
        <v>9100</v>
      </c>
      <c r="J32" s="160">
        <f t="shared" si="8"/>
        <v>0</v>
      </c>
      <c r="K32" s="82">
        <f>SUM(E32:J32)</f>
        <v>12870</v>
      </c>
      <c r="L32" s="47">
        <f t="shared" si="0"/>
        <v>26</v>
      </c>
    </row>
    <row r="33" spans="1:12" x14ac:dyDescent="0.2">
      <c r="A33" s="71" t="s">
        <v>241</v>
      </c>
      <c r="B33" s="79"/>
      <c r="C33" s="79"/>
      <c r="D33" s="79"/>
      <c r="E33" s="201">
        <f t="shared" ref="E33:J33" si="9">E19-E26</f>
        <v>390</v>
      </c>
      <c r="F33" s="201">
        <f t="shared" si="9"/>
        <v>2990</v>
      </c>
      <c r="G33" s="201">
        <f t="shared" si="9"/>
        <v>2990</v>
      </c>
      <c r="H33" s="201">
        <f t="shared" si="9"/>
        <v>3770</v>
      </c>
      <c r="I33" s="201">
        <f t="shared" si="9"/>
        <v>12870</v>
      </c>
      <c r="J33" s="201">
        <f t="shared" si="9"/>
        <v>12870</v>
      </c>
      <c r="K33" s="94"/>
      <c r="L33" s="47">
        <f t="shared" si="0"/>
        <v>27</v>
      </c>
    </row>
    <row r="35" spans="1:12" ht="13.5" thickBot="1" x14ac:dyDescent="0.25">
      <c r="A35" s="456" t="s">
        <v>242</v>
      </c>
      <c r="B35" s="457"/>
      <c r="C35" s="457"/>
      <c r="D35" s="458">
        <f>K28</f>
        <v>245.375</v>
      </c>
    </row>
    <row r="36" spans="1:12" ht="13.5" thickTop="1" x14ac:dyDescent="0.2"/>
  </sheetData>
  <mergeCells count="1">
    <mergeCell ref="B13:D13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4"/>
  <sheetViews>
    <sheetView topLeftCell="A34" workbookViewId="0">
      <selection activeCell="J4" sqref="J4"/>
    </sheetView>
  </sheetViews>
  <sheetFormatPr defaultRowHeight="12.75" x14ac:dyDescent="0.2"/>
  <cols>
    <col min="1" max="1" width="9.140625" style="47"/>
    <col min="2" max="2" width="6.28515625" style="47" customWidth="1"/>
    <col min="3" max="26" width="9.7109375" style="47" customWidth="1"/>
    <col min="27" max="16384" width="9.140625" style="47"/>
  </cols>
  <sheetData>
    <row r="1" spans="1:31" ht="15.75" x14ac:dyDescent="0.25">
      <c r="A1" s="207" t="s">
        <v>243</v>
      </c>
      <c r="B1" s="250"/>
      <c r="C1" s="250"/>
      <c r="D1" s="250"/>
      <c r="E1" s="226"/>
    </row>
    <row r="2" spans="1:31" ht="15.75" x14ac:dyDescent="0.25">
      <c r="A2" s="227">
        <f>ASS!A4</f>
        <v>0</v>
      </c>
      <c r="B2" s="222"/>
      <c r="C2" s="222"/>
      <c r="D2" s="222"/>
      <c r="E2" s="228"/>
      <c r="G2" s="409"/>
      <c r="H2" s="409"/>
    </row>
    <row r="3" spans="1:31" ht="15.75" x14ac:dyDescent="0.25">
      <c r="A3" s="229" t="str">
        <f>ASS!A5</f>
        <v>BASE MODEL</v>
      </c>
      <c r="B3" s="251"/>
      <c r="C3" s="251"/>
      <c r="D3" s="251"/>
      <c r="E3" s="230"/>
    </row>
    <row r="4" spans="1:31" x14ac:dyDescent="0.2">
      <c r="A4"/>
      <c r="B4"/>
      <c r="C4"/>
      <c r="D4" s="206">
        <f>B24</f>
        <v>1</v>
      </c>
      <c r="E4" s="206">
        <f>D4+2</f>
        <v>3</v>
      </c>
      <c r="F4" s="206">
        <f t="shared" ref="F4:U4" si="0">E4+2</f>
        <v>5</v>
      </c>
      <c r="G4" s="206">
        <f t="shared" si="0"/>
        <v>7</v>
      </c>
      <c r="H4" s="206">
        <f t="shared" si="0"/>
        <v>9</v>
      </c>
      <c r="I4" s="206">
        <f t="shared" si="0"/>
        <v>11</v>
      </c>
      <c r="J4" s="206">
        <f t="shared" si="0"/>
        <v>13</v>
      </c>
      <c r="K4" s="206">
        <f t="shared" si="0"/>
        <v>15</v>
      </c>
      <c r="L4" s="206">
        <f t="shared" si="0"/>
        <v>17</v>
      </c>
      <c r="M4" s="206">
        <f t="shared" si="0"/>
        <v>19</v>
      </c>
      <c r="N4" s="206">
        <f t="shared" si="0"/>
        <v>21</v>
      </c>
      <c r="O4" s="206">
        <f t="shared" si="0"/>
        <v>23</v>
      </c>
      <c r="P4" s="206">
        <f t="shared" si="0"/>
        <v>25</v>
      </c>
      <c r="Q4" s="206">
        <f t="shared" si="0"/>
        <v>27</v>
      </c>
      <c r="R4" s="206">
        <f t="shared" si="0"/>
        <v>29</v>
      </c>
      <c r="S4" s="206">
        <f t="shared" si="0"/>
        <v>31</v>
      </c>
      <c r="T4" s="206">
        <f t="shared" si="0"/>
        <v>33</v>
      </c>
      <c r="U4" s="206">
        <f t="shared" si="0"/>
        <v>35</v>
      </c>
      <c r="V4" s="206">
        <f t="shared" ref="V4:AC4" si="1">U4+2</f>
        <v>37</v>
      </c>
      <c r="W4" s="206">
        <f t="shared" si="1"/>
        <v>39</v>
      </c>
      <c r="X4" s="206">
        <f t="shared" si="1"/>
        <v>41</v>
      </c>
      <c r="Y4" s="206">
        <f t="shared" si="1"/>
        <v>43</v>
      </c>
      <c r="Z4" s="206">
        <f t="shared" si="1"/>
        <v>45</v>
      </c>
      <c r="AA4" s="206">
        <f t="shared" si="1"/>
        <v>47</v>
      </c>
      <c r="AB4" s="206">
        <f t="shared" si="1"/>
        <v>49</v>
      </c>
      <c r="AC4" s="206">
        <f t="shared" si="1"/>
        <v>51</v>
      </c>
    </row>
    <row r="5" spans="1:31" x14ac:dyDescent="0.2">
      <c r="A5" s="52" t="s">
        <v>165</v>
      </c>
      <c r="B5" s="59"/>
      <c r="C5" s="59"/>
      <c r="D5" s="59">
        <f>CF!D5</f>
        <v>1</v>
      </c>
      <c r="E5" s="59">
        <f>CF!E5</f>
        <v>2</v>
      </c>
      <c r="F5" s="59">
        <f>CF!F5</f>
        <v>3</v>
      </c>
      <c r="G5" s="48"/>
    </row>
    <row r="6" spans="1:31" x14ac:dyDescent="0.2">
      <c r="A6" s="297" t="s">
        <v>166</v>
      </c>
      <c r="B6" s="62"/>
      <c r="C6" s="62"/>
      <c r="D6" s="295">
        <f>CF!D6</f>
        <v>2001</v>
      </c>
      <c r="E6" s="295">
        <f>CF!E6</f>
        <v>2002</v>
      </c>
      <c r="F6" s="295">
        <f>CF!F6</f>
        <v>2003</v>
      </c>
      <c r="G6" s="49" t="s">
        <v>244</v>
      </c>
    </row>
    <row r="7" spans="1:31" x14ac:dyDescent="0.2">
      <c r="A7" s="71" t="s">
        <v>168</v>
      </c>
      <c r="B7" s="79"/>
      <c r="C7" s="79"/>
      <c r="D7" s="79">
        <f>CF!D7</f>
        <v>12</v>
      </c>
      <c r="E7" s="79">
        <f>CF!E7</f>
        <v>12</v>
      </c>
      <c r="F7" s="79">
        <f>CF!F7</f>
        <v>12</v>
      </c>
      <c r="G7" s="94"/>
    </row>
    <row r="8" spans="1:31" x14ac:dyDescent="0.2">
      <c r="AD8" s="62"/>
    </row>
    <row r="9" spans="1:31" x14ac:dyDescent="0.2">
      <c r="A9" s="298" t="s">
        <v>245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48"/>
    </row>
    <row r="10" spans="1:31" x14ac:dyDescent="0.2">
      <c r="A10" s="321" t="s">
        <v>246</v>
      </c>
      <c r="B10" s="62"/>
      <c r="C10" s="62"/>
      <c r="D10" s="160">
        <f>VLOOKUP(D4,FIN_TABLE,26)</f>
        <v>0</v>
      </c>
      <c r="E10" s="160">
        <f t="shared" ref="E10:T10" si="2">VLOOKUP(E4,FIN_TABLE,26)</f>
        <v>0</v>
      </c>
      <c r="F10" s="160">
        <f t="shared" si="2"/>
        <v>0</v>
      </c>
      <c r="G10" s="160">
        <f t="shared" si="2"/>
        <v>0</v>
      </c>
      <c r="H10" s="160">
        <f t="shared" si="2"/>
        <v>0</v>
      </c>
      <c r="I10" s="160">
        <f t="shared" si="2"/>
        <v>0</v>
      </c>
      <c r="J10" s="160">
        <f t="shared" si="2"/>
        <v>0</v>
      </c>
      <c r="K10" s="160">
        <f t="shared" si="2"/>
        <v>0</v>
      </c>
      <c r="L10" s="160">
        <f t="shared" si="2"/>
        <v>0</v>
      </c>
      <c r="M10" s="160">
        <f t="shared" si="2"/>
        <v>0</v>
      </c>
      <c r="N10" s="160">
        <f t="shared" si="2"/>
        <v>0</v>
      </c>
      <c r="O10" s="160">
        <f t="shared" si="2"/>
        <v>0</v>
      </c>
      <c r="P10" s="160">
        <f t="shared" si="2"/>
        <v>0</v>
      </c>
      <c r="Q10" s="160">
        <f t="shared" si="2"/>
        <v>0</v>
      </c>
      <c r="R10" s="160">
        <f t="shared" si="2"/>
        <v>0</v>
      </c>
      <c r="S10" s="160">
        <f t="shared" si="2"/>
        <v>0</v>
      </c>
      <c r="T10" s="160">
        <f t="shared" si="2"/>
        <v>0</v>
      </c>
      <c r="U10" s="160">
        <f t="shared" ref="U10:AC10" si="3">VLOOKUP(U4,FIN_TABLE,26)</f>
        <v>0</v>
      </c>
      <c r="V10" s="160">
        <f t="shared" si="3"/>
        <v>0</v>
      </c>
      <c r="W10" s="160">
        <f t="shared" si="3"/>
        <v>0</v>
      </c>
      <c r="X10" s="160">
        <f t="shared" si="3"/>
        <v>0</v>
      </c>
      <c r="Y10" s="160">
        <f t="shared" si="3"/>
        <v>0</v>
      </c>
      <c r="Z10" s="160">
        <f t="shared" si="3"/>
        <v>0</v>
      </c>
      <c r="AA10" s="160">
        <f t="shared" si="3"/>
        <v>0</v>
      </c>
      <c r="AB10" s="160">
        <f t="shared" si="3"/>
        <v>0</v>
      </c>
      <c r="AC10" s="160">
        <f t="shared" si="3"/>
        <v>0</v>
      </c>
      <c r="AD10" s="82">
        <f>SUM(D10:X10)</f>
        <v>0</v>
      </c>
    </row>
    <row r="11" spans="1:31" x14ac:dyDescent="0.2">
      <c r="A11" s="321" t="s">
        <v>247</v>
      </c>
      <c r="B11" s="62"/>
      <c r="C11" s="62"/>
      <c r="D11" s="161">
        <f>VLOOKUP(D4,FIN_TABLE,27)</f>
        <v>0</v>
      </c>
      <c r="E11" s="161">
        <f t="shared" ref="E11:T11" si="4">VLOOKUP(E4,FIN_TABLE,27)</f>
        <v>0</v>
      </c>
      <c r="F11" s="161">
        <f t="shared" si="4"/>
        <v>0</v>
      </c>
      <c r="G11" s="161">
        <f t="shared" si="4"/>
        <v>0</v>
      </c>
      <c r="H11" s="161">
        <f t="shared" si="4"/>
        <v>0</v>
      </c>
      <c r="I11" s="161">
        <f t="shared" si="4"/>
        <v>0</v>
      </c>
      <c r="J11" s="161">
        <f t="shared" si="4"/>
        <v>0</v>
      </c>
      <c r="K11" s="161">
        <f t="shared" si="4"/>
        <v>0</v>
      </c>
      <c r="L11" s="161">
        <f t="shared" si="4"/>
        <v>0</v>
      </c>
      <c r="M11" s="161">
        <f t="shared" si="4"/>
        <v>0</v>
      </c>
      <c r="N11" s="161">
        <f t="shared" si="4"/>
        <v>0</v>
      </c>
      <c r="O11" s="161">
        <f t="shared" si="4"/>
        <v>0</v>
      </c>
      <c r="P11" s="161">
        <f t="shared" si="4"/>
        <v>0</v>
      </c>
      <c r="Q11" s="161">
        <f t="shared" si="4"/>
        <v>0</v>
      </c>
      <c r="R11" s="161">
        <f t="shared" si="4"/>
        <v>0</v>
      </c>
      <c r="S11" s="161">
        <f t="shared" si="4"/>
        <v>0</v>
      </c>
      <c r="T11" s="161">
        <f t="shared" si="4"/>
        <v>0</v>
      </c>
      <c r="U11" s="161">
        <f t="shared" ref="U11:AC11" si="5">VLOOKUP(U4,FIN_TABLE,27)</f>
        <v>0</v>
      </c>
      <c r="V11" s="161">
        <f t="shared" si="5"/>
        <v>0</v>
      </c>
      <c r="W11" s="161">
        <f t="shared" si="5"/>
        <v>0</v>
      </c>
      <c r="X11" s="161">
        <f t="shared" si="5"/>
        <v>0</v>
      </c>
      <c r="Y11" s="161">
        <f t="shared" si="5"/>
        <v>0</v>
      </c>
      <c r="Z11" s="161">
        <f t="shared" si="5"/>
        <v>0</v>
      </c>
      <c r="AA11" s="161">
        <f t="shared" si="5"/>
        <v>0</v>
      </c>
      <c r="AB11" s="161">
        <f t="shared" si="5"/>
        <v>0</v>
      </c>
      <c r="AC11" s="161">
        <f t="shared" si="5"/>
        <v>0</v>
      </c>
      <c r="AD11" s="89">
        <f>SUM(D11:X11)</f>
        <v>0</v>
      </c>
      <c r="AE11" s="95" t="str">
        <f>IF(ABS(AD11-DEBT)&lt;0.01," ","SUM OF PRINCIPAL PAYMENTS DOES NOT EQUAL DEBT")</f>
        <v xml:space="preserve"> </v>
      </c>
    </row>
    <row r="12" spans="1:31" x14ac:dyDescent="0.2">
      <c r="A12" s="322" t="s">
        <v>248</v>
      </c>
      <c r="B12" s="251"/>
      <c r="C12" s="251"/>
      <c r="D12" s="323">
        <f>SUM(D10:D11)</f>
        <v>0</v>
      </c>
      <c r="E12" s="323">
        <f t="shared" ref="E12:S12" si="6">SUM(E10:E11)</f>
        <v>0</v>
      </c>
      <c r="F12" s="323">
        <f t="shared" si="6"/>
        <v>0</v>
      </c>
      <c r="G12" s="323">
        <f t="shared" si="6"/>
        <v>0</v>
      </c>
      <c r="H12" s="323">
        <f t="shared" si="6"/>
        <v>0</v>
      </c>
      <c r="I12" s="323">
        <f t="shared" si="6"/>
        <v>0</v>
      </c>
      <c r="J12" s="323">
        <f t="shared" si="6"/>
        <v>0</v>
      </c>
      <c r="K12" s="323">
        <f t="shared" si="6"/>
        <v>0</v>
      </c>
      <c r="L12" s="323">
        <f t="shared" si="6"/>
        <v>0</v>
      </c>
      <c r="M12" s="323">
        <f t="shared" si="6"/>
        <v>0</v>
      </c>
      <c r="N12" s="323">
        <f t="shared" si="6"/>
        <v>0</v>
      </c>
      <c r="O12" s="323">
        <f t="shared" si="6"/>
        <v>0</v>
      </c>
      <c r="P12" s="323">
        <f t="shared" si="6"/>
        <v>0</v>
      </c>
      <c r="Q12" s="323">
        <f t="shared" si="6"/>
        <v>0</v>
      </c>
      <c r="R12" s="323">
        <f t="shared" si="6"/>
        <v>0</v>
      </c>
      <c r="S12" s="323">
        <f t="shared" si="6"/>
        <v>0</v>
      </c>
      <c r="T12" s="323">
        <f t="shared" ref="T12:AC12" si="7">SUM(T10:T11)</f>
        <v>0</v>
      </c>
      <c r="U12" s="323">
        <f t="shared" si="7"/>
        <v>0</v>
      </c>
      <c r="V12" s="323">
        <f t="shared" si="7"/>
        <v>0</v>
      </c>
      <c r="W12" s="323">
        <f t="shared" si="7"/>
        <v>0</v>
      </c>
      <c r="X12" s="323">
        <f t="shared" si="7"/>
        <v>0</v>
      </c>
      <c r="Y12" s="323">
        <f t="shared" si="7"/>
        <v>0</v>
      </c>
      <c r="Z12" s="323">
        <f t="shared" si="7"/>
        <v>0</v>
      </c>
      <c r="AA12" s="323">
        <f t="shared" si="7"/>
        <v>0</v>
      </c>
      <c r="AB12" s="323">
        <f t="shared" si="7"/>
        <v>0</v>
      </c>
      <c r="AC12" s="323">
        <f t="shared" si="7"/>
        <v>0</v>
      </c>
      <c r="AD12" s="324">
        <f>SUM(AD10:AD11)</f>
        <v>0</v>
      </c>
    </row>
    <row r="15" spans="1:31" x14ac:dyDescent="0.2">
      <c r="A15" s="298" t="s">
        <v>249</v>
      </c>
      <c r="B15" s="53"/>
      <c r="C15" s="54" t="str">
        <f>ASS!T30</f>
        <v xml:space="preserve">   Tranche 1:</v>
      </c>
      <c r="D15" s="55"/>
      <c r="E15" s="55"/>
      <c r="F15" s="56"/>
      <c r="G15" s="54" t="str">
        <f>ASS!T38</f>
        <v xml:space="preserve">   Tranche 2:</v>
      </c>
      <c r="H15" s="57"/>
      <c r="I15" s="57"/>
      <c r="J15" s="58"/>
      <c r="K15" s="54" t="str">
        <f>ASS!T46</f>
        <v xml:space="preserve">   Tranche 3: Other</v>
      </c>
      <c r="L15" s="57"/>
      <c r="M15" s="57"/>
      <c r="N15" s="58"/>
      <c r="O15" s="54" t="str">
        <f>ASS!T54</f>
        <v xml:space="preserve">   Tranche 4: Other</v>
      </c>
      <c r="P15" s="57"/>
      <c r="Q15" s="57"/>
      <c r="R15" s="58"/>
      <c r="S15" s="54" t="str">
        <f>ASS!T62</f>
        <v xml:space="preserve">   Tranche 5: Other</v>
      </c>
      <c r="T15" s="57"/>
      <c r="U15" s="57"/>
      <c r="V15" s="58"/>
      <c r="W15" s="54" t="str">
        <f>ASS!T70</f>
        <v xml:space="preserve">   Tranche 6: Other</v>
      </c>
      <c r="X15" s="57"/>
      <c r="Y15" s="57"/>
      <c r="Z15" s="58"/>
      <c r="AA15" s="59"/>
      <c r="AB15" s="53"/>
    </row>
    <row r="16" spans="1:31" x14ac:dyDescent="0.2">
      <c r="A16" s="299" t="s">
        <v>250</v>
      </c>
      <c r="B16" s="61"/>
      <c r="C16" s="60" t="s">
        <v>9</v>
      </c>
      <c r="D16" s="62"/>
      <c r="E16" s="174">
        <f>ASS!X31</f>
        <v>0</v>
      </c>
      <c r="F16" s="61"/>
      <c r="G16" s="60" t="s">
        <v>9</v>
      </c>
      <c r="H16" s="62"/>
      <c r="I16" s="174">
        <f>ASS!X39</f>
        <v>0</v>
      </c>
      <c r="J16" s="174"/>
      <c r="K16" s="60" t="s">
        <v>9</v>
      </c>
      <c r="L16" s="62"/>
      <c r="M16" s="63">
        <f>ASS!X47</f>
        <v>0</v>
      </c>
      <c r="N16" s="63"/>
      <c r="O16" s="60" t="s">
        <v>9</v>
      </c>
      <c r="P16" s="62"/>
      <c r="Q16" s="63">
        <f>ASS!X55</f>
        <v>0</v>
      </c>
      <c r="R16" s="61"/>
      <c r="S16" s="60" t="s">
        <v>9</v>
      </c>
      <c r="T16" s="62"/>
      <c r="U16" s="63">
        <f>ASS!X63</f>
        <v>0</v>
      </c>
      <c r="V16" s="61"/>
      <c r="W16" s="60" t="s">
        <v>9</v>
      </c>
      <c r="X16" s="62"/>
      <c r="Y16" s="174">
        <f>ASS!X71</f>
        <v>0</v>
      </c>
      <c r="Z16" s="61"/>
      <c r="AA16" s="62"/>
      <c r="AB16" s="61"/>
    </row>
    <row r="17" spans="1:28" x14ac:dyDescent="0.2">
      <c r="A17" s="60"/>
      <c r="B17" s="61"/>
      <c r="C17" s="60" t="s">
        <v>251</v>
      </c>
      <c r="D17" s="62"/>
      <c r="E17" s="62">
        <f>ASS!X32</f>
        <v>0</v>
      </c>
      <c r="F17" s="61" t="s">
        <v>252</v>
      </c>
      <c r="G17" s="60" t="s">
        <v>251</v>
      </c>
      <c r="H17" s="62"/>
      <c r="I17" s="62">
        <f>ASS!X40</f>
        <v>0</v>
      </c>
      <c r="J17" s="61" t="s">
        <v>252</v>
      </c>
      <c r="K17" s="60" t="s">
        <v>251</v>
      </c>
      <c r="L17" s="62"/>
      <c r="M17" s="62">
        <f>ASS!X48</f>
        <v>0</v>
      </c>
      <c r="N17" s="61" t="s">
        <v>252</v>
      </c>
      <c r="O17" s="60" t="s">
        <v>251</v>
      </c>
      <c r="P17" s="62"/>
      <c r="Q17" s="62">
        <f>ASS!X56</f>
        <v>0</v>
      </c>
      <c r="R17" s="61" t="s">
        <v>252</v>
      </c>
      <c r="S17" s="60" t="s">
        <v>251</v>
      </c>
      <c r="T17" s="62"/>
      <c r="U17" s="62">
        <f>ASS!X64</f>
        <v>0</v>
      </c>
      <c r="V17" s="61" t="s">
        <v>252</v>
      </c>
      <c r="W17" s="60" t="s">
        <v>251</v>
      </c>
      <c r="X17" s="62"/>
      <c r="Y17" s="62">
        <f>ASS!X72</f>
        <v>0</v>
      </c>
      <c r="Z17" s="61" t="s">
        <v>252</v>
      </c>
      <c r="AA17" s="62"/>
      <c r="AB17" s="61"/>
    </row>
    <row r="18" spans="1:28" x14ac:dyDescent="0.2">
      <c r="A18" s="60"/>
      <c r="B18" s="61"/>
      <c r="C18" s="60" t="s">
        <v>227</v>
      </c>
      <c r="D18" s="62"/>
      <c r="E18" s="64">
        <f>ASS!X35</f>
        <v>0</v>
      </c>
      <c r="F18" s="61"/>
      <c r="G18" s="60" t="s">
        <v>227</v>
      </c>
      <c r="H18" s="62"/>
      <c r="I18" s="64">
        <f>ASS!X43</f>
        <v>0</v>
      </c>
      <c r="J18" s="61"/>
      <c r="K18" s="60" t="s">
        <v>227</v>
      </c>
      <c r="L18" s="62"/>
      <c r="M18" s="64">
        <f>ASS!X51</f>
        <v>0</v>
      </c>
      <c r="N18" s="61"/>
      <c r="O18" s="60" t="s">
        <v>227</v>
      </c>
      <c r="P18" s="62"/>
      <c r="Q18" s="64">
        <f>ASS!X59</f>
        <v>0</v>
      </c>
      <c r="R18" s="61"/>
      <c r="S18" s="60" t="s">
        <v>227</v>
      </c>
      <c r="T18" s="62"/>
      <c r="U18" s="64">
        <f>ASS!X67</f>
        <v>0</v>
      </c>
      <c r="V18" s="61"/>
      <c r="W18" s="60" t="s">
        <v>227</v>
      </c>
      <c r="X18" s="62"/>
      <c r="Y18" s="64">
        <f>ASS!X75</f>
        <v>0</v>
      </c>
      <c r="Z18" s="61"/>
      <c r="AA18" s="62"/>
      <c r="AB18" s="61"/>
    </row>
    <row r="19" spans="1:28" x14ac:dyDescent="0.2">
      <c r="A19" s="60"/>
      <c r="B19" s="61"/>
      <c r="C19" s="60" t="s">
        <v>253</v>
      </c>
      <c r="D19" s="62"/>
      <c r="E19" s="334">
        <f>ASS!$X$34</f>
        <v>0</v>
      </c>
      <c r="F19" s="61" t="s">
        <v>118</v>
      </c>
      <c r="G19" s="60" t="s">
        <v>253</v>
      </c>
      <c r="H19" s="62"/>
      <c r="I19" s="334">
        <f>ASS!$X$42</f>
        <v>0</v>
      </c>
      <c r="J19" s="61" t="s">
        <v>118</v>
      </c>
      <c r="K19" s="60" t="s">
        <v>253</v>
      </c>
      <c r="L19" s="62"/>
      <c r="M19" s="334">
        <f>ASS!$X$50</f>
        <v>0</v>
      </c>
      <c r="N19" s="61" t="s">
        <v>118</v>
      </c>
      <c r="O19" s="60" t="s">
        <v>253</v>
      </c>
      <c r="P19" s="62"/>
      <c r="Q19" s="334">
        <f>ASS!$X$58</f>
        <v>0</v>
      </c>
      <c r="R19" s="61" t="s">
        <v>118</v>
      </c>
      <c r="S19" s="60" t="s">
        <v>253</v>
      </c>
      <c r="T19" s="62"/>
      <c r="U19" s="334">
        <f>ASS!$X$66</f>
        <v>0</v>
      </c>
      <c r="V19" s="61" t="s">
        <v>118</v>
      </c>
      <c r="W19" s="60" t="s">
        <v>253</v>
      </c>
      <c r="X19" s="62"/>
      <c r="Y19" s="334">
        <f>ASS!$X$74</f>
        <v>0</v>
      </c>
      <c r="Z19" s="61" t="s">
        <v>118</v>
      </c>
      <c r="AA19" s="62"/>
      <c r="AB19" s="61"/>
    </row>
    <row r="20" spans="1:28" x14ac:dyDescent="0.2">
      <c r="A20" s="60"/>
      <c r="B20" s="61"/>
      <c r="C20" s="60" t="str">
        <f>IF(ASS!$W$30=1,"STRAIGHT LINE AMORTIZATION", IF(ASS!$W$30=2,"MORTGAGE STYLE AMORTIZATION","CHECK"))</f>
        <v>CHECK</v>
      </c>
      <c r="D20" s="62"/>
      <c r="E20" s="62"/>
      <c r="F20" s="61"/>
      <c r="G20" s="60" t="str">
        <f>IF(ASS!$W$38=1,"STRAIGHT LINE AMORTIZATION", IF(ASS!$W$38=2,"MORTGAGE STYLE AMORTIZATION","CHECK"))</f>
        <v>CHECK</v>
      </c>
      <c r="H20" s="62"/>
      <c r="I20" s="62"/>
      <c r="J20" s="61"/>
      <c r="K20" s="60" t="str">
        <f>IF(ASS!$W$46=1,"STRAIGHT LINE AMORTIZATION", IF(ASS!$W$46=2,"MORTGAGE STYLE AMORTIZATION","CHECK"))</f>
        <v>CHECK</v>
      </c>
      <c r="L20" s="62"/>
      <c r="M20" s="62"/>
      <c r="N20" s="61"/>
      <c r="O20" s="60" t="str">
        <f>IF(ASS!$W$54=1,"STRAIGHT LINE AMORTIZATION", IF(ASS!$W$54=2,"MORTGAGE STYLE AMORTIZATION","CHECK"))</f>
        <v>CHECK</v>
      </c>
      <c r="P20" s="62"/>
      <c r="Q20" s="62"/>
      <c r="R20" s="61"/>
      <c r="S20" s="60" t="str">
        <f>IF(ASS!$W$62=1,"STRAIGHT LINE AMORTIZATION", IF(ASS!$W$62=2,"MORTGAGE STYLE AMORTIZATION","CHECK"))</f>
        <v>CHECK</v>
      </c>
      <c r="T20" s="62"/>
      <c r="U20" s="62"/>
      <c r="V20" s="61"/>
      <c r="W20" s="60" t="str">
        <f>IF(ASS!$W$70=1,"STRAIGHT LINE AMORTIZATION", IF(ASS!$W$70=2,"MORTGAGE STYLE AMORTIZATION","CHECK"))</f>
        <v>CHECK</v>
      </c>
      <c r="X20" s="62"/>
      <c r="Y20" s="62"/>
      <c r="Z20" s="61"/>
      <c r="AA20" s="65" t="s">
        <v>225</v>
      </c>
      <c r="AB20" s="66" t="s">
        <v>225</v>
      </c>
    </row>
    <row r="21" spans="1:28" x14ac:dyDescent="0.2">
      <c r="A21" s="60"/>
      <c r="B21" s="61"/>
      <c r="C21" s="60"/>
      <c r="D21" s="62"/>
      <c r="E21" s="62"/>
      <c r="F21" s="61"/>
      <c r="G21" s="60"/>
      <c r="H21" s="62"/>
      <c r="I21" s="62"/>
      <c r="J21" s="61"/>
      <c r="K21" s="60"/>
      <c r="L21" s="62"/>
      <c r="M21" s="62"/>
      <c r="N21" s="61"/>
      <c r="O21" s="60"/>
      <c r="P21" s="62"/>
      <c r="Q21" s="62"/>
      <c r="R21" s="61"/>
      <c r="S21" s="60"/>
      <c r="T21" s="62"/>
      <c r="U21" s="62"/>
      <c r="V21" s="61"/>
      <c r="W21" s="60"/>
      <c r="X21" s="62"/>
      <c r="Y21" s="62"/>
      <c r="Z21" s="61"/>
      <c r="AA21" s="62"/>
      <c r="AB21" s="61"/>
    </row>
    <row r="22" spans="1:28" x14ac:dyDescent="0.2">
      <c r="A22" s="67" t="s">
        <v>254</v>
      </c>
      <c r="B22" s="68" t="s">
        <v>255</v>
      </c>
      <c r="C22" s="67" t="s">
        <v>256</v>
      </c>
      <c r="D22" s="69" t="s">
        <v>257</v>
      </c>
      <c r="E22" s="69" t="s">
        <v>258</v>
      </c>
      <c r="F22" s="68" t="s">
        <v>259</v>
      </c>
      <c r="G22" s="67" t="s">
        <v>256</v>
      </c>
      <c r="H22" s="69" t="s">
        <v>257</v>
      </c>
      <c r="I22" s="69" t="s">
        <v>258</v>
      </c>
      <c r="J22" s="68" t="s">
        <v>259</v>
      </c>
      <c r="K22" s="67" t="s">
        <v>256</v>
      </c>
      <c r="L22" s="69" t="s">
        <v>257</v>
      </c>
      <c r="M22" s="69" t="s">
        <v>258</v>
      </c>
      <c r="N22" s="68" t="s">
        <v>259</v>
      </c>
      <c r="O22" s="67" t="s">
        <v>256</v>
      </c>
      <c r="P22" s="69" t="s">
        <v>257</v>
      </c>
      <c r="Q22" s="69" t="s">
        <v>258</v>
      </c>
      <c r="R22" s="68" t="s">
        <v>259</v>
      </c>
      <c r="S22" s="67" t="s">
        <v>256</v>
      </c>
      <c r="T22" s="69" t="s">
        <v>257</v>
      </c>
      <c r="U22" s="69" t="s">
        <v>258</v>
      </c>
      <c r="V22" s="68" t="s">
        <v>259</v>
      </c>
      <c r="W22" s="67" t="s">
        <v>256</v>
      </c>
      <c r="X22" s="69" t="s">
        <v>257</v>
      </c>
      <c r="Y22" s="69" t="s">
        <v>258</v>
      </c>
      <c r="Z22" s="68" t="s">
        <v>259</v>
      </c>
      <c r="AA22" s="69" t="s">
        <v>257</v>
      </c>
      <c r="AB22" s="68" t="s">
        <v>258</v>
      </c>
    </row>
    <row r="23" spans="1:28" x14ac:dyDescent="0.2">
      <c r="A23" s="60">
        <f>STARTYR</f>
        <v>2001</v>
      </c>
      <c r="B23" s="61">
        <f>IF(MOSYR1&gt;1, 0, 1)</f>
        <v>0</v>
      </c>
      <c r="C23" s="173">
        <f>E16</f>
        <v>0</v>
      </c>
      <c r="D23" s="174">
        <f>IF($C23&gt;0, IF(D7&gt;6, C23*(D7-6)/12*E18, 0),0)</f>
        <v>0</v>
      </c>
      <c r="E23" s="174">
        <f>IF(D7&lt;12,0,IF($E$19&gt;=B23, 0, IF(C23&gt;1, IF(ASS!$W$30=1,$E$16/(($E$17*2)-$E$19), -PMT($E$18/2,($E$17*2-$E$19),$E$16,0)-D23), 0)))</f>
        <v>0</v>
      </c>
      <c r="F23" s="175">
        <f>C23-E23</f>
        <v>0</v>
      </c>
      <c r="G23" s="173">
        <f>I16</f>
        <v>0</v>
      </c>
      <c r="H23" s="174">
        <f>IF($G23&gt;0, IF(D7&gt;6, G23*(D7-6)/12*I18, 0),0)</f>
        <v>0</v>
      </c>
      <c r="I23" s="174">
        <f>IF(D7&lt;12,0,IF($I$19&gt;=$B23, 0, IF(G23&gt;1, IF(ASS!$W$38=1,$I$16/(($I$17*2)-$I$19),-PMT($I$18/2,($I$17*2-$I$19),$I$16,0)-H23), 0)))</f>
        <v>0</v>
      </c>
      <c r="J23" s="175">
        <f>G23-I23</f>
        <v>0</v>
      </c>
      <c r="K23" s="173">
        <f>M16</f>
        <v>0</v>
      </c>
      <c r="L23" s="174">
        <f>IF($K23&gt;0, IF(D7&gt;6, K23*(D7-6)/12*M18, 0),0)</f>
        <v>0</v>
      </c>
      <c r="M23" s="174">
        <f>IF(D7&lt;12,0,IF($M$19&gt;=$B23, 0, IF(K23&gt;1, IF(ASS!$W$46=1,$M$16/(($M$17*2)-$M$19), -PMT($M$18/2,($M$17*2-$M$19),$M$16,0)-L23), 0)))</f>
        <v>0</v>
      </c>
      <c r="N23" s="175">
        <f>K23-M23</f>
        <v>0</v>
      </c>
      <c r="O23" s="173">
        <f>Q16</f>
        <v>0</v>
      </c>
      <c r="P23" s="174">
        <f>IF($O23&gt;0, IF(D7&gt;6, O23*(D7-6)/12*Q18, 0),0)</f>
        <v>0</v>
      </c>
      <c r="Q23" s="174">
        <f>IF(D7&lt;12,0,IF($Q$19&gt;=B23, 0, IF(O23&gt;1, IF(ASS!$W$54=1,$Q$16/(($Q$17*2)-$Q$19), -PMT($Q$18/2,($Q$17*2-$Q$19),$Q$16,0)-P23), 0)))</f>
        <v>0</v>
      </c>
      <c r="R23" s="175">
        <f>O23-Q23</f>
        <v>0</v>
      </c>
      <c r="S23" s="173">
        <f>U16</f>
        <v>0</v>
      </c>
      <c r="T23" s="174">
        <f>IF(S23&gt;0, IF($D7&gt;6, S23*($D7-6)/12*U18, 0),0)</f>
        <v>0</v>
      </c>
      <c r="U23" s="174">
        <f>IF(D7&lt;12,0,IF($U$19&gt;=B23, 0, IF(S23&gt;1, IF(ASS!$W$62=1,$U$16/(($U$17*2)-$U$19), -PMT($U$18/2,($U$17*2-$U$19),$U$16,0)-T23), 0)))</f>
        <v>0</v>
      </c>
      <c r="V23" s="175">
        <f>S23-U23</f>
        <v>0</v>
      </c>
      <c r="W23" s="173">
        <f>Y16</f>
        <v>0</v>
      </c>
      <c r="X23" s="174">
        <f>IF(W23&gt;0, IF($D7&gt;6, W23*($D7-6)/12*Y18, 0),0)</f>
        <v>0</v>
      </c>
      <c r="Y23" s="174">
        <f>IF(D7&lt;12,0,IF($Y$19&gt;=B23, 0, IF(W23&gt;1, IF(ASS!$W$70=1,$Y$16/(($Y$17*2)-$Y$19), -PMT($Y$18/2,($Y$17*2-$Y$19),$Y$16,0)-X23), 0)))</f>
        <v>0</v>
      </c>
      <c r="Z23" s="175">
        <f>W23-Y23</f>
        <v>0</v>
      </c>
      <c r="AA23" s="174"/>
      <c r="AB23" s="175"/>
    </row>
    <row r="24" spans="1:28" x14ac:dyDescent="0.2">
      <c r="A24" s="71">
        <f>A23</f>
        <v>2001</v>
      </c>
      <c r="B24" s="72">
        <f>B23+1</f>
        <v>1</v>
      </c>
      <c r="C24" s="176">
        <f t="shared" ref="C24:C62" si="8">F23</f>
        <v>0</v>
      </c>
      <c r="D24" s="177">
        <f>IF($D$7&gt;6, C24*$E$18*0.5, C24*E18*$D$7/12)</f>
        <v>0</v>
      </c>
      <c r="E24" s="336">
        <f>IF($E$19&gt;=B24, 0, IF(C24&gt;1, IF(ASS!$W$30=1,$E$16/(($E$17*2)-$E$19), -PMT($E$18/2,($E$17*2-B23),C24,0)-D24), 0))</f>
        <v>0</v>
      </c>
      <c r="F24" s="178">
        <f>C24-E24</f>
        <v>0</v>
      </c>
      <c r="G24" s="176">
        <f t="shared" ref="G24:G62" si="9">J23</f>
        <v>0</v>
      </c>
      <c r="H24" s="177">
        <f>IF($D$7&gt;6, G24*$I$18*0.5, G24*$I$18*$D$7/12)</f>
        <v>0</v>
      </c>
      <c r="I24" s="336">
        <f>IF($I$19&gt;=B24, 0, IF(G24&gt;1, IF(ASS!$W$38=1,$I$16/(($I$17*2)-$I$19), -PMT($I$18/2,($I$17*2-B23),G24,0)-H24), 0))</f>
        <v>0</v>
      </c>
      <c r="J24" s="178">
        <f t="shared" ref="J24:J39" si="10">G24-I24</f>
        <v>0</v>
      </c>
      <c r="K24" s="176">
        <f t="shared" ref="K24:K62" si="11">N23</f>
        <v>0</v>
      </c>
      <c r="L24" s="177">
        <f>IF($D$7&gt;6, K24*$M$18*0.5, K24*$M$18*$D$7/12)</f>
        <v>0</v>
      </c>
      <c r="M24" s="336">
        <f>IF($M$19&gt;=B24, 0, IF(K24&gt;1, IF(ASS!$W$46=1,$M$16/(($M$17*2)-$M$19), -PMT($M$18/2,($M$17*2-B23),K24,0)-L24), 0))</f>
        <v>0</v>
      </c>
      <c r="N24" s="178">
        <f t="shared" ref="N24:N39" si="12">K24-M24</f>
        <v>0</v>
      </c>
      <c r="O24" s="176">
        <f t="shared" ref="O24:O62" si="13">R23</f>
        <v>0</v>
      </c>
      <c r="P24" s="177">
        <f>IF($D$7&gt;6, O24*$Q$18*0.5, O24*$Q$18*$D$7/12)</f>
        <v>0</v>
      </c>
      <c r="Q24" s="336">
        <f>IF($Q$19&gt;=B24, 0, IF(O24&gt;1, IF(ASS!$W$54=1,$Q$16/(($Q$17*2)-$Q$19), -PMT($Q$18/2,($Q$17*2-B23),O24,0)-P24), 0))</f>
        <v>0</v>
      </c>
      <c r="R24" s="178">
        <f t="shared" ref="R24:R39" si="14">O24-Q24</f>
        <v>0</v>
      </c>
      <c r="S24" s="176">
        <f t="shared" ref="S24:S62" si="15">V23</f>
        <v>0</v>
      </c>
      <c r="T24" s="177">
        <f>IF($D$7&gt;6, S24*$U$18*0.5, S24*$U$18*$D$7/12)</f>
        <v>0</v>
      </c>
      <c r="U24" s="336">
        <f>IF($U$19&gt;=B24, 0, IF(S24&gt;1, IF(ASS!$W$62=1,$U$16/(($U$17*2)-$U$19), -PMT($U$18/2,($U$17*2-B23),S24,0)-T24), 0))</f>
        <v>0</v>
      </c>
      <c r="V24" s="178">
        <f t="shared" ref="V24:V39" si="16">S24-U24</f>
        <v>0</v>
      </c>
      <c r="W24" s="176">
        <f t="shared" ref="W24:W62" si="17">Z23</f>
        <v>0</v>
      </c>
      <c r="X24" s="177">
        <f>IF($D$7&gt;6, W24*$Y$18*0.5, W24*$Y$18*$D$7/12)</f>
        <v>0</v>
      </c>
      <c r="Y24" s="336">
        <f>IF($Y$19&gt;=B24, 0, IF(W24&gt;1, IF(ASS!$W$70=1,$Y$16/(($Y$17*2)-$Y$19), -PMT($Y$18/2,($Y$17*2-B23),W24,0)-X24), 0))</f>
        <v>0</v>
      </c>
      <c r="Z24" s="178">
        <f t="shared" ref="Z24:Z39" si="18">W24-Y24</f>
        <v>0</v>
      </c>
      <c r="AA24" s="177">
        <f>SUM(D23:D24,H23:H24,L23:L24, P23:P24, T23:T24, X23:X24)</f>
        <v>0</v>
      </c>
      <c r="AB24" s="178">
        <f>SUM(E23:E24, I23:I24, M23:M24, Q23:Q24, U23:U24, Y23:Y24)</f>
        <v>0</v>
      </c>
    </row>
    <row r="25" spans="1:28" x14ac:dyDescent="0.2">
      <c r="A25" s="60">
        <f>A23+1</f>
        <v>2002</v>
      </c>
      <c r="B25" s="61">
        <f t="shared" ref="B25:B40" si="19">B24+1</f>
        <v>2</v>
      </c>
      <c r="C25" s="173">
        <f t="shared" si="8"/>
        <v>0</v>
      </c>
      <c r="D25" s="174">
        <f>C25*$E$18*0.5</f>
        <v>0</v>
      </c>
      <c r="E25" s="174">
        <f>IF($E$19&gt;=B25, 0, IF(C25&gt;1, IF(ASS!$W$30=1,$E$16/(($E$17*2)-$E$19), -PMT($E$18/2,($E$17*2-B24),C25,0)-D25), 0))</f>
        <v>0</v>
      </c>
      <c r="F25" s="175">
        <f t="shared" ref="F25:F40" si="20">C25-E25</f>
        <v>0</v>
      </c>
      <c r="G25" s="173">
        <f t="shared" si="9"/>
        <v>0</v>
      </c>
      <c r="H25" s="174">
        <f>G25*$I$18*0.5</f>
        <v>0</v>
      </c>
      <c r="I25" s="174">
        <f>IF($I$19&gt;=B25, 0, IF(G25&gt;1, IF(ASS!$W$38=1,$I$16/(($I$17*2)-$I$19), -PMT($I$18/2,($I$17*2-B24),G25,0)-H25), 0))</f>
        <v>0</v>
      </c>
      <c r="J25" s="175">
        <f t="shared" si="10"/>
        <v>0</v>
      </c>
      <c r="K25" s="173">
        <f t="shared" si="11"/>
        <v>0</v>
      </c>
      <c r="L25" s="174">
        <f>K25*$M$18*0.5</f>
        <v>0</v>
      </c>
      <c r="M25" s="174">
        <f>IF($M$19&gt;=B25, 0, IF(K25&gt;1, IF(ASS!$W$46=1,$M$16/(($M$17*2)-$M$19), -PMT($M$18/2,($M$17*2-B24),K25,0)-L25), 0))</f>
        <v>0</v>
      </c>
      <c r="N25" s="175">
        <f t="shared" si="12"/>
        <v>0</v>
      </c>
      <c r="O25" s="173">
        <f t="shared" si="13"/>
        <v>0</v>
      </c>
      <c r="P25" s="174">
        <f>O25*$Q$18*0.5</f>
        <v>0</v>
      </c>
      <c r="Q25" s="174">
        <f>IF($Q$19&gt;=B25, 0, IF(O25&gt;1, IF(ASS!$W$54=1,$Q$16/(($Q$17*2)-$Q$19), -PMT($Q$18/2,($Q$17*2-B24),O25,0)-P25), 0))</f>
        <v>0</v>
      </c>
      <c r="R25" s="175">
        <f t="shared" si="14"/>
        <v>0</v>
      </c>
      <c r="S25" s="173">
        <f t="shared" si="15"/>
        <v>0</v>
      </c>
      <c r="T25" s="174">
        <f>S25*$U$18*0.5</f>
        <v>0</v>
      </c>
      <c r="U25" s="174">
        <f>IF($U$19&gt;=B25, 0, IF(S25&gt;1, IF(ASS!$W$62=1,$U$16/(($U$17*2)-$U$19), -PMT($U$18/2,($U$17*2-B24),S25,0)-T25), 0))</f>
        <v>0</v>
      </c>
      <c r="V25" s="175">
        <f t="shared" si="16"/>
        <v>0</v>
      </c>
      <c r="W25" s="173">
        <f t="shared" si="17"/>
        <v>0</v>
      </c>
      <c r="X25" s="174">
        <f>W25*$Y$18*0.5</f>
        <v>0</v>
      </c>
      <c r="Y25" s="174">
        <f>IF($Y$19&gt;=B25, 0, IF(W25&gt;1, IF(ASS!$W$70=1,$Y$16/(($Y$17*2)-$Y$19), -PMT($Y$18/2,($Y$17*2-B24),W25,0)-X25), 0))</f>
        <v>0</v>
      </c>
      <c r="Z25" s="175">
        <f t="shared" si="18"/>
        <v>0</v>
      </c>
      <c r="AA25" s="174"/>
      <c r="AB25" s="175"/>
    </row>
    <row r="26" spans="1:28" x14ac:dyDescent="0.2">
      <c r="A26" s="71">
        <f>A25</f>
        <v>2002</v>
      </c>
      <c r="B26" s="72">
        <f t="shared" si="19"/>
        <v>3</v>
      </c>
      <c r="C26" s="176">
        <f t="shared" si="8"/>
        <v>0</v>
      </c>
      <c r="D26" s="177">
        <f t="shared" ref="D26:D41" si="21">C26*$E$18*0.5</f>
        <v>0</v>
      </c>
      <c r="E26" s="177">
        <f>IF($E$19&gt;=B26, 0, IF(C26&gt;1, IF(ASS!$W$30=1,$E$16/(($E$17*2)-$E$19), -PMT($E$18/2,($E$17*2-B25),C26,0)-D26), 0))</f>
        <v>0</v>
      </c>
      <c r="F26" s="178">
        <f t="shared" si="20"/>
        <v>0</v>
      </c>
      <c r="G26" s="176">
        <f t="shared" si="9"/>
        <v>0</v>
      </c>
      <c r="H26" s="177">
        <f t="shared" ref="H26:H41" si="22">G26*$I$18*0.5</f>
        <v>0</v>
      </c>
      <c r="I26" s="177">
        <f>IF($I$19&gt;=B26, 0, IF(G26&gt;1, IF(ASS!$W$38=1,$I$16/(($I$17*2)-$I$19), -PMT($I$18/2,($I$17*2-B25),G26,0)-H26), 0))</f>
        <v>0</v>
      </c>
      <c r="J26" s="178">
        <f t="shared" si="10"/>
        <v>0</v>
      </c>
      <c r="K26" s="176">
        <f t="shared" si="11"/>
        <v>0</v>
      </c>
      <c r="L26" s="177">
        <f>K26*$M$18*0.5</f>
        <v>0</v>
      </c>
      <c r="M26" s="177">
        <f>IF($M$19&gt;=B26, 0, IF(K26&gt;1, IF(ASS!$W$46=1,$M$16/(($M$17*2)-$M$19), -PMT($M$18/2,($M$17*2-B25),K26,0)-L26), 0))</f>
        <v>0</v>
      </c>
      <c r="N26" s="178">
        <f t="shared" si="12"/>
        <v>0</v>
      </c>
      <c r="O26" s="176">
        <f t="shared" si="13"/>
        <v>0</v>
      </c>
      <c r="P26" s="177">
        <f t="shared" ref="P26:P41" si="23">O26*$Q$18*0.5</f>
        <v>0</v>
      </c>
      <c r="Q26" s="177">
        <f>IF($Q$19&gt;=B26, 0, IF(O26&gt;1, IF(ASS!$W$54=1,$Q$16/(($Q$17*2)-$Q$19), -PMT($Q$18/2,($Q$17*2-B25),O26,0)-P26), 0))</f>
        <v>0</v>
      </c>
      <c r="R26" s="178">
        <f t="shared" si="14"/>
        <v>0</v>
      </c>
      <c r="S26" s="176">
        <f t="shared" si="15"/>
        <v>0</v>
      </c>
      <c r="T26" s="177">
        <f t="shared" ref="T26:T41" si="24">S26*$U$18*0.5</f>
        <v>0</v>
      </c>
      <c r="U26" s="177">
        <f>IF($U$19&gt;=B26, 0, IF(S26&gt;1, IF(ASS!$W$62=1,$U$16/(($U$17*2)-$U$19), -PMT($U$18/2,($U$17*2-B25),S26,0)-T26), 0))</f>
        <v>0</v>
      </c>
      <c r="V26" s="178">
        <f t="shared" si="16"/>
        <v>0</v>
      </c>
      <c r="W26" s="176">
        <f t="shared" si="17"/>
        <v>0</v>
      </c>
      <c r="X26" s="177">
        <f t="shared" ref="X26:X41" si="25">W26*$Y$18*0.5</f>
        <v>0</v>
      </c>
      <c r="Y26" s="177">
        <f>IF($Y$19&gt;=B26, 0, IF(W26&gt;1, IF(ASS!$W$70=1,$Y$16/(($Y$17*2)-$Y$19), -PMT($Y$18/2,($Y$17*2-B25),W26,0)-X26), 0))</f>
        <v>0</v>
      </c>
      <c r="Z26" s="178">
        <f t="shared" si="18"/>
        <v>0</v>
      </c>
      <c r="AA26" s="177">
        <f>SUM(D25:D26,H25:H26,L25:L26, P25:P26, T25:T26, X25:X26)</f>
        <v>0</v>
      </c>
      <c r="AB26" s="178">
        <f>SUM(E25:E26, I25:I26, M25:M26, Q25:Q26, U25:U26, Y25:Y26)</f>
        <v>0</v>
      </c>
    </row>
    <row r="27" spans="1:28" x14ac:dyDescent="0.2">
      <c r="A27" s="60">
        <f>A25+1</f>
        <v>2003</v>
      </c>
      <c r="B27" s="61">
        <f t="shared" si="19"/>
        <v>4</v>
      </c>
      <c r="C27" s="173">
        <f t="shared" si="8"/>
        <v>0</v>
      </c>
      <c r="D27" s="174">
        <f t="shared" si="21"/>
        <v>0</v>
      </c>
      <c r="E27" s="174">
        <f>IF($E$19&gt;=B27, 0, IF(C27&gt;1, IF(ASS!$W$30=1,$E$16/(($E$17*2)-$E$19), -PMT($E$18/2,($E$17*2-B26),C27,0)-D27), 0))</f>
        <v>0</v>
      </c>
      <c r="F27" s="175">
        <f t="shared" si="20"/>
        <v>0</v>
      </c>
      <c r="G27" s="173">
        <f t="shared" si="9"/>
        <v>0</v>
      </c>
      <c r="H27" s="174">
        <f t="shared" si="22"/>
        <v>0</v>
      </c>
      <c r="I27" s="174">
        <f>IF($I$19&gt;=B27, 0, IF(G27&gt;1, IF(ASS!$W$38=1,$I$16/(($I$17*2)-$I$19), -PMT($I$18/2,($I$17*2-B26),G27,0)-H27), 0))</f>
        <v>0</v>
      </c>
      <c r="J27" s="175">
        <f t="shared" si="10"/>
        <v>0</v>
      </c>
      <c r="K27" s="173">
        <f t="shared" si="11"/>
        <v>0</v>
      </c>
      <c r="L27" s="174">
        <f t="shared" ref="L27:L42" si="26">K27*$M$18*0.5</f>
        <v>0</v>
      </c>
      <c r="M27" s="174">
        <f>IF($M$19&gt;=B27, 0, IF(K27&gt;1, IF(ASS!$W$46=1,$M$16/(($M$17*2)-$M$19), -PMT($M$18/2,($M$17*2-B26),K27,0)-L27), 0))</f>
        <v>0</v>
      </c>
      <c r="N27" s="175">
        <f t="shared" si="12"/>
        <v>0</v>
      </c>
      <c r="O27" s="173">
        <f t="shared" si="13"/>
        <v>0</v>
      </c>
      <c r="P27" s="174">
        <f t="shared" si="23"/>
        <v>0</v>
      </c>
      <c r="Q27" s="174">
        <f>IF($Q$19&gt;=B27, 0, IF(O27&gt;1, IF(ASS!$W$54=1,$Q$16/(($Q$17*2)-$Q$19), -PMT($Q$18/2,($Q$17*2-B26),O27,0)-P27), 0))</f>
        <v>0</v>
      </c>
      <c r="R27" s="175">
        <f t="shared" si="14"/>
        <v>0</v>
      </c>
      <c r="S27" s="173">
        <f t="shared" si="15"/>
        <v>0</v>
      </c>
      <c r="T27" s="174">
        <f t="shared" si="24"/>
        <v>0</v>
      </c>
      <c r="U27" s="174">
        <f>IF($U$19&gt;=B27, 0, IF(S27&gt;1, IF(ASS!$W$62=1,$U$16/(($U$17*2)-$U$19), -PMT($U$18/2,($U$17*2-B26),S27,0)-T27), 0))</f>
        <v>0</v>
      </c>
      <c r="V27" s="175">
        <f t="shared" si="16"/>
        <v>0</v>
      </c>
      <c r="W27" s="173">
        <f t="shared" si="17"/>
        <v>0</v>
      </c>
      <c r="X27" s="174">
        <f t="shared" si="25"/>
        <v>0</v>
      </c>
      <c r="Y27" s="174">
        <f>IF($Y$19&gt;=B27, 0, IF(W27&gt;1, IF(ASS!$W$70=1,$Y$16/(($Y$17*2)-$Y$19), -PMT($Y$18/2,($Y$17*2-B26),W27,0)-X27), 0))</f>
        <v>0</v>
      </c>
      <c r="Z27" s="175">
        <f t="shared" si="18"/>
        <v>0</v>
      </c>
      <c r="AA27" s="174"/>
      <c r="AB27" s="175"/>
    </row>
    <row r="28" spans="1:28" x14ac:dyDescent="0.2">
      <c r="A28" s="71">
        <f t="shared" ref="A28:A43" si="27">A26+1</f>
        <v>2003</v>
      </c>
      <c r="B28" s="72">
        <f t="shared" si="19"/>
        <v>5</v>
      </c>
      <c r="C28" s="176">
        <f t="shared" si="8"/>
        <v>0</v>
      </c>
      <c r="D28" s="177">
        <f t="shared" si="21"/>
        <v>0</v>
      </c>
      <c r="E28" s="177">
        <f>IF($E$19&gt;=B28, 0, IF(C28&gt;1, IF(ASS!$W$30=1,$E$16/(($E$17*2)-$E$19), -PMT($E$18/2,($E$17*2-B27),C28,0)-D28), 0))</f>
        <v>0</v>
      </c>
      <c r="F28" s="178">
        <f t="shared" si="20"/>
        <v>0</v>
      </c>
      <c r="G28" s="176">
        <f t="shared" si="9"/>
        <v>0</v>
      </c>
      <c r="H28" s="177">
        <f t="shared" si="22"/>
        <v>0</v>
      </c>
      <c r="I28" s="177">
        <f>IF($I$19&gt;=B28, 0, IF(G28&gt;1, IF(ASS!$W$38=1,$I$16/(($I$17*2)-$I$19), -PMT($I$18/2,($I$17*2-B27),G28,0)-H28), 0))</f>
        <v>0</v>
      </c>
      <c r="J28" s="178">
        <f t="shared" si="10"/>
        <v>0</v>
      </c>
      <c r="K28" s="176">
        <f t="shared" si="11"/>
        <v>0</v>
      </c>
      <c r="L28" s="177">
        <f t="shared" si="26"/>
        <v>0</v>
      </c>
      <c r="M28" s="177">
        <f>IF($M$19&gt;=B28, 0, IF(K28&gt;1, IF(ASS!$W$46=1,$M$16/(($M$17*2)-$M$19), -PMT($M$18/2,($M$17*2-B27),K28,0)-L28), 0))</f>
        <v>0</v>
      </c>
      <c r="N28" s="178">
        <f t="shared" si="12"/>
        <v>0</v>
      </c>
      <c r="O28" s="176">
        <f t="shared" si="13"/>
        <v>0</v>
      </c>
      <c r="P28" s="177">
        <f t="shared" si="23"/>
        <v>0</v>
      </c>
      <c r="Q28" s="177">
        <f>IF($Q$19&gt;=B28, 0, IF(O28&gt;1, IF(ASS!$W$54=1,$Q$16/(($Q$17*2)-$Q$19), -PMT($Q$18/2,($Q$17*2-B27),O28,0)-P28), 0))</f>
        <v>0</v>
      </c>
      <c r="R28" s="178">
        <f t="shared" si="14"/>
        <v>0</v>
      </c>
      <c r="S28" s="176">
        <f t="shared" si="15"/>
        <v>0</v>
      </c>
      <c r="T28" s="177">
        <f t="shared" si="24"/>
        <v>0</v>
      </c>
      <c r="U28" s="177">
        <f>IF($U$19&gt;=B28, 0, IF(S28&gt;1, IF(ASS!$W$62=1,$U$16/(($U$17*2)-$U$19), -PMT($U$18/2,($U$17*2-B27),S28,0)-T28), 0))</f>
        <v>0</v>
      </c>
      <c r="V28" s="178">
        <f t="shared" si="16"/>
        <v>0</v>
      </c>
      <c r="W28" s="176">
        <f t="shared" si="17"/>
        <v>0</v>
      </c>
      <c r="X28" s="177">
        <f t="shared" si="25"/>
        <v>0</v>
      </c>
      <c r="Y28" s="177">
        <f>IF($Y$19&gt;=B28, 0, IF(W28&gt;1, IF(ASS!$W$70=1,$Y$16/(($Y$17*2)-$Y$19), -PMT($Y$18/2,($Y$17*2-B27),W28,0)-X28), 0))</f>
        <v>0</v>
      </c>
      <c r="Z28" s="178">
        <f t="shared" si="18"/>
        <v>0</v>
      </c>
      <c r="AA28" s="177">
        <f>SUM(D27:D28,H27:H28,L27:L28, P27:P28, T27:T28, X27:X28)</f>
        <v>0</v>
      </c>
      <c r="AB28" s="178">
        <f>SUM(E27:E28, I27:I28, M27:M28, Q27:Q28, U27:U28, Y27:Y28)</f>
        <v>0</v>
      </c>
    </row>
    <row r="29" spans="1:28" x14ac:dyDescent="0.2">
      <c r="A29" s="60">
        <f t="shared" si="27"/>
        <v>2004</v>
      </c>
      <c r="B29" s="61">
        <f t="shared" si="19"/>
        <v>6</v>
      </c>
      <c r="C29" s="173">
        <f t="shared" si="8"/>
        <v>0</v>
      </c>
      <c r="D29" s="174">
        <f t="shared" si="21"/>
        <v>0</v>
      </c>
      <c r="E29" s="174">
        <f>IF($E$19&gt;=B29, 0, IF(C29&gt;1, IF(ASS!$W$30=1,$E$16/(($E$17*2)-$E$19), -PMT($E$18/2,($E$17*2-B28),C29,0)-D29), 0))</f>
        <v>0</v>
      </c>
      <c r="F29" s="175">
        <f t="shared" si="20"/>
        <v>0</v>
      </c>
      <c r="G29" s="173">
        <f t="shared" si="9"/>
        <v>0</v>
      </c>
      <c r="H29" s="174">
        <f t="shared" si="22"/>
        <v>0</v>
      </c>
      <c r="I29" s="174">
        <f>IF($I$19&gt;=B29, 0, IF(G29&gt;1, IF(ASS!$W$38=1,$I$16/(($I$17*2)-$I$19), -PMT($I$18/2,($I$17*2-B28),G29,0)-H29), 0))</f>
        <v>0</v>
      </c>
      <c r="J29" s="175">
        <f t="shared" si="10"/>
        <v>0</v>
      </c>
      <c r="K29" s="173">
        <f t="shared" si="11"/>
        <v>0</v>
      </c>
      <c r="L29" s="174">
        <f t="shared" si="26"/>
        <v>0</v>
      </c>
      <c r="M29" s="174">
        <f>IF($M$19&gt;=B29, 0, IF(K29&gt;1, IF(ASS!$W$46=1,$M$16/(($M$17*2)-$M$19), -PMT($M$18/2,($M$17*2-B28),K29,0)-L29), 0))</f>
        <v>0</v>
      </c>
      <c r="N29" s="175">
        <f t="shared" si="12"/>
        <v>0</v>
      </c>
      <c r="O29" s="173">
        <f t="shared" si="13"/>
        <v>0</v>
      </c>
      <c r="P29" s="174">
        <f t="shared" si="23"/>
        <v>0</v>
      </c>
      <c r="Q29" s="174">
        <f>IF($Q$19&gt;=B29, 0, IF(O29&gt;1, IF(ASS!$W$54=1,$Q$16/(($Q$17*2)-$Q$19), -PMT($Q$18/2,($Q$17*2-B28),O29,0)-P29), 0))</f>
        <v>0</v>
      </c>
      <c r="R29" s="175">
        <f t="shared" si="14"/>
        <v>0</v>
      </c>
      <c r="S29" s="173">
        <f t="shared" si="15"/>
        <v>0</v>
      </c>
      <c r="T29" s="174">
        <f t="shared" si="24"/>
        <v>0</v>
      </c>
      <c r="U29" s="174">
        <f>IF($U$19&gt;=B29, 0, IF(S29&gt;1, IF(ASS!$W$62=1,$U$16/(($U$17*2)-$U$19), -PMT($U$18/2,($U$17*2-B28),S29,0)-T29), 0))</f>
        <v>0</v>
      </c>
      <c r="V29" s="175">
        <f t="shared" si="16"/>
        <v>0</v>
      </c>
      <c r="W29" s="173">
        <f t="shared" si="17"/>
        <v>0</v>
      </c>
      <c r="X29" s="174">
        <f t="shared" si="25"/>
        <v>0</v>
      </c>
      <c r="Y29" s="174">
        <f>IF($Y$19&gt;=B29, 0, IF(W29&gt;1, IF(ASS!$W$70=1,$Y$16/(($Y$17*2)-$Y$19), -PMT($Y$18/2,($Y$17*2-B28),W29,0)-X29), 0))</f>
        <v>0</v>
      </c>
      <c r="Z29" s="175">
        <f t="shared" si="18"/>
        <v>0</v>
      </c>
      <c r="AA29" s="174"/>
      <c r="AB29" s="175"/>
    </row>
    <row r="30" spans="1:28" x14ac:dyDescent="0.2">
      <c r="A30" s="71">
        <f>A29</f>
        <v>2004</v>
      </c>
      <c r="B30" s="72">
        <f t="shared" si="19"/>
        <v>7</v>
      </c>
      <c r="C30" s="176">
        <f t="shared" si="8"/>
        <v>0</v>
      </c>
      <c r="D30" s="177">
        <f t="shared" si="21"/>
        <v>0</v>
      </c>
      <c r="E30" s="177">
        <f>IF($E$19&gt;=B30, 0, IF(C30&gt;1, IF(ASS!$W$30=1,$E$16/(($E$17*2)-$E$19), -PMT($E$18/2,($E$17*2-B29),C30,0)-D30), 0))</f>
        <v>0</v>
      </c>
      <c r="F30" s="178">
        <f t="shared" si="20"/>
        <v>0</v>
      </c>
      <c r="G30" s="176">
        <f t="shared" si="9"/>
        <v>0</v>
      </c>
      <c r="H30" s="177">
        <f t="shared" si="22"/>
        <v>0</v>
      </c>
      <c r="I30" s="177">
        <f>IF($I$19&gt;=B30, 0, IF(G30&gt;1, IF(ASS!$W$38=1,$I$16/(($I$17*2)-$I$19), -PMT($I$18/2,($I$17*2-B29),G30,0)-H30), 0))</f>
        <v>0</v>
      </c>
      <c r="J30" s="178">
        <f t="shared" si="10"/>
        <v>0</v>
      </c>
      <c r="K30" s="176">
        <f t="shared" si="11"/>
        <v>0</v>
      </c>
      <c r="L30" s="177">
        <f t="shared" si="26"/>
        <v>0</v>
      </c>
      <c r="M30" s="177">
        <f>IF($M$19&gt;=B30, 0, IF(K30&gt;1, IF(ASS!$W$46=1,$M$16/(($M$17*2)-$M$19), -PMT($M$18/2,($M$17*2-B29),K30,0)-L30), 0))</f>
        <v>0</v>
      </c>
      <c r="N30" s="178">
        <f t="shared" si="12"/>
        <v>0</v>
      </c>
      <c r="O30" s="176">
        <f t="shared" si="13"/>
        <v>0</v>
      </c>
      <c r="P30" s="177">
        <f t="shared" si="23"/>
        <v>0</v>
      </c>
      <c r="Q30" s="177">
        <f>IF($Q$19&gt;=B30, 0, IF(O30&gt;1, IF(ASS!$W$54=1,$Q$16/(($Q$17*2)-$Q$19), -PMT($Q$18/2,($Q$17*2-B29),O30,0)-P30), 0))</f>
        <v>0</v>
      </c>
      <c r="R30" s="178">
        <f t="shared" si="14"/>
        <v>0</v>
      </c>
      <c r="S30" s="176">
        <f t="shared" si="15"/>
        <v>0</v>
      </c>
      <c r="T30" s="177">
        <f t="shared" si="24"/>
        <v>0</v>
      </c>
      <c r="U30" s="177">
        <f>IF($U$19&gt;=B30, 0, IF(S30&gt;1, IF(ASS!$W$62=1,$U$16/(($U$17*2)-$U$19), -PMT($U$18/2,($U$17*2-B29),S30,0)-T30), 0))</f>
        <v>0</v>
      </c>
      <c r="V30" s="178">
        <f t="shared" si="16"/>
        <v>0</v>
      </c>
      <c r="W30" s="176">
        <f t="shared" si="17"/>
        <v>0</v>
      </c>
      <c r="X30" s="177">
        <f t="shared" si="25"/>
        <v>0</v>
      </c>
      <c r="Y30" s="177">
        <f>IF($Y$19&gt;=B30, 0, IF(W30&gt;1, IF(ASS!$W$70=1,$Y$16/(($Y$17*2)-$Y$19), -PMT($Y$18/2,($Y$17*2-B29),W30,0)-X30), 0))</f>
        <v>0</v>
      </c>
      <c r="Z30" s="178">
        <f t="shared" si="18"/>
        <v>0</v>
      </c>
      <c r="AA30" s="177">
        <f>SUM(D29:D30,H29:H30,L29:L30, P29:P30, T29:T30, X29:X30)</f>
        <v>0</v>
      </c>
      <c r="AB30" s="178">
        <f>SUM(E29:E30, I29:I30, M29:M30, Q29:Q30, U29:U30, Y29:Y30)</f>
        <v>0</v>
      </c>
    </row>
    <row r="31" spans="1:28" x14ac:dyDescent="0.2">
      <c r="A31" s="60">
        <f t="shared" si="27"/>
        <v>2005</v>
      </c>
      <c r="B31" s="61">
        <f t="shared" si="19"/>
        <v>8</v>
      </c>
      <c r="C31" s="173">
        <f t="shared" si="8"/>
        <v>0</v>
      </c>
      <c r="D31" s="174">
        <f t="shared" si="21"/>
        <v>0</v>
      </c>
      <c r="E31" s="174">
        <f>IF($E$19&gt;=B31, 0, IF(C31&gt;1, IF(ASS!$W$30=1,$E$16/(($E$17*2)-$E$19), -PMT($E$18/2,($E$17*2-B30),C31,0)-D31), 0))</f>
        <v>0</v>
      </c>
      <c r="F31" s="175">
        <f t="shared" si="20"/>
        <v>0</v>
      </c>
      <c r="G31" s="173">
        <f t="shared" si="9"/>
        <v>0</v>
      </c>
      <c r="H31" s="174">
        <f t="shared" si="22"/>
        <v>0</v>
      </c>
      <c r="I31" s="174">
        <f>IF($I$19&gt;=B31, 0, IF(G31&gt;1, IF(ASS!$W$38=1,$I$16/(($I$17*2)-$I$19), -PMT($I$18/2,($I$17*2-B30),G31,0)-H31), 0))</f>
        <v>0</v>
      </c>
      <c r="J31" s="175">
        <f t="shared" si="10"/>
        <v>0</v>
      </c>
      <c r="K31" s="173">
        <f t="shared" si="11"/>
        <v>0</v>
      </c>
      <c r="L31" s="174">
        <f t="shared" si="26"/>
        <v>0</v>
      </c>
      <c r="M31" s="174">
        <f>IF($M$19&gt;=B31, 0, IF(K31&gt;1, IF(ASS!$W$46=1,$M$16/(($M$17*2)-$M$19), -PMT($M$18/2,($M$17*2-B30),K31,0)-L31), 0))</f>
        <v>0</v>
      </c>
      <c r="N31" s="175">
        <f t="shared" si="12"/>
        <v>0</v>
      </c>
      <c r="O31" s="173">
        <f t="shared" si="13"/>
        <v>0</v>
      </c>
      <c r="P31" s="174">
        <f t="shared" si="23"/>
        <v>0</v>
      </c>
      <c r="Q31" s="174">
        <f>IF($Q$19&gt;=B31, 0, IF(O31&gt;1, IF(ASS!$W$54=1,$Q$16/(($Q$17*2)-$Q$19), -PMT($Q$18/2,($Q$17*2-B30),O31,0)-P31), 0))</f>
        <v>0</v>
      </c>
      <c r="R31" s="175">
        <f t="shared" si="14"/>
        <v>0</v>
      </c>
      <c r="S31" s="173">
        <f t="shared" si="15"/>
        <v>0</v>
      </c>
      <c r="T31" s="174">
        <f t="shared" si="24"/>
        <v>0</v>
      </c>
      <c r="U31" s="174">
        <f>IF($U$19&gt;=B31, 0, IF(S31&gt;1, IF(ASS!$W$62=1,$U$16/(($U$17*2)-$U$19), -PMT($U$18/2,($U$17*2-B30),S31,0)-T31), 0))</f>
        <v>0</v>
      </c>
      <c r="V31" s="175">
        <f t="shared" si="16"/>
        <v>0</v>
      </c>
      <c r="W31" s="173">
        <f t="shared" si="17"/>
        <v>0</v>
      </c>
      <c r="X31" s="174">
        <f t="shared" si="25"/>
        <v>0</v>
      </c>
      <c r="Y31" s="174">
        <f>IF($Y$19&gt;=B31, 0, IF(W31&gt;1, IF(ASS!$W$70=1,$Y$16/(($Y$17*2)-$Y$19), -PMT($Y$18/2,($Y$17*2-B30),W31,0)-X31), 0))</f>
        <v>0</v>
      </c>
      <c r="Z31" s="175">
        <f t="shared" si="18"/>
        <v>0</v>
      </c>
      <c r="AA31" s="174"/>
      <c r="AB31" s="175"/>
    </row>
    <row r="32" spans="1:28" x14ac:dyDescent="0.2">
      <c r="A32" s="71">
        <f>A31</f>
        <v>2005</v>
      </c>
      <c r="B32" s="72">
        <f t="shared" si="19"/>
        <v>9</v>
      </c>
      <c r="C32" s="176">
        <f t="shared" si="8"/>
        <v>0</v>
      </c>
      <c r="D32" s="177">
        <f t="shared" si="21"/>
        <v>0</v>
      </c>
      <c r="E32" s="177">
        <f>IF($E$19&gt;=B32, 0, IF(C32&gt;1, IF(ASS!$W$30=1,$E$16/(($E$17*2)-$E$19), -PMT($E$18/2,($E$17*2-B31),C32,0)-D32), 0))</f>
        <v>0</v>
      </c>
      <c r="F32" s="178">
        <f t="shared" si="20"/>
        <v>0</v>
      </c>
      <c r="G32" s="176">
        <f t="shared" si="9"/>
        <v>0</v>
      </c>
      <c r="H32" s="177">
        <f t="shared" si="22"/>
        <v>0</v>
      </c>
      <c r="I32" s="177">
        <f>IF($I$19&gt;=B32, 0, IF(G32&gt;1, IF(ASS!$W$38=1,$I$16/(($I$17*2)-$I$19), -PMT($I$18/2,($I$17*2-B31),G32,0)-H32), 0))</f>
        <v>0</v>
      </c>
      <c r="J32" s="178">
        <f t="shared" si="10"/>
        <v>0</v>
      </c>
      <c r="K32" s="176">
        <f t="shared" si="11"/>
        <v>0</v>
      </c>
      <c r="L32" s="177">
        <f t="shared" si="26"/>
        <v>0</v>
      </c>
      <c r="M32" s="177">
        <f>IF($M$19&gt;=B32, 0, IF(K32&gt;1, IF(ASS!$W$46=1,$M$16/(($M$17*2)-$M$19), -PMT($M$18/2,($M$17*2-B31),K32,0)-L32), 0))</f>
        <v>0</v>
      </c>
      <c r="N32" s="178">
        <f t="shared" si="12"/>
        <v>0</v>
      </c>
      <c r="O32" s="176">
        <f t="shared" si="13"/>
        <v>0</v>
      </c>
      <c r="P32" s="177">
        <f t="shared" si="23"/>
        <v>0</v>
      </c>
      <c r="Q32" s="177">
        <f>IF($Q$19&gt;=B32, 0, IF(O32&gt;1, IF(ASS!$W$54=1,$Q$16/(($Q$17*2)-$Q$19), -PMT($Q$18/2,($Q$17*2-B31),O32,0)-P32), 0))</f>
        <v>0</v>
      </c>
      <c r="R32" s="178">
        <f t="shared" si="14"/>
        <v>0</v>
      </c>
      <c r="S32" s="176">
        <f t="shared" si="15"/>
        <v>0</v>
      </c>
      <c r="T32" s="177">
        <f t="shared" si="24"/>
        <v>0</v>
      </c>
      <c r="U32" s="177">
        <f>IF($U$19&gt;=B32, 0, IF(S32&gt;1, IF(ASS!$W$62=1,$U$16/(($U$17*2)-$U$19), -PMT($U$18/2,($U$17*2-B31),S32,0)-T32), 0))</f>
        <v>0</v>
      </c>
      <c r="V32" s="178">
        <f t="shared" si="16"/>
        <v>0</v>
      </c>
      <c r="W32" s="176">
        <f t="shared" si="17"/>
        <v>0</v>
      </c>
      <c r="X32" s="177">
        <f t="shared" si="25"/>
        <v>0</v>
      </c>
      <c r="Y32" s="177">
        <f>IF($Y$19&gt;=B32, 0, IF(W32&gt;1, IF(ASS!$W$70=1,$Y$16/(($Y$17*2)-$Y$19), -PMT($Y$18/2,($Y$17*2-B31),W32,0)-X32), 0))</f>
        <v>0</v>
      </c>
      <c r="Z32" s="178">
        <f t="shared" si="18"/>
        <v>0</v>
      </c>
      <c r="AA32" s="177">
        <f>SUM(D31:D32,H31:H32,L31:L32, P31:P32, T31:T32, X31:X32)</f>
        <v>0</v>
      </c>
      <c r="AB32" s="178">
        <f>SUM(E31:E32, I31:I32, M31:M32, Q31:Q32, U31:U32, Y31:Y32)</f>
        <v>0</v>
      </c>
    </row>
    <row r="33" spans="1:28" x14ac:dyDescent="0.2">
      <c r="A33" s="60">
        <f t="shared" si="27"/>
        <v>2006</v>
      </c>
      <c r="B33" s="61">
        <f t="shared" si="19"/>
        <v>10</v>
      </c>
      <c r="C33" s="173">
        <f t="shared" si="8"/>
        <v>0</v>
      </c>
      <c r="D33" s="174">
        <f t="shared" si="21"/>
        <v>0</v>
      </c>
      <c r="E33" s="174">
        <f>IF($E$19&gt;=B33, 0, IF(C33&gt;1, IF(ASS!$W$30=1,$E$16/(($E$17*2)-$E$19), -PMT($E$18/2,($E$17*2-B32),C33,0)-D33), 0))</f>
        <v>0</v>
      </c>
      <c r="F33" s="175">
        <f t="shared" si="20"/>
        <v>0</v>
      </c>
      <c r="G33" s="173">
        <f t="shared" si="9"/>
        <v>0</v>
      </c>
      <c r="H33" s="174">
        <f t="shared" si="22"/>
        <v>0</v>
      </c>
      <c r="I33" s="174">
        <f>IF($I$19&gt;=B33, 0, IF(G33&gt;1, IF(ASS!$W$38=1,$I$16/(($I$17*2)-$I$19), -PMT($I$18/2,($I$17*2-B32),G33,0)-H33), 0))</f>
        <v>0</v>
      </c>
      <c r="J33" s="175">
        <f t="shared" si="10"/>
        <v>0</v>
      </c>
      <c r="K33" s="173">
        <f t="shared" si="11"/>
        <v>0</v>
      </c>
      <c r="L33" s="174">
        <f t="shared" si="26"/>
        <v>0</v>
      </c>
      <c r="M33" s="174">
        <f>IF($M$19&gt;=B33, 0, IF(K33&gt;1, IF(ASS!$W$46=1,$M$16/(($M$17*2)-$M$19), -PMT($M$18/2,($M$17*2-B32),K33,0)-L33), 0))</f>
        <v>0</v>
      </c>
      <c r="N33" s="175">
        <f t="shared" si="12"/>
        <v>0</v>
      </c>
      <c r="O33" s="173">
        <f t="shared" si="13"/>
        <v>0</v>
      </c>
      <c r="P33" s="174">
        <f t="shared" si="23"/>
        <v>0</v>
      </c>
      <c r="Q33" s="174">
        <f>IF($Q$19&gt;=B33, 0, IF(O33&gt;1, IF(ASS!$W$54=1,$Q$16/(($Q$17*2)-$Q$19), -PMT($Q$18/2,($Q$17*2-B32),O33,0)-P33), 0))</f>
        <v>0</v>
      </c>
      <c r="R33" s="175">
        <f t="shared" si="14"/>
        <v>0</v>
      </c>
      <c r="S33" s="173">
        <f t="shared" si="15"/>
        <v>0</v>
      </c>
      <c r="T33" s="174">
        <f t="shared" si="24"/>
        <v>0</v>
      </c>
      <c r="U33" s="174">
        <f>IF($U$19&gt;=B33, 0, IF(S33&gt;1, IF(ASS!$W$62=1,$U$16/(($U$17*2)-$U$19), -PMT($U$18/2,($U$17*2-B32),S33,0)-T33), 0))</f>
        <v>0</v>
      </c>
      <c r="V33" s="175">
        <f t="shared" si="16"/>
        <v>0</v>
      </c>
      <c r="W33" s="173">
        <f t="shared" si="17"/>
        <v>0</v>
      </c>
      <c r="X33" s="174">
        <f t="shared" si="25"/>
        <v>0</v>
      </c>
      <c r="Y33" s="174">
        <f>IF($Y$19&gt;=B33, 0, IF(W33&gt;1, IF(ASS!$W$70=1,$Y$16/(($Y$17*2)-$Y$19), -PMT($Y$18/2,($Y$17*2-B32),W33,0)-X33), 0))</f>
        <v>0</v>
      </c>
      <c r="Z33" s="175">
        <f t="shared" si="18"/>
        <v>0</v>
      </c>
      <c r="AA33" s="174"/>
      <c r="AB33" s="175"/>
    </row>
    <row r="34" spans="1:28" x14ac:dyDescent="0.2">
      <c r="A34" s="71">
        <f>A33</f>
        <v>2006</v>
      </c>
      <c r="B34" s="72">
        <f t="shared" si="19"/>
        <v>11</v>
      </c>
      <c r="C34" s="176">
        <f t="shared" si="8"/>
        <v>0</v>
      </c>
      <c r="D34" s="177">
        <f t="shared" si="21"/>
        <v>0</v>
      </c>
      <c r="E34" s="177">
        <f>IF($E$19&gt;=B34, 0, IF(C34&gt;1, IF(ASS!$W$30=1,$E$16/(($E$17*2)-$E$19), -PMT($E$18/2,($E$17*2-B33),C34,0)-D34), 0))</f>
        <v>0</v>
      </c>
      <c r="F34" s="178">
        <f t="shared" si="20"/>
        <v>0</v>
      </c>
      <c r="G34" s="176">
        <f t="shared" si="9"/>
        <v>0</v>
      </c>
      <c r="H34" s="177">
        <f t="shared" si="22"/>
        <v>0</v>
      </c>
      <c r="I34" s="177">
        <f>IF($I$19&gt;=B34, 0, IF(G34&gt;1, IF(ASS!$W$38=1,$I$16/(($I$17*2)-$I$19), -PMT($I$18/2,($I$17*2-B33),G34,0)-H34), 0))</f>
        <v>0</v>
      </c>
      <c r="J34" s="178">
        <f t="shared" si="10"/>
        <v>0</v>
      </c>
      <c r="K34" s="176">
        <f t="shared" si="11"/>
        <v>0</v>
      </c>
      <c r="L34" s="177">
        <f t="shared" si="26"/>
        <v>0</v>
      </c>
      <c r="M34" s="177">
        <f>IF($M$19&gt;=B34, 0, IF(K34&gt;1, IF(ASS!$W$46=1,$M$16/(($M$17*2)-$M$19), -PMT($M$18/2,($M$17*2-B33),K34,0)-L34), 0))</f>
        <v>0</v>
      </c>
      <c r="N34" s="178">
        <f t="shared" si="12"/>
        <v>0</v>
      </c>
      <c r="O34" s="176">
        <f t="shared" si="13"/>
        <v>0</v>
      </c>
      <c r="P34" s="177">
        <f t="shared" si="23"/>
        <v>0</v>
      </c>
      <c r="Q34" s="177">
        <f>IF($Q$19&gt;=B34, 0, IF(O34&gt;1, IF(ASS!$W$54=1,$Q$16/(($Q$17*2)-$Q$19), -PMT($Q$18/2,($Q$17*2-B33),O34,0)-P34), 0))</f>
        <v>0</v>
      </c>
      <c r="R34" s="178">
        <f t="shared" si="14"/>
        <v>0</v>
      </c>
      <c r="S34" s="176">
        <f t="shared" si="15"/>
        <v>0</v>
      </c>
      <c r="T34" s="177">
        <f t="shared" si="24"/>
        <v>0</v>
      </c>
      <c r="U34" s="177">
        <f>IF($U$19&gt;=B34, 0, IF(S34&gt;1, IF(ASS!$W$62=1,$U$16/(($U$17*2)-$U$19), -PMT($U$18/2,($U$17*2-B33),S34,0)-T34), 0))</f>
        <v>0</v>
      </c>
      <c r="V34" s="178">
        <f t="shared" si="16"/>
        <v>0</v>
      </c>
      <c r="W34" s="176">
        <f t="shared" si="17"/>
        <v>0</v>
      </c>
      <c r="X34" s="177">
        <f t="shared" si="25"/>
        <v>0</v>
      </c>
      <c r="Y34" s="177">
        <f>IF($Y$19&gt;=B34, 0, IF(W34&gt;1, IF(ASS!$W$70=1,$Y$16/(($Y$17*2)-$Y$19), -PMT($Y$18/2,($Y$17*2-B33),W34,0)-X34), 0))</f>
        <v>0</v>
      </c>
      <c r="Z34" s="178">
        <f t="shared" si="18"/>
        <v>0</v>
      </c>
      <c r="AA34" s="177">
        <f>SUM(D33:D34,H33:H34,L33:L34, P33:P34, T33:T34, X33:X34)</f>
        <v>0</v>
      </c>
      <c r="AB34" s="178">
        <f>SUM(E33:E34, I33:I34, M33:M34, Q33:Q34, U33:U34, Y33:Y34)</f>
        <v>0</v>
      </c>
    </row>
    <row r="35" spans="1:28" x14ac:dyDescent="0.2">
      <c r="A35" s="60">
        <f t="shared" si="27"/>
        <v>2007</v>
      </c>
      <c r="B35" s="61">
        <f t="shared" si="19"/>
        <v>12</v>
      </c>
      <c r="C35" s="173">
        <f t="shared" si="8"/>
        <v>0</v>
      </c>
      <c r="D35" s="174">
        <f t="shared" si="21"/>
        <v>0</v>
      </c>
      <c r="E35" s="174">
        <f>IF($E$19&gt;=B35, 0, IF(C35&gt;1, IF(ASS!$W$30=1,$E$16/(($E$17*2)-$E$19), -PMT($E$18/2,($E$17*2-B34),C35,0)-D35), 0))</f>
        <v>0</v>
      </c>
      <c r="F35" s="175">
        <f t="shared" si="20"/>
        <v>0</v>
      </c>
      <c r="G35" s="173">
        <f t="shared" si="9"/>
        <v>0</v>
      </c>
      <c r="H35" s="174">
        <f t="shared" si="22"/>
        <v>0</v>
      </c>
      <c r="I35" s="174">
        <f>IF($I$19&gt;=B35, 0, IF(G35&gt;1, IF(ASS!$W$38=1,$I$16/(($I$17*2)-$I$19), -PMT($I$18/2,($I$17*2-B34),G35,0)-H35), 0))</f>
        <v>0</v>
      </c>
      <c r="J35" s="175">
        <f t="shared" si="10"/>
        <v>0</v>
      </c>
      <c r="K35" s="173">
        <f t="shared" si="11"/>
        <v>0</v>
      </c>
      <c r="L35" s="174">
        <f t="shared" si="26"/>
        <v>0</v>
      </c>
      <c r="M35" s="174">
        <f>IF($M$19&gt;=B35, 0, IF(K35&gt;1, IF(ASS!$W$46=1,$M$16/(($M$17*2)-$M$19), -PMT($M$18/2,($M$17*2-B34),K35,0)-L35), 0))</f>
        <v>0</v>
      </c>
      <c r="N35" s="175">
        <f t="shared" si="12"/>
        <v>0</v>
      </c>
      <c r="O35" s="173">
        <f t="shared" si="13"/>
        <v>0</v>
      </c>
      <c r="P35" s="174">
        <f t="shared" si="23"/>
        <v>0</v>
      </c>
      <c r="Q35" s="174">
        <f>IF($Q$19&gt;=B35, 0, IF(O35&gt;1, IF(ASS!$W$54=1,$Q$16/(($Q$17*2)-$Q$19), -PMT($Q$18/2,($Q$17*2-B34),O35,0)-P35), 0))</f>
        <v>0</v>
      </c>
      <c r="R35" s="175">
        <f t="shared" si="14"/>
        <v>0</v>
      </c>
      <c r="S35" s="173">
        <f t="shared" si="15"/>
        <v>0</v>
      </c>
      <c r="T35" s="174">
        <f t="shared" si="24"/>
        <v>0</v>
      </c>
      <c r="U35" s="174">
        <f>IF($U$19&gt;=B35, 0, IF(S35&gt;1, IF(ASS!$W$62=1,$U$16/(($U$17*2)-$U$19), -PMT($U$18/2,($U$17*2-B34),S35,0)-T35), 0))</f>
        <v>0</v>
      </c>
      <c r="V35" s="175">
        <f t="shared" si="16"/>
        <v>0</v>
      </c>
      <c r="W35" s="173">
        <f t="shared" si="17"/>
        <v>0</v>
      </c>
      <c r="X35" s="174">
        <f t="shared" si="25"/>
        <v>0</v>
      </c>
      <c r="Y35" s="174">
        <f>IF($Y$19&gt;=B35, 0, IF(W35&gt;1, IF(ASS!$W$70=1,$Y$16/(($Y$17*2)-$Y$19), -PMT($Y$18/2,($Y$17*2-B34),W35,0)-X35), 0))</f>
        <v>0</v>
      </c>
      <c r="Z35" s="175">
        <f t="shared" si="18"/>
        <v>0</v>
      </c>
      <c r="AA35" s="174"/>
      <c r="AB35" s="175"/>
    </row>
    <row r="36" spans="1:28" x14ac:dyDescent="0.2">
      <c r="A36" s="71">
        <f>A35</f>
        <v>2007</v>
      </c>
      <c r="B36" s="72">
        <f t="shared" si="19"/>
        <v>13</v>
      </c>
      <c r="C36" s="176">
        <f t="shared" si="8"/>
        <v>0</v>
      </c>
      <c r="D36" s="177">
        <f t="shared" si="21"/>
        <v>0</v>
      </c>
      <c r="E36" s="177">
        <f>IF($E$19&gt;=B36, 0, IF(C36&gt;1, IF(ASS!$W$30=1,$E$16/(($E$17*2)-$E$19), -PMT($E$18/2,($E$17*2-B35),C36,0)-D36), 0))</f>
        <v>0</v>
      </c>
      <c r="F36" s="178">
        <f t="shared" si="20"/>
        <v>0</v>
      </c>
      <c r="G36" s="176">
        <f t="shared" si="9"/>
        <v>0</v>
      </c>
      <c r="H36" s="177">
        <f t="shared" si="22"/>
        <v>0</v>
      </c>
      <c r="I36" s="177">
        <f>IF($I$19&gt;=B36, 0, IF(G36&gt;1, IF(ASS!$W$38=1,$I$16/(($I$17*2)-$I$19), -PMT($I$18/2,($I$17*2-B35),G36,0)-H36), 0))</f>
        <v>0</v>
      </c>
      <c r="J36" s="178">
        <f t="shared" si="10"/>
        <v>0</v>
      </c>
      <c r="K36" s="176">
        <f t="shared" si="11"/>
        <v>0</v>
      </c>
      <c r="L36" s="177">
        <f t="shared" si="26"/>
        <v>0</v>
      </c>
      <c r="M36" s="177">
        <f>IF($M$19&gt;=B36, 0, IF(K36&gt;1, IF(ASS!$W$46=1,$M$16/(($M$17*2)-$M$19), -PMT($M$18/2,($M$17*2-B35),K36,0)-L36), 0))</f>
        <v>0</v>
      </c>
      <c r="N36" s="178">
        <f t="shared" si="12"/>
        <v>0</v>
      </c>
      <c r="O36" s="176">
        <f t="shared" si="13"/>
        <v>0</v>
      </c>
      <c r="P36" s="177">
        <f t="shared" si="23"/>
        <v>0</v>
      </c>
      <c r="Q36" s="177">
        <f>IF($Q$19&gt;=B36, 0, IF(O36&gt;1, IF(ASS!$W$54=1,$Q$16/(($Q$17*2)-$Q$19), -PMT($Q$18/2,($Q$17*2-B35),O36,0)-P36), 0))</f>
        <v>0</v>
      </c>
      <c r="R36" s="178">
        <f t="shared" si="14"/>
        <v>0</v>
      </c>
      <c r="S36" s="176">
        <f t="shared" si="15"/>
        <v>0</v>
      </c>
      <c r="T36" s="177">
        <f t="shared" si="24"/>
        <v>0</v>
      </c>
      <c r="U36" s="177">
        <f>IF($U$19&gt;=B36, 0, IF(S36&gt;1, IF(ASS!$W$62=1,$U$16/(($U$17*2)-$U$19), -PMT($U$18/2,($U$17*2-B35),S36,0)-T36), 0))</f>
        <v>0</v>
      </c>
      <c r="V36" s="178">
        <f t="shared" si="16"/>
        <v>0</v>
      </c>
      <c r="W36" s="176">
        <f t="shared" si="17"/>
        <v>0</v>
      </c>
      <c r="X36" s="177">
        <f t="shared" si="25"/>
        <v>0</v>
      </c>
      <c r="Y36" s="177">
        <f>IF($Y$19&gt;=B36, 0, IF(W36&gt;1, IF(ASS!$W$70=1,$Y$16/(($Y$17*2)-$Y$19), -PMT($Y$18/2,($Y$17*2-B35),W36,0)-X36), 0))</f>
        <v>0</v>
      </c>
      <c r="Z36" s="178">
        <f t="shared" si="18"/>
        <v>0</v>
      </c>
      <c r="AA36" s="177">
        <f>SUM(D35:D36,H35:H36,L35:L36, P35:P36, T35:T36, X35:X36)</f>
        <v>0</v>
      </c>
      <c r="AB36" s="178">
        <f>SUM(E35:E36, I35:I36, M35:M36, Q35:Q36, U35:U36, Y35:Y36)</f>
        <v>0</v>
      </c>
    </row>
    <row r="37" spans="1:28" x14ac:dyDescent="0.2">
      <c r="A37" s="60">
        <f t="shared" si="27"/>
        <v>2008</v>
      </c>
      <c r="B37" s="61">
        <f t="shared" si="19"/>
        <v>14</v>
      </c>
      <c r="C37" s="173">
        <f t="shared" si="8"/>
        <v>0</v>
      </c>
      <c r="D37" s="174">
        <f t="shared" si="21"/>
        <v>0</v>
      </c>
      <c r="E37" s="174">
        <f>IF($E$19&gt;=B37, 0, IF(C37&gt;1, IF(ASS!$W$30=1,$E$16/(($E$17*2)-$E$19), -PMT($E$18/2,($E$17*2-B36),C37,0)-D37), 0))</f>
        <v>0</v>
      </c>
      <c r="F37" s="175">
        <f t="shared" si="20"/>
        <v>0</v>
      </c>
      <c r="G37" s="173">
        <f t="shared" si="9"/>
        <v>0</v>
      </c>
      <c r="H37" s="174">
        <f t="shared" si="22"/>
        <v>0</v>
      </c>
      <c r="I37" s="174">
        <f>IF($I$19&gt;=B37, 0, IF(G37&gt;1, IF(ASS!$W$38=1,$I$16/(($I$17*2)-$I$19), -PMT($I$18/2,($I$17*2-B36),G37,0)-H37), 0))</f>
        <v>0</v>
      </c>
      <c r="J37" s="175">
        <f t="shared" si="10"/>
        <v>0</v>
      </c>
      <c r="K37" s="173">
        <f t="shared" si="11"/>
        <v>0</v>
      </c>
      <c r="L37" s="174">
        <f t="shared" si="26"/>
        <v>0</v>
      </c>
      <c r="M37" s="174">
        <f>IF($M$19&gt;=B37, 0, IF(K37&gt;1, IF(ASS!$W$46=1,$M$16/(($M$17*2)-$M$19), -PMT($M$18/2,($M$17*2-B36),K37,0)-L37), 0))</f>
        <v>0</v>
      </c>
      <c r="N37" s="175">
        <f t="shared" si="12"/>
        <v>0</v>
      </c>
      <c r="O37" s="173">
        <f t="shared" si="13"/>
        <v>0</v>
      </c>
      <c r="P37" s="174">
        <f t="shared" si="23"/>
        <v>0</v>
      </c>
      <c r="Q37" s="174">
        <f>IF($Q$19&gt;=B37, 0, IF(O37&gt;1, IF(ASS!$W$54=1,$Q$16/(($Q$17*2)-$Q$19), -PMT($Q$18/2,($Q$17*2-B36),O37,0)-P37), 0))</f>
        <v>0</v>
      </c>
      <c r="R37" s="175">
        <f t="shared" si="14"/>
        <v>0</v>
      </c>
      <c r="S37" s="173">
        <f t="shared" si="15"/>
        <v>0</v>
      </c>
      <c r="T37" s="174">
        <f t="shared" si="24"/>
        <v>0</v>
      </c>
      <c r="U37" s="174">
        <f>IF($U$19&gt;=B37, 0, IF(S37&gt;1, IF(ASS!$W$62=1,$U$16/(($U$17*2)-$U$19), -PMT($U$18/2,($U$17*2-B36),S37,0)-T37), 0))</f>
        <v>0</v>
      </c>
      <c r="V37" s="175">
        <f t="shared" si="16"/>
        <v>0</v>
      </c>
      <c r="W37" s="173">
        <f t="shared" si="17"/>
        <v>0</v>
      </c>
      <c r="X37" s="174">
        <f t="shared" si="25"/>
        <v>0</v>
      </c>
      <c r="Y37" s="174">
        <f>IF($Y$19&gt;=B37, 0, IF(W37&gt;1, IF(ASS!$W$70=1,$Y$16/(($Y$17*2)-$Y$19), -PMT($Y$18/2,($Y$17*2-B36),W37,0)-X37), 0))</f>
        <v>0</v>
      </c>
      <c r="Z37" s="175">
        <f t="shared" si="18"/>
        <v>0</v>
      </c>
      <c r="AA37" s="174"/>
      <c r="AB37" s="175"/>
    </row>
    <row r="38" spans="1:28" x14ac:dyDescent="0.2">
      <c r="A38" s="71">
        <f>A37</f>
        <v>2008</v>
      </c>
      <c r="B38" s="72">
        <f t="shared" si="19"/>
        <v>15</v>
      </c>
      <c r="C38" s="176">
        <f t="shared" si="8"/>
        <v>0</v>
      </c>
      <c r="D38" s="177">
        <f t="shared" si="21"/>
        <v>0</v>
      </c>
      <c r="E38" s="177">
        <f>IF($E$19&gt;=B38, 0, IF(C38&gt;1, IF(ASS!$W$30=1,$E$16/(($E$17*2)-$E$19), -PMT($E$18/2,($E$17*2-B37),C38,0)-D38), 0))</f>
        <v>0</v>
      </c>
      <c r="F38" s="178">
        <f t="shared" si="20"/>
        <v>0</v>
      </c>
      <c r="G38" s="176">
        <f t="shared" si="9"/>
        <v>0</v>
      </c>
      <c r="H38" s="177">
        <f t="shared" si="22"/>
        <v>0</v>
      </c>
      <c r="I38" s="177">
        <f>IF($I$19&gt;=B38, 0, IF(G38&gt;1, IF(ASS!$W$38=1,$I$16/(($I$17*2)-$I$19), -PMT($I$18/2,($I$17*2-B37),G38,0)-H38), 0))</f>
        <v>0</v>
      </c>
      <c r="J38" s="178">
        <f t="shared" si="10"/>
        <v>0</v>
      </c>
      <c r="K38" s="176">
        <f t="shared" si="11"/>
        <v>0</v>
      </c>
      <c r="L38" s="177">
        <f t="shared" si="26"/>
        <v>0</v>
      </c>
      <c r="M38" s="177">
        <f>IF($M$19&gt;=B38, 0, IF(K38&gt;1, IF(ASS!$W$46=1,$M$16/(($M$17*2)-$M$19), -PMT($M$18/2,($M$17*2-B37),K38,0)-L38), 0))</f>
        <v>0</v>
      </c>
      <c r="N38" s="178">
        <f t="shared" si="12"/>
        <v>0</v>
      </c>
      <c r="O38" s="176">
        <f t="shared" si="13"/>
        <v>0</v>
      </c>
      <c r="P38" s="177">
        <f t="shared" si="23"/>
        <v>0</v>
      </c>
      <c r="Q38" s="177">
        <f>IF($Q$19&gt;=B38, 0, IF(O38&gt;1, IF(ASS!$W$54=1,$Q$16/(($Q$17*2)-$Q$19), -PMT($Q$18/2,($Q$17*2-B37),O38,0)-P38), 0))</f>
        <v>0</v>
      </c>
      <c r="R38" s="178">
        <f t="shared" si="14"/>
        <v>0</v>
      </c>
      <c r="S38" s="176">
        <f t="shared" si="15"/>
        <v>0</v>
      </c>
      <c r="T38" s="177">
        <f t="shared" si="24"/>
        <v>0</v>
      </c>
      <c r="U38" s="177">
        <f>IF($U$19&gt;=B38, 0, IF(S38&gt;1, IF(ASS!$W$62=1,$U$16/(($U$17*2)-$U$19), -PMT($U$18/2,($U$17*2-B37),S38,0)-T38), 0))</f>
        <v>0</v>
      </c>
      <c r="V38" s="178">
        <f t="shared" si="16"/>
        <v>0</v>
      </c>
      <c r="W38" s="176">
        <f t="shared" si="17"/>
        <v>0</v>
      </c>
      <c r="X38" s="177">
        <f t="shared" si="25"/>
        <v>0</v>
      </c>
      <c r="Y38" s="177">
        <f>IF($Y$19&gt;=B38, 0, IF(W38&gt;1, IF(ASS!$W$70=1,$Y$16/(($Y$17*2)-$Y$19), -PMT($Y$18/2,($Y$17*2-B37),W38,0)-X38), 0))</f>
        <v>0</v>
      </c>
      <c r="Z38" s="178">
        <f t="shared" si="18"/>
        <v>0</v>
      </c>
      <c r="AA38" s="177">
        <f>SUM(D37:D38,H37:H38,L37:L38, P37:P38, T37:T38, X37:X38)</f>
        <v>0</v>
      </c>
      <c r="AB38" s="178">
        <f>SUM(E37:E38, I37:I38, M37:M38, Q37:Q38, U37:U38, Y37:Y38)</f>
        <v>0</v>
      </c>
    </row>
    <row r="39" spans="1:28" x14ac:dyDescent="0.2">
      <c r="A39" s="60">
        <f t="shared" si="27"/>
        <v>2009</v>
      </c>
      <c r="B39" s="61">
        <f t="shared" si="19"/>
        <v>16</v>
      </c>
      <c r="C39" s="173">
        <f t="shared" si="8"/>
        <v>0</v>
      </c>
      <c r="D39" s="174">
        <f t="shared" si="21"/>
        <v>0</v>
      </c>
      <c r="E39" s="174">
        <f>IF($E$19&gt;=B39, 0, IF(C39&gt;1, IF(ASS!$W$30=1,$E$16/(($E$17*2)-$E$19), -PMT($E$18/2,($E$17*2-B38),C39,0)-D39), 0))</f>
        <v>0</v>
      </c>
      <c r="F39" s="175">
        <f t="shared" si="20"/>
        <v>0</v>
      </c>
      <c r="G39" s="173">
        <f t="shared" si="9"/>
        <v>0</v>
      </c>
      <c r="H39" s="174">
        <f t="shared" si="22"/>
        <v>0</v>
      </c>
      <c r="I39" s="174">
        <f>IF($I$19&gt;=B39, 0, IF(G39&gt;1, IF(ASS!$W$38=1,$I$16/(($I$17*2)-$I$19), -PMT($I$18/2,($I$17*2-B38),G39,0)-H39), 0))</f>
        <v>0</v>
      </c>
      <c r="J39" s="175">
        <f t="shared" si="10"/>
        <v>0</v>
      </c>
      <c r="K39" s="173">
        <f t="shared" si="11"/>
        <v>0</v>
      </c>
      <c r="L39" s="174">
        <f t="shared" si="26"/>
        <v>0</v>
      </c>
      <c r="M39" s="174">
        <f>IF($M$19&gt;=B39, 0, IF(K39&gt;1, IF(ASS!$W$46=1,$M$16/(($M$17*2)-$M$19), -PMT($M$18/2,($M$17*2-B38),K39,0)-L39), 0))</f>
        <v>0</v>
      </c>
      <c r="N39" s="175">
        <f t="shared" si="12"/>
        <v>0</v>
      </c>
      <c r="O39" s="173">
        <f t="shared" si="13"/>
        <v>0</v>
      </c>
      <c r="P39" s="174">
        <f t="shared" si="23"/>
        <v>0</v>
      </c>
      <c r="Q39" s="174">
        <f>IF($Q$19&gt;=B39, 0, IF(O39&gt;1, IF(ASS!$W$54=1,$Q$16/(($Q$17*2)-$Q$19), -PMT($Q$18/2,($Q$17*2-B38),O39,0)-P39), 0))</f>
        <v>0</v>
      </c>
      <c r="R39" s="175">
        <f t="shared" si="14"/>
        <v>0</v>
      </c>
      <c r="S39" s="173">
        <f t="shared" si="15"/>
        <v>0</v>
      </c>
      <c r="T39" s="174">
        <f t="shared" si="24"/>
        <v>0</v>
      </c>
      <c r="U39" s="174">
        <f>IF($U$19&gt;=B39, 0, IF(S39&gt;1, IF(ASS!$W$62=1,$U$16/(($U$17*2)-$U$19), -PMT($U$18/2,($U$17*2-B38),S39,0)-T39), 0))</f>
        <v>0</v>
      </c>
      <c r="V39" s="175">
        <f t="shared" si="16"/>
        <v>0</v>
      </c>
      <c r="W39" s="173">
        <f t="shared" si="17"/>
        <v>0</v>
      </c>
      <c r="X39" s="174">
        <f t="shared" si="25"/>
        <v>0</v>
      </c>
      <c r="Y39" s="174">
        <f>IF($Y$19&gt;=B39, 0, IF(W39&gt;1, IF(ASS!$W$70=1,$Y$16/(($Y$17*2)-$Y$19), -PMT($Y$18/2,($Y$17*2-B38),W39,0)-X39), 0))</f>
        <v>0</v>
      </c>
      <c r="Z39" s="175">
        <f t="shared" si="18"/>
        <v>0</v>
      </c>
      <c r="AA39" s="174"/>
      <c r="AB39" s="175"/>
    </row>
    <row r="40" spans="1:28" x14ac:dyDescent="0.2">
      <c r="A40" s="71">
        <f>A39</f>
        <v>2009</v>
      </c>
      <c r="B40" s="72">
        <f t="shared" si="19"/>
        <v>17</v>
      </c>
      <c r="C40" s="176">
        <f t="shared" si="8"/>
        <v>0</v>
      </c>
      <c r="D40" s="177">
        <f t="shared" si="21"/>
        <v>0</v>
      </c>
      <c r="E40" s="177">
        <f>IF($E$19&gt;=B40, 0, IF(C40&gt;1, IF(ASS!$W$30=1,$E$16/(($E$17*2)-$E$19), -PMT($E$18/2,($E$17*2-B39),C40,0)-D40), 0))</f>
        <v>0</v>
      </c>
      <c r="F40" s="178">
        <f t="shared" si="20"/>
        <v>0</v>
      </c>
      <c r="G40" s="176">
        <f t="shared" si="9"/>
        <v>0</v>
      </c>
      <c r="H40" s="177">
        <f t="shared" si="22"/>
        <v>0</v>
      </c>
      <c r="I40" s="177">
        <f>IF($I$19&gt;=B40, 0, IF(G40&gt;1, IF(ASS!$W$38=1,$I$16/(($I$17*2)-$I$19), -PMT($I$18/2,($I$17*2-B39),G40,0)-H40), 0))</f>
        <v>0</v>
      </c>
      <c r="J40" s="178">
        <f t="shared" ref="J40:J55" si="28">G40-I40</f>
        <v>0</v>
      </c>
      <c r="K40" s="176">
        <f t="shared" si="11"/>
        <v>0</v>
      </c>
      <c r="L40" s="177">
        <f t="shared" si="26"/>
        <v>0</v>
      </c>
      <c r="M40" s="177">
        <f>IF($M$19&gt;=B40, 0, IF(K40&gt;1, IF(ASS!$W$46=1,$M$16/(($M$17*2)-$M$19), -PMT($M$18/2,($M$17*2-B39),K40,0)-L40), 0))</f>
        <v>0</v>
      </c>
      <c r="N40" s="178">
        <f t="shared" ref="N40:N55" si="29">K40-M40</f>
        <v>0</v>
      </c>
      <c r="O40" s="176">
        <f t="shared" si="13"/>
        <v>0</v>
      </c>
      <c r="P40" s="177">
        <f t="shared" si="23"/>
        <v>0</v>
      </c>
      <c r="Q40" s="177">
        <f>IF($Q$19&gt;=B40, 0, IF(O40&gt;1, IF(ASS!$W$54=1,$Q$16/(($Q$17*2)-$Q$19), -PMT($Q$18/2,($Q$17*2-B39),O40,0)-P40), 0))</f>
        <v>0</v>
      </c>
      <c r="R40" s="178">
        <f t="shared" ref="R40:R55" si="30">O40-Q40</f>
        <v>0</v>
      </c>
      <c r="S40" s="176">
        <f t="shared" si="15"/>
        <v>0</v>
      </c>
      <c r="T40" s="177">
        <f t="shared" si="24"/>
        <v>0</v>
      </c>
      <c r="U40" s="177">
        <f>IF($U$19&gt;=B40, 0, IF(S40&gt;1, IF(ASS!$W$62=1,$U$16/(($U$17*2)-$U$19), -PMT($U$18/2,($U$17*2-B39),S40,0)-T40), 0))</f>
        <v>0</v>
      </c>
      <c r="V40" s="178">
        <f t="shared" ref="V40:V55" si="31">S40-U40</f>
        <v>0</v>
      </c>
      <c r="W40" s="176">
        <f t="shared" si="17"/>
        <v>0</v>
      </c>
      <c r="X40" s="177">
        <f t="shared" si="25"/>
        <v>0</v>
      </c>
      <c r="Y40" s="177">
        <f>IF($Y$19&gt;=B40, 0, IF(W40&gt;1, IF(ASS!$W$70=1,$Y$16/(($Y$17*2)-$Y$19), -PMT($Y$18/2,($Y$17*2-B39),W40,0)-X40), 0))</f>
        <v>0</v>
      </c>
      <c r="Z40" s="178">
        <f t="shared" ref="Z40:Z55" si="32">W40-Y40</f>
        <v>0</v>
      </c>
      <c r="AA40" s="177">
        <f>SUM(D39:D40,H39:H40,L39:L40, P39:P40, T39:T40, X39:X40)</f>
        <v>0</v>
      </c>
      <c r="AB40" s="178">
        <f>SUM(E39:E40, I39:I40, M39:M40, Q39:Q40, U39:U40, Y39:Y40)</f>
        <v>0</v>
      </c>
    </row>
    <row r="41" spans="1:28" x14ac:dyDescent="0.2">
      <c r="A41" s="60">
        <f t="shared" si="27"/>
        <v>2010</v>
      </c>
      <c r="B41" s="61">
        <f t="shared" ref="B41:B56" si="33">B40+1</f>
        <v>18</v>
      </c>
      <c r="C41" s="173">
        <f t="shared" si="8"/>
        <v>0</v>
      </c>
      <c r="D41" s="174">
        <f t="shared" si="21"/>
        <v>0</v>
      </c>
      <c r="E41" s="174">
        <f>IF($E$19&gt;=B41, 0, IF(C41&gt;1, IF(ASS!$W$30=1,$E$16/(($E$17*2)-$E$19), -PMT($E$18/2,($E$17*2-B40),C41,0)-D41), 0))</f>
        <v>0</v>
      </c>
      <c r="F41" s="175">
        <f t="shared" ref="F41:F56" si="34">C41-E41</f>
        <v>0</v>
      </c>
      <c r="G41" s="173">
        <f t="shared" si="9"/>
        <v>0</v>
      </c>
      <c r="H41" s="174">
        <f t="shared" si="22"/>
        <v>0</v>
      </c>
      <c r="I41" s="174">
        <f>IF($I$19&gt;=B41, 0, IF(G41&gt;1, IF(ASS!$W$38=1,$I$16/(($I$17*2)-$I$19), -PMT($I$18/2,($I$17*2-B40),G41,0)-H41), 0))</f>
        <v>0</v>
      </c>
      <c r="J41" s="175">
        <f t="shared" si="28"/>
        <v>0</v>
      </c>
      <c r="K41" s="173">
        <f t="shared" si="11"/>
        <v>0</v>
      </c>
      <c r="L41" s="174">
        <f t="shared" si="26"/>
        <v>0</v>
      </c>
      <c r="M41" s="174">
        <f>IF($M$19&gt;=B41, 0, IF(K41&gt;1, IF(ASS!$W$46=1,$M$16/(($M$17*2)-$M$19), -PMT($M$18/2,($M$17*2-B40),K41,0)-L41), 0))</f>
        <v>0</v>
      </c>
      <c r="N41" s="175">
        <f t="shared" si="29"/>
        <v>0</v>
      </c>
      <c r="O41" s="173">
        <f t="shared" si="13"/>
        <v>0</v>
      </c>
      <c r="P41" s="174">
        <f t="shared" si="23"/>
        <v>0</v>
      </c>
      <c r="Q41" s="174">
        <f>IF($Q$19&gt;=B41, 0, IF(O41&gt;1, IF(ASS!$W$54=1,$Q$16/(($Q$17*2)-$Q$19), -PMT($Q$18/2,($Q$17*2-B40),O41,0)-P41), 0))</f>
        <v>0</v>
      </c>
      <c r="R41" s="175">
        <f t="shared" si="30"/>
        <v>0</v>
      </c>
      <c r="S41" s="173">
        <f t="shared" si="15"/>
        <v>0</v>
      </c>
      <c r="T41" s="174">
        <f t="shared" si="24"/>
        <v>0</v>
      </c>
      <c r="U41" s="174">
        <f>IF($U$19&gt;=B41, 0, IF(S41&gt;1, IF(ASS!$W$62=1,$U$16/(($U$17*2)-$U$19), -PMT($U$18/2,($U$17*2-B40),S41,0)-T41), 0))</f>
        <v>0</v>
      </c>
      <c r="V41" s="175">
        <f t="shared" si="31"/>
        <v>0</v>
      </c>
      <c r="W41" s="173">
        <f t="shared" si="17"/>
        <v>0</v>
      </c>
      <c r="X41" s="174">
        <f t="shared" si="25"/>
        <v>0</v>
      </c>
      <c r="Y41" s="174">
        <f>IF($Y$19&gt;=B41, 0, IF(W41&gt;1, IF(ASS!$W$70=1,$Y$16/(($Y$17*2)-$Y$19), -PMT($Y$18/2,($Y$17*2-B40),W41,0)-X41), 0))</f>
        <v>0</v>
      </c>
      <c r="Z41" s="175">
        <f t="shared" si="32"/>
        <v>0</v>
      </c>
      <c r="AA41" s="174"/>
      <c r="AB41" s="175"/>
    </row>
    <row r="42" spans="1:28" x14ac:dyDescent="0.2">
      <c r="A42" s="71">
        <f>A41</f>
        <v>2010</v>
      </c>
      <c r="B42" s="72">
        <f t="shared" si="33"/>
        <v>19</v>
      </c>
      <c r="C42" s="176">
        <f t="shared" si="8"/>
        <v>0</v>
      </c>
      <c r="D42" s="177">
        <f t="shared" ref="D42:D57" si="35">C42*$E$18*0.5</f>
        <v>0</v>
      </c>
      <c r="E42" s="177">
        <f>IF($E$19&gt;=B42, 0, IF(C42&gt;1, IF(ASS!$W$30=1,$E$16/(($E$17*2)-$E$19), -PMT($E$18/2,($E$17*2-B41),C42,0)-D42), 0))</f>
        <v>0</v>
      </c>
      <c r="F42" s="178">
        <f t="shared" si="34"/>
        <v>0</v>
      </c>
      <c r="G42" s="176">
        <f t="shared" si="9"/>
        <v>0</v>
      </c>
      <c r="H42" s="177">
        <f t="shared" ref="H42:H57" si="36">G42*$I$18*0.5</f>
        <v>0</v>
      </c>
      <c r="I42" s="177">
        <f>IF($I$19&gt;=B42, 0, IF(G42&gt;1, IF(ASS!$W$38=1,$I$16/(($I$17*2)-$I$19), -PMT($I$18/2,($I$17*2-B41),G42,0)-H42), 0))</f>
        <v>0</v>
      </c>
      <c r="J42" s="178">
        <f t="shared" si="28"/>
        <v>0</v>
      </c>
      <c r="K42" s="176">
        <f t="shared" si="11"/>
        <v>0</v>
      </c>
      <c r="L42" s="177">
        <f t="shared" si="26"/>
        <v>0</v>
      </c>
      <c r="M42" s="177">
        <f>IF($M$19&gt;=B42, 0, IF(K42&gt;1, IF(ASS!$W$46=1,$M$16/(($M$17*2)-$M$19), -PMT($M$18/2,($M$17*2-B41),K42,0)-L42), 0))</f>
        <v>0</v>
      </c>
      <c r="N42" s="178">
        <f t="shared" si="29"/>
        <v>0</v>
      </c>
      <c r="O42" s="176">
        <f t="shared" si="13"/>
        <v>0</v>
      </c>
      <c r="P42" s="177">
        <f t="shared" ref="P42:P57" si="37">O42*$Q$18*0.5</f>
        <v>0</v>
      </c>
      <c r="Q42" s="177">
        <f>IF($Q$19&gt;=B42, 0, IF(O42&gt;1, IF(ASS!$W$54=1,$Q$16/(($Q$17*2)-$Q$19), -PMT($Q$18/2,($Q$17*2-B41),O42,0)-P42), 0))</f>
        <v>0</v>
      </c>
      <c r="R42" s="178">
        <f t="shared" si="30"/>
        <v>0</v>
      </c>
      <c r="S42" s="176">
        <f t="shared" si="15"/>
        <v>0</v>
      </c>
      <c r="T42" s="177">
        <f t="shared" ref="T42:T57" si="38">S42*$U$18*0.5</f>
        <v>0</v>
      </c>
      <c r="U42" s="177">
        <f>IF($U$19&gt;=B42, 0, IF(S42&gt;1, IF(ASS!$W$62=1,$U$16/(($U$17*2)-$U$19), -PMT($U$18/2,($U$17*2-B41),S42,0)-T42), 0))</f>
        <v>0</v>
      </c>
      <c r="V42" s="178">
        <f t="shared" si="31"/>
        <v>0</v>
      </c>
      <c r="W42" s="176">
        <f t="shared" si="17"/>
        <v>0</v>
      </c>
      <c r="X42" s="177">
        <f t="shared" ref="X42:X57" si="39">W42*$Y$18*0.5</f>
        <v>0</v>
      </c>
      <c r="Y42" s="177">
        <f>IF($Y$19&gt;=B42, 0, IF(W42&gt;1, IF(ASS!$W$70=1,$Y$16/(($Y$17*2)-$Y$19), -PMT($Y$18/2,($Y$17*2-B41),W42,0)-X42), 0))</f>
        <v>0</v>
      </c>
      <c r="Z42" s="178">
        <f t="shared" si="32"/>
        <v>0</v>
      </c>
      <c r="AA42" s="177">
        <f>SUM(D41:D42,H41:H42,L41:L42, P41:P42, T41:T42, X41:X42)</f>
        <v>0</v>
      </c>
      <c r="AB42" s="178">
        <f>SUM(E41:E42, I41:I42, M41:M42, Q41:Q42, U41:U42, Y41:Y42)</f>
        <v>0</v>
      </c>
    </row>
    <row r="43" spans="1:28" x14ac:dyDescent="0.2">
      <c r="A43" s="60">
        <f t="shared" si="27"/>
        <v>2011</v>
      </c>
      <c r="B43" s="61">
        <f t="shared" si="33"/>
        <v>20</v>
      </c>
      <c r="C43" s="173">
        <f t="shared" si="8"/>
        <v>0</v>
      </c>
      <c r="D43" s="174">
        <f t="shared" si="35"/>
        <v>0</v>
      </c>
      <c r="E43" s="174">
        <f>IF($E$19&gt;=B43, 0, IF(C43&gt;1, IF(ASS!$W$30=1,$E$16/(($E$17*2)-$E$19), -PMT($E$18/2,($E$17*2-B42),C43,0)-D43), 0))</f>
        <v>0</v>
      </c>
      <c r="F43" s="175">
        <f t="shared" si="34"/>
        <v>0</v>
      </c>
      <c r="G43" s="173">
        <f t="shared" si="9"/>
        <v>0</v>
      </c>
      <c r="H43" s="174">
        <f t="shared" si="36"/>
        <v>0</v>
      </c>
      <c r="I43" s="174">
        <f>IF($I$19&gt;=B43, 0, IF(G43&gt;1, IF(ASS!$W$38=1,$I$16/(($I$17*2)-$I$19), -PMT($I$18/2,($I$17*2-B42),G43,0)-H43), 0))</f>
        <v>0</v>
      </c>
      <c r="J43" s="175">
        <f t="shared" si="28"/>
        <v>0</v>
      </c>
      <c r="K43" s="173">
        <f t="shared" si="11"/>
        <v>0</v>
      </c>
      <c r="L43" s="174">
        <f t="shared" ref="L43:L58" si="40">K43*$M$18*0.5</f>
        <v>0</v>
      </c>
      <c r="M43" s="174">
        <f>IF($M$19&gt;=B43, 0, IF(K43&gt;1, IF(ASS!$W$46=1,$M$16/(($M$17*2)-$M$19), -PMT($M$18/2,($M$17*2-B42),K43,0)-L43), 0))</f>
        <v>0</v>
      </c>
      <c r="N43" s="175">
        <f t="shared" si="29"/>
        <v>0</v>
      </c>
      <c r="O43" s="173">
        <f t="shared" si="13"/>
        <v>0</v>
      </c>
      <c r="P43" s="174">
        <f t="shared" si="37"/>
        <v>0</v>
      </c>
      <c r="Q43" s="174">
        <f>IF($Q$19&gt;=B43, 0, IF(O43&gt;1, IF(ASS!$W$54=1,$Q$16/(($Q$17*2)-$Q$19), -PMT($Q$18/2,($Q$17*2-B42),O43,0)-P43), 0))</f>
        <v>0</v>
      </c>
      <c r="R43" s="175">
        <f t="shared" si="30"/>
        <v>0</v>
      </c>
      <c r="S43" s="173">
        <f t="shared" si="15"/>
        <v>0</v>
      </c>
      <c r="T43" s="174">
        <f t="shared" si="38"/>
        <v>0</v>
      </c>
      <c r="U43" s="174">
        <f>IF($U$19&gt;=B43, 0, IF(S43&gt;1, IF(ASS!$W$62=1,$U$16/(($U$17*2)-$U$19), -PMT($U$18/2,($U$17*2-B42),S43,0)-T43), 0))</f>
        <v>0</v>
      </c>
      <c r="V43" s="175">
        <f t="shared" si="31"/>
        <v>0</v>
      </c>
      <c r="W43" s="173">
        <f t="shared" si="17"/>
        <v>0</v>
      </c>
      <c r="X43" s="174">
        <f t="shared" si="39"/>
        <v>0</v>
      </c>
      <c r="Y43" s="174">
        <f>IF($Y$19&gt;=B43, 0, IF(W43&gt;1, IF(ASS!$W$70=1,$Y$16/(($Y$17*2)-$Y$19), -PMT($Y$18/2,($Y$17*2-B42),W43,0)-X43), 0))</f>
        <v>0</v>
      </c>
      <c r="Z43" s="175">
        <f t="shared" si="32"/>
        <v>0</v>
      </c>
      <c r="AA43" s="174"/>
      <c r="AB43" s="175"/>
    </row>
    <row r="44" spans="1:28" x14ac:dyDescent="0.2">
      <c r="A44" s="71">
        <f>A43</f>
        <v>2011</v>
      </c>
      <c r="B44" s="72">
        <f t="shared" si="33"/>
        <v>21</v>
      </c>
      <c r="C44" s="176">
        <f t="shared" si="8"/>
        <v>0</v>
      </c>
      <c r="D44" s="177">
        <f t="shared" si="35"/>
        <v>0</v>
      </c>
      <c r="E44" s="177">
        <f>IF($E$19&gt;=B44, 0, IF(C44&gt;1, IF(ASS!$W$30=1,$E$16/(($E$17*2)-$E$19), -PMT($E$18/2,($E$17*2-B43),C44,0)-D44), 0))</f>
        <v>0</v>
      </c>
      <c r="F44" s="178">
        <f t="shared" si="34"/>
        <v>0</v>
      </c>
      <c r="G44" s="176">
        <f t="shared" si="9"/>
        <v>0</v>
      </c>
      <c r="H44" s="177">
        <f t="shared" si="36"/>
        <v>0</v>
      </c>
      <c r="I44" s="177">
        <f>IF($I$19&gt;=B44, 0, IF(G44&gt;1, IF(ASS!$W$38=1,$I$16/(($I$17*2)-$I$19), -PMT($I$18/2,($I$17*2-B43),G44,0)-H44), 0))</f>
        <v>0</v>
      </c>
      <c r="J44" s="178">
        <f t="shared" si="28"/>
        <v>0</v>
      </c>
      <c r="K44" s="176">
        <f t="shared" si="11"/>
        <v>0</v>
      </c>
      <c r="L44" s="177">
        <f t="shared" si="40"/>
        <v>0</v>
      </c>
      <c r="M44" s="177">
        <f>IF($M$19&gt;=B44, 0, IF(K44&gt;1, IF(ASS!$W$46=1,$M$16/(($M$17*2)-$M$19), -PMT($M$18/2,($M$17*2-B43),K44,0)-L44), 0))</f>
        <v>0</v>
      </c>
      <c r="N44" s="178">
        <f t="shared" si="29"/>
        <v>0</v>
      </c>
      <c r="O44" s="176">
        <f t="shared" si="13"/>
        <v>0</v>
      </c>
      <c r="P44" s="177">
        <f t="shared" si="37"/>
        <v>0</v>
      </c>
      <c r="Q44" s="177">
        <f>IF($Q$19&gt;=B44, 0, IF(O44&gt;1, IF(ASS!$W$54=1,$Q$16/(($Q$17*2)-$Q$19), -PMT($Q$18/2,($Q$17*2-B43),O44,0)-P44), 0))</f>
        <v>0</v>
      </c>
      <c r="R44" s="178">
        <f t="shared" si="30"/>
        <v>0</v>
      </c>
      <c r="S44" s="176">
        <f t="shared" si="15"/>
        <v>0</v>
      </c>
      <c r="T44" s="177">
        <f t="shared" si="38"/>
        <v>0</v>
      </c>
      <c r="U44" s="177">
        <f>IF($U$19&gt;=B44, 0, IF(S44&gt;1, IF(ASS!$W$62=1,$U$16/(($U$17*2)-$U$19), -PMT($U$18/2,($U$17*2-B43),S44,0)-T44), 0))</f>
        <v>0</v>
      </c>
      <c r="V44" s="178">
        <f t="shared" si="31"/>
        <v>0</v>
      </c>
      <c r="W44" s="176">
        <f t="shared" si="17"/>
        <v>0</v>
      </c>
      <c r="X44" s="177">
        <f t="shared" si="39"/>
        <v>0</v>
      </c>
      <c r="Y44" s="177">
        <f>IF($Y$19&gt;=B44, 0, IF(W44&gt;1, IF(ASS!$W$70=1,$Y$16/(($Y$17*2)-$Y$19), -PMT($Y$18/2,($Y$17*2-B43),W44,0)-X44), 0))</f>
        <v>0</v>
      </c>
      <c r="Z44" s="178">
        <f t="shared" si="32"/>
        <v>0</v>
      </c>
      <c r="AA44" s="177">
        <f>SUM(D43:D44,H43:H44,L43:L44, P43:P44, T43:T44, X43:X44)</f>
        <v>0</v>
      </c>
      <c r="AB44" s="178">
        <f>SUM(E43:E44, I43:I44, M43:M44, Q43:Q44, U43:U44, Y43:Y44)</f>
        <v>0</v>
      </c>
    </row>
    <row r="45" spans="1:28" x14ac:dyDescent="0.2">
      <c r="A45" s="60">
        <f t="shared" ref="A45:A59" si="41">A43+1</f>
        <v>2012</v>
      </c>
      <c r="B45" s="61">
        <f t="shared" si="33"/>
        <v>22</v>
      </c>
      <c r="C45" s="173">
        <f t="shared" si="8"/>
        <v>0</v>
      </c>
      <c r="D45" s="174">
        <f t="shared" si="35"/>
        <v>0</v>
      </c>
      <c r="E45" s="174">
        <f>IF($E$19&gt;=B45, 0, IF(C45&gt;1, IF(ASS!$W$30=1,$E$16/(($E$17*2)-$E$19), -PMT($E$18/2,($E$17*2-B44),C45,0)-D45), 0))</f>
        <v>0</v>
      </c>
      <c r="F45" s="175">
        <f t="shared" si="34"/>
        <v>0</v>
      </c>
      <c r="G45" s="173">
        <f t="shared" si="9"/>
        <v>0</v>
      </c>
      <c r="H45" s="174">
        <f t="shared" si="36"/>
        <v>0</v>
      </c>
      <c r="I45" s="174">
        <f>IF($I$19&gt;=B45, 0, IF(G45&gt;1, IF(ASS!$W$38=1,$I$16/(($I$17*2)-$I$19), -PMT($I$18/2,($I$17*2-B44),G45,0)-H45), 0))</f>
        <v>0</v>
      </c>
      <c r="J45" s="175">
        <f t="shared" si="28"/>
        <v>0</v>
      </c>
      <c r="K45" s="173">
        <f t="shared" si="11"/>
        <v>0</v>
      </c>
      <c r="L45" s="174">
        <f t="shared" si="40"/>
        <v>0</v>
      </c>
      <c r="M45" s="174">
        <f>IF($M$19&gt;=B45, 0, IF(K45&gt;1, IF(ASS!$W$46=1,$M$16/(($M$17*2)-$M$19), -PMT($M$18/2,($M$17*2-B44),K45,0)-L45), 0))</f>
        <v>0</v>
      </c>
      <c r="N45" s="175">
        <f t="shared" si="29"/>
        <v>0</v>
      </c>
      <c r="O45" s="173">
        <f t="shared" si="13"/>
        <v>0</v>
      </c>
      <c r="P45" s="174">
        <f t="shared" si="37"/>
        <v>0</v>
      </c>
      <c r="Q45" s="174">
        <f>IF($Q$19&gt;=B45, 0, IF(O45&gt;1, IF(ASS!$W$54=1,$Q$16/(($Q$17*2)-$Q$19), -PMT($Q$18/2,($Q$17*2-B44),O45,0)-P45), 0))</f>
        <v>0</v>
      </c>
      <c r="R45" s="175">
        <f t="shared" si="30"/>
        <v>0</v>
      </c>
      <c r="S45" s="173">
        <f t="shared" si="15"/>
        <v>0</v>
      </c>
      <c r="T45" s="174">
        <f t="shared" si="38"/>
        <v>0</v>
      </c>
      <c r="U45" s="174">
        <f>IF($U$19&gt;=B45, 0, IF(S45&gt;1, IF(ASS!$W$62=1,$U$16/(($U$17*2)-$U$19), -PMT($U$18/2,($U$17*2-B44),S45,0)-T45), 0))</f>
        <v>0</v>
      </c>
      <c r="V45" s="175">
        <f t="shared" si="31"/>
        <v>0</v>
      </c>
      <c r="W45" s="173">
        <f t="shared" si="17"/>
        <v>0</v>
      </c>
      <c r="X45" s="174">
        <f t="shared" si="39"/>
        <v>0</v>
      </c>
      <c r="Y45" s="174">
        <f>IF($Y$19&gt;=B45, 0, IF(W45&gt;1, IF(ASS!$W$70=1,$Y$16/(($Y$17*2)-$Y$19), -PMT($Y$18/2,($Y$17*2-B44),W45,0)-X45), 0))</f>
        <v>0</v>
      </c>
      <c r="Z45" s="175">
        <f t="shared" si="32"/>
        <v>0</v>
      </c>
      <c r="AA45" s="174"/>
      <c r="AB45" s="175"/>
    </row>
    <row r="46" spans="1:28" x14ac:dyDescent="0.2">
      <c r="A46" s="71">
        <f>A45</f>
        <v>2012</v>
      </c>
      <c r="B46" s="72">
        <f t="shared" si="33"/>
        <v>23</v>
      </c>
      <c r="C46" s="176">
        <f t="shared" si="8"/>
        <v>0</v>
      </c>
      <c r="D46" s="177">
        <f t="shared" si="35"/>
        <v>0</v>
      </c>
      <c r="E46" s="177">
        <f>IF($E$19&gt;=B46, 0, IF(C46&gt;1, IF(ASS!$W$30=1,$E$16/(($E$17*2)-$E$19), -PMT($E$18/2,($E$17*2-B45),C46,0)-D46), 0))</f>
        <v>0</v>
      </c>
      <c r="F46" s="178">
        <f t="shared" si="34"/>
        <v>0</v>
      </c>
      <c r="G46" s="176">
        <f t="shared" si="9"/>
        <v>0</v>
      </c>
      <c r="H46" s="177">
        <f t="shared" si="36"/>
        <v>0</v>
      </c>
      <c r="I46" s="177">
        <f>IF($I$19&gt;=B46, 0, IF(G46&gt;1, IF(ASS!$W$38=1,$I$16/(($I$17*2)-$I$19), -PMT($I$18/2,($I$17*2-B45),G46,0)-H46), 0))</f>
        <v>0</v>
      </c>
      <c r="J46" s="178">
        <f t="shared" si="28"/>
        <v>0</v>
      </c>
      <c r="K46" s="176">
        <f t="shared" si="11"/>
        <v>0</v>
      </c>
      <c r="L46" s="177">
        <f t="shared" si="40"/>
        <v>0</v>
      </c>
      <c r="M46" s="177">
        <f>IF($M$19&gt;=B46, 0, IF(K46&gt;1, IF(ASS!$W$46=1,$M$16/(($M$17*2)-$M$19), -PMT($M$18/2,($M$17*2-B45),K46,0)-L46), 0))</f>
        <v>0</v>
      </c>
      <c r="N46" s="178">
        <f t="shared" si="29"/>
        <v>0</v>
      </c>
      <c r="O46" s="176">
        <f t="shared" si="13"/>
        <v>0</v>
      </c>
      <c r="P46" s="177">
        <f t="shared" si="37"/>
        <v>0</v>
      </c>
      <c r="Q46" s="177">
        <f>IF($Q$19&gt;=B46, 0, IF(O46&gt;1, IF(ASS!$W$54=1,$Q$16/(($Q$17*2)-$Q$19), -PMT($Q$18/2,($Q$17*2-B45),O46,0)-P46), 0))</f>
        <v>0</v>
      </c>
      <c r="R46" s="178">
        <f t="shared" si="30"/>
        <v>0</v>
      </c>
      <c r="S46" s="176">
        <f t="shared" si="15"/>
        <v>0</v>
      </c>
      <c r="T46" s="177">
        <f t="shared" si="38"/>
        <v>0</v>
      </c>
      <c r="U46" s="177">
        <f>IF($U$19&gt;=B46, 0, IF(S46&gt;1, IF(ASS!$W$62=1,$U$16/(($U$17*2)-$U$19), -PMT($U$18/2,($U$17*2-B45),S46,0)-T46), 0))</f>
        <v>0</v>
      </c>
      <c r="V46" s="178">
        <f t="shared" si="31"/>
        <v>0</v>
      </c>
      <c r="W46" s="176">
        <f t="shared" si="17"/>
        <v>0</v>
      </c>
      <c r="X46" s="177">
        <f t="shared" si="39"/>
        <v>0</v>
      </c>
      <c r="Y46" s="177">
        <f>IF($Y$19&gt;=B46, 0, IF(W46&gt;1, IF(ASS!$W$70=1,$Y$16/(($Y$17*2)-$Y$19), -PMT($Y$18/2,($Y$17*2-B45),W46,0)-X46), 0))</f>
        <v>0</v>
      </c>
      <c r="Z46" s="178">
        <f t="shared" si="32"/>
        <v>0</v>
      </c>
      <c r="AA46" s="177">
        <f>SUM(D45:D46,H45:H46,L45:L46, P45:P46, T45:T46, X45:X46)</f>
        <v>0</v>
      </c>
      <c r="AB46" s="178">
        <f>SUM(E45:E46, I45:I46, M45:M46, Q45:Q46, U45:U46, Y45:Y46)</f>
        <v>0</v>
      </c>
    </row>
    <row r="47" spans="1:28" x14ac:dyDescent="0.2">
      <c r="A47" s="60">
        <f t="shared" si="41"/>
        <v>2013</v>
      </c>
      <c r="B47" s="61">
        <f t="shared" si="33"/>
        <v>24</v>
      </c>
      <c r="C47" s="173">
        <f t="shared" si="8"/>
        <v>0</v>
      </c>
      <c r="D47" s="174">
        <f t="shared" si="35"/>
        <v>0</v>
      </c>
      <c r="E47" s="174">
        <f>IF($E$19&gt;=B47, 0, IF(C47&gt;1, IF(ASS!$W$30=1,$E$16/(($E$17*2)-$E$19), -PMT($E$18/2,($E$17*2-B46),C47,0)-D47), 0))</f>
        <v>0</v>
      </c>
      <c r="F47" s="175">
        <f t="shared" si="34"/>
        <v>0</v>
      </c>
      <c r="G47" s="173">
        <f t="shared" si="9"/>
        <v>0</v>
      </c>
      <c r="H47" s="174">
        <f t="shared" si="36"/>
        <v>0</v>
      </c>
      <c r="I47" s="174">
        <f>IF($I$19&gt;=B47, 0, IF(G47&gt;1, IF(ASS!$W$38=1,$I$16/(($I$17*2)-$I$19), -PMT($I$18/2,($I$17*2-B46),G47,0)-H47), 0))</f>
        <v>0</v>
      </c>
      <c r="J47" s="175">
        <f t="shared" si="28"/>
        <v>0</v>
      </c>
      <c r="K47" s="173">
        <f t="shared" si="11"/>
        <v>0</v>
      </c>
      <c r="L47" s="174">
        <f t="shared" si="40"/>
        <v>0</v>
      </c>
      <c r="M47" s="174">
        <f>IF($M$19&gt;=B47, 0, IF(K47&gt;1, IF(ASS!$W$46=1,$M$16/(($M$17*2)-$M$19), -PMT($M$18/2,($M$17*2-B46),K47,0)-L47), 0))</f>
        <v>0</v>
      </c>
      <c r="N47" s="175">
        <f t="shared" si="29"/>
        <v>0</v>
      </c>
      <c r="O47" s="173">
        <f t="shared" si="13"/>
        <v>0</v>
      </c>
      <c r="P47" s="174">
        <f t="shared" si="37"/>
        <v>0</v>
      </c>
      <c r="Q47" s="174">
        <f>IF($Q$19&gt;=B47, 0, IF(O47&gt;1, IF(ASS!$W$54=1,$Q$16/(($Q$17*2)-$Q$19), -PMT($Q$18/2,($Q$17*2-B46),O47,0)-P47), 0))</f>
        <v>0</v>
      </c>
      <c r="R47" s="175">
        <f t="shared" si="30"/>
        <v>0</v>
      </c>
      <c r="S47" s="173">
        <f t="shared" si="15"/>
        <v>0</v>
      </c>
      <c r="T47" s="174">
        <f t="shared" si="38"/>
        <v>0</v>
      </c>
      <c r="U47" s="174">
        <f>IF($U$19&gt;=B47, 0, IF(S47&gt;1, IF(ASS!$W$62=1,$U$16/(($U$17*2)-$U$19), -PMT($U$18/2,($U$17*2-B46),S47,0)-T47), 0))</f>
        <v>0</v>
      </c>
      <c r="V47" s="175">
        <f t="shared" si="31"/>
        <v>0</v>
      </c>
      <c r="W47" s="173">
        <f t="shared" si="17"/>
        <v>0</v>
      </c>
      <c r="X47" s="174">
        <f t="shared" si="39"/>
        <v>0</v>
      </c>
      <c r="Y47" s="174">
        <f>IF($Y$19&gt;=B47, 0, IF(W47&gt;1, IF(ASS!$W$70=1,$Y$16/(($Y$17*2)-$Y$19), -PMT($Y$18/2,($Y$17*2-B46),W47,0)-X47), 0))</f>
        <v>0</v>
      </c>
      <c r="Z47" s="175">
        <f t="shared" si="32"/>
        <v>0</v>
      </c>
      <c r="AA47" s="174"/>
      <c r="AB47" s="175"/>
    </row>
    <row r="48" spans="1:28" x14ac:dyDescent="0.2">
      <c r="A48" s="71">
        <f>A47</f>
        <v>2013</v>
      </c>
      <c r="B48" s="72">
        <f t="shared" si="33"/>
        <v>25</v>
      </c>
      <c r="C48" s="176">
        <f t="shared" si="8"/>
        <v>0</v>
      </c>
      <c r="D48" s="177">
        <f t="shared" si="35"/>
        <v>0</v>
      </c>
      <c r="E48" s="177">
        <f>IF($E$19&gt;=B48, 0, IF(C48&gt;1, IF(ASS!$W$30=1,$E$16/(($E$17*2)-$E$19), -PMT($E$18/2,($E$17*2-B47),C48,0)-D48), 0))</f>
        <v>0</v>
      </c>
      <c r="F48" s="178">
        <f t="shared" si="34"/>
        <v>0</v>
      </c>
      <c r="G48" s="176">
        <f t="shared" si="9"/>
        <v>0</v>
      </c>
      <c r="H48" s="177">
        <f t="shared" si="36"/>
        <v>0</v>
      </c>
      <c r="I48" s="177">
        <f>IF($I$19&gt;=B48, 0, IF(G48&gt;1, IF(ASS!$W$38=1,$I$16/(($I$17*2)-$I$19), -PMT($I$18/2,($I$17*2-B47),G48,0)-H48), 0))</f>
        <v>0</v>
      </c>
      <c r="J48" s="178">
        <f t="shared" si="28"/>
        <v>0</v>
      </c>
      <c r="K48" s="176">
        <f t="shared" si="11"/>
        <v>0</v>
      </c>
      <c r="L48" s="177">
        <f t="shared" si="40"/>
        <v>0</v>
      </c>
      <c r="M48" s="177">
        <f>IF($M$19&gt;=B48, 0, IF(K48&gt;1, IF(ASS!$W$46=1,$M$16/(($M$17*2)-$M$19), -PMT($M$18/2,($M$17*2-B47),K48,0)-L48), 0))</f>
        <v>0</v>
      </c>
      <c r="N48" s="178">
        <f t="shared" si="29"/>
        <v>0</v>
      </c>
      <c r="O48" s="176">
        <f t="shared" si="13"/>
        <v>0</v>
      </c>
      <c r="P48" s="177">
        <f t="shared" si="37"/>
        <v>0</v>
      </c>
      <c r="Q48" s="177">
        <f>IF($Q$19&gt;=B48, 0, IF(O48&gt;1, IF(ASS!$W$54=1,$Q$16/(($Q$17*2)-$Q$19), -PMT($Q$18/2,($Q$17*2-B47),O48,0)-P48), 0))</f>
        <v>0</v>
      </c>
      <c r="R48" s="178">
        <f t="shared" si="30"/>
        <v>0</v>
      </c>
      <c r="S48" s="176">
        <f t="shared" si="15"/>
        <v>0</v>
      </c>
      <c r="T48" s="177">
        <f t="shared" si="38"/>
        <v>0</v>
      </c>
      <c r="U48" s="177">
        <f>IF($U$19&gt;=B48, 0, IF(S48&gt;1, IF(ASS!$W$62=1,$U$16/(($U$17*2)-$U$19), -PMT($U$18/2,($U$17*2-B47),S48,0)-T48), 0))</f>
        <v>0</v>
      </c>
      <c r="V48" s="178">
        <f t="shared" si="31"/>
        <v>0</v>
      </c>
      <c r="W48" s="176">
        <f t="shared" si="17"/>
        <v>0</v>
      </c>
      <c r="X48" s="177">
        <f t="shared" si="39"/>
        <v>0</v>
      </c>
      <c r="Y48" s="177">
        <f>IF($Y$19&gt;=B48, 0, IF(W48&gt;1, IF(ASS!$W$70=1,$Y$16/(($Y$17*2)-$Y$19), -PMT($Y$18/2,($Y$17*2-B47),W48,0)-X48), 0))</f>
        <v>0</v>
      </c>
      <c r="Z48" s="178">
        <f t="shared" si="32"/>
        <v>0</v>
      </c>
      <c r="AA48" s="177">
        <f>SUM(D47:D48,H47:H48,L47:L48, P47:P48, T47:T48, X47:X48)</f>
        <v>0</v>
      </c>
      <c r="AB48" s="178">
        <f>SUM(E47:E48, I47:I48, M47:M48, Q47:Q48, U47:U48, Y47:Y48)</f>
        <v>0</v>
      </c>
    </row>
    <row r="49" spans="1:28" x14ac:dyDescent="0.2">
      <c r="A49" s="60">
        <f t="shared" si="41"/>
        <v>2014</v>
      </c>
      <c r="B49" s="61">
        <f t="shared" si="33"/>
        <v>26</v>
      </c>
      <c r="C49" s="173">
        <f t="shared" si="8"/>
        <v>0</v>
      </c>
      <c r="D49" s="174">
        <f t="shared" si="35"/>
        <v>0</v>
      </c>
      <c r="E49" s="174">
        <f>IF($E$19&gt;=B49, 0, IF(C49&gt;1, IF(ASS!$W$30=1,$E$16/(($E$17*2)-$E$19), -PMT($E$18/2,($E$17*2-B48),C49,0)-D49), 0))</f>
        <v>0</v>
      </c>
      <c r="F49" s="175">
        <f t="shared" si="34"/>
        <v>0</v>
      </c>
      <c r="G49" s="173">
        <f t="shared" si="9"/>
        <v>0</v>
      </c>
      <c r="H49" s="174">
        <f t="shared" si="36"/>
        <v>0</v>
      </c>
      <c r="I49" s="174">
        <f>IF($I$19&gt;=B49, 0, IF(G49&gt;1, IF(ASS!$W$38=1,$I$16/(($I$17*2)-$I$19), -PMT($I$18/2,($I$17*2-B48),G49,0)-H49), 0))</f>
        <v>0</v>
      </c>
      <c r="J49" s="175">
        <f t="shared" si="28"/>
        <v>0</v>
      </c>
      <c r="K49" s="173">
        <f t="shared" si="11"/>
        <v>0</v>
      </c>
      <c r="L49" s="174">
        <f t="shared" si="40"/>
        <v>0</v>
      </c>
      <c r="M49" s="174">
        <f>IF($M$19&gt;=B49, 0, IF(K49&gt;1, IF(ASS!$W$46=1,$M$16/(($M$17*2)-$M$19), -PMT($M$18/2,($M$17*2-B48),K49,0)-L49), 0))</f>
        <v>0</v>
      </c>
      <c r="N49" s="175">
        <f t="shared" si="29"/>
        <v>0</v>
      </c>
      <c r="O49" s="173">
        <f t="shared" si="13"/>
        <v>0</v>
      </c>
      <c r="P49" s="174">
        <f t="shared" si="37"/>
        <v>0</v>
      </c>
      <c r="Q49" s="174">
        <f>IF($Q$19&gt;=B49, 0, IF(O49&gt;1, IF(ASS!$W$54=1,$Q$16/(($Q$17*2)-$Q$19), -PMT($Q$18/2,($Q$17*2-B48),O49,0)-P49), 0))</f>
        <v>0</v>
      </c>
      <c r="R49" s="175">
        <f t="shared" si="30"/>
        <v>0</v>
      </c>
      <c r="S49" s="173">
        <f t="shared" si="15"/>
        <v>0</v>
      </c>
      <c r="T49" s="174">
        <f t="shared" si="38"/>
        <v>0</v>
      </c>
      <c r="U49" s="174">
        <f>IF($U$19&gt;=B49, 0, IF(S49&gt;1, IF(ASS!$W$62=1,$U$16/(($U$17*2)-$U$19), -PMT($U$18/2,($U$17*2-B48),S49,0)-T49), 0))</f>
        <v>0</v>
      </c>
      <c r="V49" s="175">
        <f t="shared" si="31"/>
        <v>0</v>
      </c>
      <c r="W49" s="173">
        <f t="shared" si="17"/>
        <v>0</v>
      </c>
      <c r="X49" s="174">
        <f t="shared" si="39"/>
        <v>0</v>
      </c>
      <c r="Y49" s="174">
        <f>IF($Y$19&gt;=B49, 0, IF(W49&gt;1, IF(ASS!$W$70=1,$Y$16/(($Y$17*2)-$Y$19), -PMT($Y$18/2,($Y$17*2-B48),W49,0)-X49), 0))</f>
        <v>0</v>
      </c>
      <c r="Z49" s="175">
        <f t="shared" si="32"/>
        <v>0</v>
      </c>
      <c r="AA49" s="174"/>
      <c r="AB49" s="175"/>
    </row>
    <row r="50" spans="1:28" x14ac:dyDescent="0.2">
      <c r="A50" s="71">
        <f>A49</f>
        <v>2014</v>
      </c>
      <c r="B50" s="72">
        <f t="shared" si="33"/>
        <v>27</v>
      </c>
      <c r="C50" s="176">
        <f t="shared" si="8"/>
        <v>0</v>
      </c>
      <c r="D50" s="177">
        <f t="shared" si="35"/>
        <v>0</v>
      </c>
      <c r="E50" s="177">
        <f>IF($E$19&gt;=B50, 0, IF(C50&gt;1, IF(ASS!$W$30=1,$E$16/(($E$17*2)-$E$19), -PMT($E$18/2,($E$17*2-B49),C50,0)-D50), 0))</f>
        <v>0</v>
      </c>
      <c r="F50" s="178">
        <f t="shared" si="34"/>
        <v>0</v>
      </c>
      <c r="G50" s="176">
        <f t="shared" si="9"/>
        <v>0</v>
      </c>
      <c r="H50" s="177">
        <f t="shared" si="36"/>
        <v>0</v>
      </c>
      <c r="I50" s="177">
        <f>IF($I$19&gt;=B50, 0, IF(G50&gt;1, IF(ASS!$W$38=1,$I$16/(($I$17*2)-$I$19), -PMT($I$18/2,($I$17*2-B49),G50,0)-H50), 0))</f>
        <v>0</v>
      </c>
      <c r="J50" s="178">
        <f t="shared" si="28"/>
        <v>0</v>
      </c>
      <c r="K50" s="176">
        <f t="shared" si="11"/>
        <v>0</v>
      </c>
      <c r="L50" s="177">
        <f t="shared" si="40"/>
        <v>0</v>
      </c>
      <c r="M50" s="177">
        <f>IF($M$19&gt;=B50, 0, IF(K50&gt;1, IF(ASS!$W$46=1,$M$16/(($M$17*2)-$M$19), -PMT($M$18/2,($M$17*2-B49),K50,0)-L50), 0))</f>
        <v>0</v>
      </c>
      <c r="N50" s="178">
        <f t="shared" si="29"/>
        <v>0</v>
      </c>
      <c r="O50" s="176">
        <f t="shared" si="13"/>
        <v>0</v>
      </c>
      <c r="P50" s="177">
        <f t="shared" si="37"/>
        <v>0</v>
      </c>
      <c r="Q50" s="177">
        <f>IF($Q$19&gt;=B50, 0, IF(O50&gt;1, IF(ASS!$W$54=1,$Q$16/(($Q$17*2)-$Q$19), -PMT($Q$18/2,($Q$17*2-B49),O50,0)-P50), 0))</f>
        <v>0</v>
      </c>
      <c r="R50" s="178">
        <f t="shared" si="30"/>
        <v>0</v>
      </c>
      <c r="S50" s="176">
        <f t="shared" si="15"/>
        <v>0</v>
      </c>
      <c r="T50" s="177">
        <f t="shared" si="38"/>
        <v>0</v>
      </c>
      <c r="U50" s="177">
        <f>IF($U$19&gt;=B50, 0, IF(S50&gt;1, IF(ASS!$W$62=1,$U$16/(($U$17*2)-$U$19), -PMT($U$18/2,($U$17*2-B49),S50,0)-T50), 0))</f>
        <v>0</v>
      </c>
      <c r="V50" s="178">
        <f t="shared" si="31"/>
        <v>0</v>
      </c>
      <c r="W50" s="176">
        <f t="shared" si="17"/>
        <v>0</v>
      </c>
      <c r="X50" s="177">
        <f t="shared" si="39"/>
        <v>0</v>
      </c>
      <c r="Y50" s="177">
        <f>IF($Y$19&gt;=B50, 0, IF(W50&gt;1, IF(ASS!$W$70=1,$Y$16/(($Y$17*2)-$Y$19), -PMT($Y$18/2,($Y$17*2-B49),W50,0)-X50), 0))</f>
        <v>0</v>
      </c>
      <c r="Z50" s="178">
        <f t="shared" si="32"/>
        <v>0</v>
      </c>
      <c r="AA50" s="177">
        <f>SUM(D49:D50,H49:H50,L49:L50, P49:P50, T49:T50, X49:X50)</f>
        <v>0</v>
      </c>
      <c r="AB50" s="178">
        <f>SUM(E49:E50, I49:I50, M49:M50, Q49:Q50, U49:U50, Y49:Y50)</f>
        <v>0</v>
      </c>
    </row>
    <row r="51" spans="1:28" x14ac:dyDescent="0.2">
      <c r="A51" s="60">
        <f t="shared" si="41"/>
        <v>2015</v>
      </c>
      <c r="B51" s="61">
        <f t="shared" si="33"/>
        <v>28</v>
      </c>
      <c r="C51" s="173">
        <f t="shared" si="8"/>
        <v>0</v>
      </c>
      <c r="D51" s="174">
        <f t="shared" si="35"/>
        <v>0</v>
      </c>
      <c r="E51" s="174">
        <f>IF($E$19&gt;=B51, 0, IF(C51&gt;1, IF(ASS!$W$30=1,$E$16/(($E$17*2)-$E$19), -PMT($E$18/2,($E$17*2-B50),C51,0)-D51), 0))</f>
        <v>0</v>
      </c>
      <c r="F51" s="175">
        <f t="shared" si="34"/>
        <v>0</v>
      </c>
      <c r="G51" s="173">
        <f t="shared" si="9"/>
        <v>0</v>
      </c>
      <c r="H51" s="174">
        <f t="shared" si="36"/>
        <v>0</v>
      </c>
      <c r="I51" s="174">
        <f>IF($I$19&gt;=B51, 0, IF(G51&gt;1, IF(ASS!$W$38=1,$I$16/(($I$17*2)-$I$19), -PMT($I$18/2,($I$17*2-B50),G51,0)-H51), 0))</f>
        <v>0</v>
      </c>
      <c r="J51" s="175">
        <f t="shared" si="28"/>
        <v>0</v>
      </c>
      <c r="K51" s="173">
        <f t="shared" si="11"/>
        <v>0</v>
      </c>
      <c r="L51" s="174">
        <f t="shared" si="40"/>
        <v>0</v>
      </c>
      <c r="M51" s="174">
        <f>IF($M$19&gt;=B51, 0, IF(K51&gt;1, IF(ASS!$W$46=1,$M$16/(($M$17*2)-$M$19), -PMT($M$18/2,($M$17*2-B50),K51,0)-L51), 0))</f>
        <v>0</v>
      </c>
      <c r="N51" s="175">
        <f t="shared" si="29"/>
        <v>0</v>
      </c>
      <c r="O51" s="173">
        <f t="shared" si="13"/>
        <v>0</v>
      </c>
      <c r="P51" s="174">
        <f t="shared" si="37"/>
        <v>0</v>
      </c>
      <c r="Q51" s="174">
        <f>IF($Q$19&gt;=B51, 0, IF(O51&gt;1, IF(ASS!$W$54=1,$Q$16/(($Q$17*2)-$Q$19), -PMT($Q$18/2,($Q$17*2-B50),O51,0)-P51), 0))</f>
        <v>0</v>
      </c>
      <c r="R51" s="175">
        <f t="shared" si="30"/>
        <v>0</v>
      </c>
      <c r="S51" s="173">
        <f t="shared" si="15"/>
        <v>0</v>
      </c>
      <c r="T51" s="174">
        <f t="shared" si="38"/>
        <v>0</v>
      </c>
      <c r="U51" s="174">
        <f>IF($U$19&gt;=B51, 0, IF(S51&gt;1, IF(ASS!$W$62=1,$U$16/(($U$17*2)-$U$19), -PMT($U$18/2,($U$17*2-B50),S51,0)-T51), 0))</f>
        <v>0</v>
      </c>
      <c r="V51" s="175">
        <f t="shared" si="31"/>
        <v>0</v>
      </c>
      <c r="W51" s="173">
        <f t="shared" si="17"/>
        <v>0</v>
      </c>
      <c r="X51" s="174">
        <f t="shared" si="39"/>
        <v>0</v>
      </c>
      <c r="Y51" s="174">
        <f>IF($Y$19&gt;=B51, 0, IF(W51&gt;1, IF(ASS!$W$70=1,$Y$16/(($Y$17*2)-$Y$19), -PMT($Y$18/2,($Y$17*2-B50),W51,0)-X51), 0))</f>
        <v>0</v>
      </c>
      <c r="Z51" s="175">
        <f t="shared" si="32"/>
        <v>0</v>
      </c>
      <c r="AA51" s="174"/>
      <c r="AB51" s="175"/>
    </row>
    <row r="52" spans="1:28" x14ac:dyDescent="0.2">
      <c r="A52" s="71">
        <f>A51</f>
        <v>2015</v>
      </c>
      <c r="B52" s="72">
        <f t="shared" si="33"/>
        <v>29</v>
      </c>
      <c r="C52" s="176">
        <f t="shared" si="8"/>
        <v>0</v>
      </c>
      <c r="D52" s="177">
        <f t="shared" si="35"/>
        <v>0</v>
      </c>
      <c r="E52" s="177">
        <f>IF($E$19&gt;=B52, 0, IF(C52&gt;1, IF(ASS!$W$30=1,$E$16/(($E$17*2)-$E$19), -PMT($E$18/2,($E$17*2-B51),C52,0)-D52), 0))</f>
        <v>0</v>
      </c>
      <c r="F52" s="178">
        <f t="shared" si="34"/>
        <v>0</v>
      </c>
      <c r="G52" s="176">
        <f t="shared" si="9"/>
        <v>0</v>
      </c>
      <c r="H52" s="177">
        <f t="shared" si="36"/>
        <v>0</v>
      </c>
      <c r="I52" s="177">
        <f>IF($I$19&gt;=B52, 0, IF(G52&gt;1, IF(ASS!$W$38=1,$I$16/(($I$17*2)-$I$19), -PMT($I$18/2,($I$17*2-B51),G52,0)-H52), 0))</f>
        <v>0</v>
      </c>
      <c r="J52" s="178">
        <f t="shared" si="28"/>
        <v>0</v>
      </c>
      <c r="K52" s="176">
        <f t="shared" si="11"/>
        <v>0</v>
      </c>
      <c r="L52" s="177">
        <f t="shared" si="40"/>
        <v>0</v>
      </c>
      <c r="M52" s="177">
        <f>IF($M$19&gt;=B52, 0, IF(K52&gt;1, IF(ASS!$W$46=1,$M$16/(($M$17*2)-$M$19), -PMT($M$18/2,($M$17*2-B51),K52,0)-L52), 0))</f>
        <v>0</v>
      </c>
      <c r="N52" s="178">
        <f t="shared" si="29"/>
        <v>0</v>
      </c>
      <c r="O52" s="176">
        <f t="shared" si="13"/>
        <v>0</v>
      </c>
      <c r="P52" s="177">
        <f t="shared" si="37"/>
        <v>0</v>
      </c>
      <c r="Q52" s="177">
        <f>IF($Q$19&gt;=B52, 0, IF(O52&gt;1, IF(ASS!$W$54=1,$Q$16/(($Q$17*2)-$Q$19), -PMT($Q$18/2,($Q$17*2-B51),O52,0)-P52), 0))</f>
        <v>0</v>
      </c>
      <c r="R52" s="178">
        <f t="shared" si="30"/>
        <v>0</v>
      </c>
      <c r="S52" s="176">
        <f t="shared" si="15"/>
        <v>0</v>
      </c>
      <c r="T52" s="177">
        <f t="shared" si="38"/>
        <v>0</v>
      </c>
      <c r="U52" s="177">
        <f>IF($U$19&gt;=B52, 0, IF(S52&gt;1, IF(ASS!$W$62=1,$U$16/(($U$17*2)-$U$19), -PMT($U$18/2,($U$17*2-B51),S52,0)-T52), 0))</f>
        <v>0</v>
      </c>
      <c r="V52" s="178">
        <f t="shared" si="31"/>
        <v>0</v>
      </c>
      <c r="W52" s="176">
        <f t="shared" si="17"/>
        <v>0</v>
      </c>
      <c r="X52" s="177">
        <f t="shared" si="39"/>
        <v>0</v>
      </c>
      <c r="Y52" s="177">
        <f>IF($Y$19&gt;=B52, 0, IF(W52&gt;1, IF(ASS!$W$70=1,$Y$16/(($Y$17*2)-$Y$19), -PMT($Y$18/2,($Y$17*2-B51),W52,0)-X52), 0))</f>
        <v>0</v>
      </c>
      <c r="Z52" s="178">
        <f t="shared" si="32"/>
        <v>0</v>
      </c>
      <c r="AA52" s="177">
        <f>SUM(D51:D52,H51:H52,L51:L52, P51:P52, T51:T52, X51:X52)</f>
        <v>0</v>
      </c>
      <c r="AB52" s="178">
        <f>SUM(E51:E52, I51:I52, M51:M52, Q51:Q52, U51:U52, Y51:Y52)</f>
        <v>0</v>
      </c>
    </row>
    <row r="53" spans="1:28" x14ac:dyDescent="0.2">
      <c r="A53" s="60">
        <f t="shared" si="41"/>
        <v>2016</v>
      </c>
      <c r="B53" s="61">
        <f t="shared" si="33"/>
        <v>30</v>
      </c>
      <c r="C53" s="173">
        <f t="shared" si="8"/>
        <v>0</v>
      </c>
      <c r="D53" s="174">
        <f t="shared" si="35"/>
        <v>0</v>
      </c>
      <c r="E53" s="174">
        <f>IF($E$19&gt;=B53, 0, IF(C53&gt;1, IF(ASS!$W$30=1,$E$16/(($E$17*2)-$E$19), -PMT($E$18/2,($E$17*2-B52),C53,0)-D53), 0))</f>
        <v>0</v>
      </c>
      <c r="F53" s="175">
        <f t="shared" si="34"/>
        <v>0</v>
      </c>
      <c r="G53" s="173">
        <f t="shared" si="9"/>
        <v>0</v>
      </c>
      <c r="H53" s="174">
        <f t="shared" si="36"/>
        <v>0</v>
      </c>
      <c r="I53" s="174">
        <f>IF($I$19&gt;=B53, 0, IF(G53&gt;1, IF(ASS!$W$38=1,$I$16/(($I$17*2)-$I$19), -PMT($I$18/2,($I$17*2-B52),G53,0)-H53), 0))</f>
        <v>0</v>
      </c>
      <c r="J53" s="175">
        <f t="shared" si="28"/>
        <v>0</v>
      </c>
      <c r="K53" s="173">
        <f t="shared" si="11"/>
        <v>0</v>
      </c>
      <c r="L53" s="174">
        <f t="shared" si="40"/>
        <v>0</v>
      </c>
      <c r="M53" s="174">
        <f>IF($M$19&gt;=B53, 0, IF(K53&gt;1, IF(ASS!$W$46=1,$M$16/(($M$17*2)-$M$19), -PMT($M$18/2,($M$17*2-B52),K53,0)-L53), 0))</f>
        <v>0</v>
      </c>
      <c r="N53" s="175">
        <f t="shared" si="29"/>
        <v>0</v>
      </c>
      <c r="O53" s="173">
        <f t="shared" si="13"/>
        <v>0</v>
      </c>
      <c r="P53" s="174">
        <f t="shared" si="37"/>
        <v>0</v>
      </c>
      <c r="Q53" s="174">
        <f>IF($Q$19&gt;=B53, 0, IF(O53&gt;1, IF(ASS!$W$54=1,$Q$16/(($Q$17*2)-$Q$19), -PMT($Q$18/2,($Q$17*2-B52),O53,0)-P53), 0))</f>
        <v>0</v>
      </c>
      <c r="R53" s="175">
        <f t="shared" si="30"/>
        <v>0</v>
      </c>
      <c r="S53" s="173">
        <f t="shared" si="15"/>
        <v>0</v>
      </c>
      <c r="T53" s="174">
        <f t="shared" si="38"/>
        <v>0</v>
      </c>
      <c r="U53" s="174">
        <f>IF($U$19&gt;=B53, 0, IF(S53&gt;1, IF(ASS!$W$62=1,$U$16/(($U$17*2)-$U$19), -PMT($U$18/2,($U$17*2-B52),S53,0)-T53), 0))</f>
        <v>0</v>
      </c>
      <c r="V53" s="175">
        <f t="shared" si="31"/>
        <v>0</v>
      </c>
      <c r="W53" s="173">
        <f t="shared" si="17"/>
        <v>0</v>
      </c>
      <c r="X53" s="174">
        <f t="shared" si="39"/>
        <v>0</v>
      </c>
      <c r="Y53" s="174">
        <f>IF($Y$19&gt;=B53, 0, IF(W53&gt;1, IF(ASS!$W$70=1,$Y$16/(($Y$17*2)-$Y$19), -PMT($Y$18/2,($Y$17*2-B52),W53,0)-X53), 0))</f>
        <v>0</v>
      </c>
      <c r="Z53" s="175">
        <f t="shared" si="32"/>
        <v>0</v>
      </c>
      <c r="AA53" s="174"/>
      <c r="AB53" s="175"/>
    </row>
    <row r="54" spans="1:28" x14ac:dyDescent="0.2">
      <c r="A54" s="71">
        <f>A53</f>
        <v>2016</v>
      </c>
      <c r="B54" s="72">
        <f t="shared" si="33"/>
        <v>31</v>
      </c>
      <c r="C54" s="176">
        <f t="shared" si="8"/>
        <v>0</v>
      </c>
      <c r="D54" s="177">
        <f t="shared" si="35"/>
        <v>0</v>
      </c>
      <c r="E54" s="177">
        <f>IF($E$19&gt;=B54, 0, IF(C54&gt;1, IF(ASS!$W$30=1,$E$16/(($E$17*2)-$E$19), -PMT($E$18/2,($E$17*2-B53),C54,0)-D54), 0))</f>
        <v>0</v>
      </c>
      <c r="F54" s="178">
        <f t="shared" si="34"/>
        <v>0</v>
      </c>
      <c r="G54" s="176">
        <f t="shared" si="9"/>
        <v>0</v>
      </c>
      <c r="H54" s="177">
        <f t="shared" si="36"/>
        <v>0</v>
      </c>
      <c r="I54" s="177">
        <f>IF($I$19&gt;=B54, 0, IF(G54&gt;1, IF(ASS!$W$38=1,$I$16/(($I$17*2)-$I$19), -PMT($I$18/2,($I$17*2-B53),G54,0)-H54), 0))</f>
        <v>0</v>
      </c>
      <c r="J54" s="178">
        <f t="shared" si="28"/>
        <v>0</v>
      </c>
      <c r="K54" s="176">
        <f t="shared" si="11"/>
        <v>0</v>
      </c>
      <c r="L54" s="177">
        <f t="shared" si="40"/>
        <v>0</v>
      </c>
      <c r="M54" s="177">
        <f>IF($M$19&gt;=B54, 0, IF(K54&gt;1, IF(ASS!$W$46=1,$M$16/(($M$17*2)-$M$19), -PMT($M$18/2,($M$17*2-B53),K54,0)-L54), 0))</f>
        <v>0</v>
      </c>
      <c r="N54" s="178">
        <f t="shared" si="29"/>
        <v>0</v>
      </c>
      <c r="O54" s="176">
        <f t="shared" si="13"/>
        <v>0</v>
      </c>
      <c r="P54" s="177">
        <f t="shared" si="37"/>
        <v>0</v>
      </c>
      <c r="Q54" s="177">
        <f>IF($Q$19&gt;=B54, 0, IF(O54&gt;1, IF(ASS!$W$54=1,$Q$16/(($Q$17*2)-$Q$19), -PMT($Q$18/2,($Q$17*2-B53),O54,0)-P54), 0))</f>
        <v>0</v>
      </c>
      <c r="R54" s="178">
        <f t="shared" si="30"/>
        <v>0</v>
      </c>
      <c r="S54" s="176">
        <f t="shared" si="15"/>
        <v>0</v>
      </c>
      <c r="T54" s="177">
        <f t="shared" si="38"/>
        <v>0</v>
      </c>
      <c r="U54" s="177">
        <f>IF($U$19&gt;=B54, 0, IF(S54&gt;1, IF(ASS!$W$62=1,$U$16/(($U$17*2)-$U$19), -PMT($U$18/2,($U$17*2-B53),S54,0)-T54), 0))</f>
        <v>0</v>
      </c>
      <c r="V54" s="178">
        <f t="shared" si="31"/>
        <v>0</v>
      </c>
      <c r="W54" s="176">
        <f t="shared" si="17"/>
        <v>0</v>
      </c>
      <c r="X54" s="177">
        <f t="shared" si="39"/>
        <v>0</v>
      </c>
      <c r="Y54" s="177">
        <f>IF($Y$19&gt;=B54, 0, IF(W54&gt;1, IF(ASS!$W$70=1,$Y$16/(($Y$17*2)-$Y$19), -PMT($Y$18/2,($Y$17*2-B53),W54,0)-X54), 0))</f>
        <v>0</v>
      </c>
      <c r="Z54" s="178">
        <f t="shared" si="32"/>
        <v>0</v>
      </c>
      <c r="AA54" s="177">
        <f>SUM(D53:D54,H53:H54,L53:L54, P53:P54, T53:T54, X53:X54)</f>
        <v>0</v>
      </c>
      <c r="AB54" s="178">
        <f>SUM(E53:E54, I53:I54, M53:M54, Q53:Q54, U53:U54, Y53:Y54)</f>
        <v>0</v>
      </c>
    </row>
    <row r="55" spans="1:28" x14ac:dyDescent="0.2">
      <c r="A55" s="60">
        <f t="shared" si="41"/>
        <v>2017</v>
      </c>
      <c r="B55" s="61">
        <f t="shared" si="33"/>
        <v>32</v>
      </c>
      <c r="C55" s="173">
        <f t="shared" si="8"/>
        <v>0</v>
      </c>
      <c r="D55" s="174">
        <f t="shared" si="35"/>
        <v>0</v>
      </c>
      <c r="E55" s="174">
        <f>IF($E$19&gt;=B55, 0, IF(C55&gt;1, IF(ASS!$W$30=1,$E$16/(($E$17*2)-$E$19), -PMT($E$18/2,($E$17*2-B54),C55,0)-D55), 0))</f>
        <v>0</v>
      </c>
      <c r="F55" s="175">
        <f t="shared" si="34"/>
        <v>0</v>
      </c>
      <c r="G55" s="173">
        <f t="shared" si="9"/>
        <v>0</v>
      </c>
      <c r="H55" s="174">
        <f t="shared" si="36"/>
        <v>0</v>
      </c>
      <c r="I55" s="174">
        <f>IF($I$19&gt;=B55, 0, IF(G55&gt;1, IF(ASS!$W$38=1,$I$16/(($I$17*2)-$I$19), -PMT($I$18/2,($I$17*2-B54),G55,0)-H55), 0))</f>
        <v>0</v>
      </c>
      <c r="J55" s="175">
        <f t="shared" si="28"/>
        <v>0</v>
      </c>
      <c r="K55" s="173">
        <f t="shared" si="11"/>
        <v>0</v>
      </c>
      <c r="L55" s="174">
        <f t="shared" si="40"/>
        <v>0</v>
      </c>
      <c r="M55" s="174">
        <f>IF($M$19&gt;=B55, 0, IF(K55&gt;1, IF(ASS!$W$46=1,$M$16/(($M$17*2)-$M$19), -PMT($M$18/2,($M$17*2-B54),K55,0)-L55), 0))</f>
        <v>0</v>
      </c>
      <c r="N55" s="175">
        <f t="shared" si="29"/>
        <v>0</v>
      </c>
      <c r="O55" s="173">
        <f t="shared" si="13"/>
        <v>0</v>
      </c>
      <c r="P55" s="174">
        <f t="shared" si="37"/>
        <v>0</v>
      </c>
      <c r="Q55" s="174">
        <f>IF($Q$19&gt;=B55, 0, IF(O55&gt;1, IF(ASS!$W$54=1,$Q$16/(($Q$17*2)-$Q$19), -PMT($Q$18/2,($Q$17*2-B54),O55,0)-P55), 0))</f>
        <v>0</v>
      </c>
      <c r="R55" s="175">
        <f t="shared" si="30"/>
        <v>0</v>
      </c>
      <c r="S55" s="173">
        <f t="shared" si="15"/>
        <v>0</v>
      </c>
      <c r="T55" s="174">
        <f t="shared" si="38"/>
        <v>0</v>
      </c>
      <c r="U55" s="174">
        <f>IF($U$19&gt;=B55, 0, IF(S55&gt;1, IF(ASS!$W$62=1,$U$16/(($U$17*2)-$U$19), -PMT($U$18/2,($U$17*2-B54),S55,0)-T55), 0))</f>
        <v>0</v>
      </c>
      <c r="V55" s="175">
        <f t="shared" si="31"/>
        <v>0</v>
      </c>
      <c r="W55" s="173">
        <f t="shared" si="17"/>
        <v>0</v>
      </c>
      <c r="X55" s="174">
        <f t="shared" si="39"/>
        <v>0</v>
      </c>
      <c r="Y55" s="174">
        <f>IF($Y$19&gt;=B55, 0, IF(W55&gt;1, IF(ASS!$W$70=1,$Y$16/(($Y$17*2)-$Y$19), -PMT($Y$18/2,($Y$17*2-B54),W55,0)-X55), 0))</f>
        <v>0</v>
      </c>
      <c r="Z55" s="175">
        <f t="shared" si="32"/>
        <v>0</v>
      </c>
      <c r="AA55" s="174"/>
      <c r="AB55" s="175"/>
    </row>
    <row r="56" spans="1:28" x14ac:dyDescent="0.2">
      <c r="A56" s="71">
        <f>A55</f>
        <v>2017</v>
      </c>
      <c r="B56" s="72">
        <f t="shared" si="33"/>
        <v>33</v>
      </c>
      <c r="C56" s="176">
        <f t="shared" si="8"/>
        <v>0</v>
      </c>
      <c r="D56" s="177">
        <f t="shared" si="35"/>
        <v>0</v>
      </c>
      <c r="E56" s="177">
        <f>IF($E$19&gt;=B56, 0, IF(C56&gt;1, IF(ASS!$W$30=1,$E$16/(($E$17*2)-$E$19), -PMT($E$18/2,($E$17*2-B55),C56,0)-D56), 0))</f>
        <v>0</v>
      </c>
      <c r="F56" s="178">
        <f t="shared" si="34"/>
        <v>0</v>
      </c>
      <c r="G56" s="176">
        <f t="shared" si="9"/>
        <v>0</v>
      </c>
      <c r="H56" s="177">
        <f t="shared" si="36"/>
        <v>0</v>
      </c>
      <c r="I56" s="177">
        <f>IF($I$19&gt;=B56, 0, IF(G56&gt;1, IF(ASS!$W$38=1,$I$16/(($I$17*2)-$I$19), -PMT($I$18/2,($I$17*2-B55),G56,0)-H56), 0))</f>
        <v>0</v>
      </c>
      <c r="J56" s="178">
        <f t="shared" ref="J56:J62" si="42">G56-I56</f>
        <v>0</v>
      </c>
      <c r="K56" s="176">
        <f t="shared" si="11"/>
        <v>0</v>
      </c>
      <c r="L56" s="177">
        <f t="shared" si="40"/>
        <v>0</v>
      </c>
      <c r="M56" s="177">
        <f>IF($M$19&gt;=B56, 0, IF(K56&gt;1, IF(ASS!$W$46=1,$M$16/(($M$17*2)-$M$19), -PMT($M$18/2,($M$17*2-B55),K56,0)-L56), 0))</f>
        <v>0</v>
      </c>
      <c r="N56" s="178">
        <f t="shared" ref="N56:N62" si="43">K56-M56</f>
        <v>0</v>
      </c>
      <c r="O56" s="176">
        <f t="shared" si="13"/>
        <v>0</v>
      </c>
      <c r="P56" s="177">
        <f t="shared" si="37"/>
        <v>0</v>
      </c>
      <c r="Q56" s="177">
        <f>IF($Q$19&gt;=B56, 0, IF(O56&gt;1, IF(ASS!$W$54=1,$Q$16/(($Q$17*2)-$Q$19), -PMT($Q$18/2,($Q$17*2-B55),O56,0)-P56), 0))</f>
        <v>0</v>
      </c>
      <c r="R56" s="178">
        <f t="shared" ref="R56:R62" si="44">O56-Q56</f>
        <v>0</v>
      </c>
      <c r="S56" s="176">
        <f t="shared" si="15"/>
        <v>0</v>
      </c>
      <c r="T56" s="177">
        <f t="shared" si="38"/>
        <v>0</v>
      </c>
      <c r="U56" s="177">
        <f>IF($U$19&gt;=B56, 0, IF(S56&gt;1, IF(ASS!$W$62=1,$U$16/(($U$17*2)-$U$19), -PMT($U$18/2,($U$17*2-B55),S56,0)-T56), 0))</f>
        <v>0</v>
      </c>
      <c r="V56" s="178">
        <f t="shared" ref="V56:V62" si="45">S56-U56</f>
        <v>0</v>
      </c>
      <c r="W56" s="176">
        <f t="shared" si="17"/>
        <v>0</v>
      </c>
      <c r="X56" s="177">
        <f t="shared" si="39"/>
        <v>0</v>
      </c>
      <c r="Y56" s="177">
        <f>IF($Y$19&gt;=B56, 0, IF(W56&gt;1, IF(ASS!$W$70=1,$Y$16/(($Y$17*2)-$Y$19), -PMT($Y$18/2,($Y$17*2-B55),W56,0)-X56), 0))</f>
        <v>0</v>
      </c>
      <c r="Z56" s="178">
        <f t="shared" ref="Z56:Z62" si="46">W56-Y56</f>
        <v>0</v>
      </c>
      <c r="AA56" s="177">
        <f>SUM(D55:D56,H55:H56,L55:L56, P55:P56, T55:T56, X55:X56)</f>
        <v>0</v>
      </c>
      <c r="AB56" s="178">
        <f>SUM(E55:E56, I55:I56, M55:M56, Q55:Q56, U55:U56, Y55:Y56)</f>
        <v>0</v>
      </c>
    </row>
    <row r="57" spans="1:28" x14ac:dyDescent="0.2">
      <c r="A57" s="60">
        <f t="shared" si="41"/>
        <v>2018</v>
      </c>
      <c r="B57" s="61">
        <f t="shared" ref="B57:B62" si="47">B56+1</f>
        <v>34</v>
      </c>
      <c r="C57" s="173">
        <f t="shared" si="8"/>
        <v>0</v>
      </c>
      <c r="D57" s="174">
        <f t="shared" si="35"/>
        <v>0</v>
      </c>
      <c r="E57" s="174">
        <f>IF($E$19&gt;=B57, 0, IF(C57&gt;1, IF(ASS!$W$30=1,$E$16/(($E$17*2)-$E$19), -PMT($E$18/2,($E$17*2-B56),C57,0)-D57), 0))</f>
        <v>0</v>
      </c>
      <c r="F57" s="175">
        <f t="shared" ref="F57:F62" si="48">C57-E57</f>
        <v>0</v>
      </c>
      <c r="G57" s="173">
        <f t="shared" si="9"/>
        <v>0</v>
      </c>
      <c r="H57" s="174">
        <f t="shared" si="36"/>
        <v>0</v>
      </c>
      <c r="I57" s="174">
        <f>IF($I$19&gt;=B57, 0, IF(G57&gt;1, IF(ASS!$W$38=1,$I$16/(($I$17*2)-$I$19), -PMT($I$18/2,($I$17*2-B56),G57,0)-H57), 0))</f>
        <v>0</v>
      </c>
      <c r="J57" s="175">
        <f t="shared" si="42"/>
        <v>0</v>
      </c>
      <c r="K57" s="173">
        <f t="shared" si="11"/>
        <v>0</v>
      </c>
      <c r="L57" s="174">
        <f t="shared" si="40"/>
        <v>0</v>
      </c>
      <c r="M57" s="174">
        <f>IF($M$19&gt;=B57, 0, IF(K57&gt;1, IF(ASS!$W$46=1,$M$16/(($M$17*2)-$M$19), -PMT($M$18/2,($M$17*2-B56),K57,0)-L57), 0))</f>
        <v>0</v>
      </c>
      <c r="N57" s="175">
        <f t="shared" si="43"/>
        <v>0</v>
      </c>
      <c r="O57" s="173">
        <f t="shared" si="13"/>
        <v>0</v>
      </c>
      <c r="P57" s="174">
        <f t="shared" si="37"/>
        <v>0</v>
      </c>
      <c r="Q57" s="174">
        <f>IF($Q$19&gt;=B57, 0, IF(O57&gt;1, IF(ASS!$W$54=1,$Q$16/(($Q$17*2)-$Q$19), -PMT($Q$18/2,($Q$17*2-B56),O57,0)-P57), 0))</f>
        <v>0</v>
      </c>
      <c r="R57" s="175">
        <f t="shared" si="44"/>
        <v>0</v>
      </c>
      <c r="S57" s="173">
        <f t="shared" si="15"/>
        <v>0</v>
      </c>
      <c r="T57" s="174">
        <f t="shared" si="38"/>
        <v>0</v>
      </c>
      <c r="U57" s="174">
        <f>IF($U$19&gt;=B57, 0, IF(S57&gt;1, IF(ASS!$W$62=1,$U$16/(($U$17*2)-$U$19), -PMT($U$18/2,($U$17*2-B56),S57,0)-T57), 0))</f>
        <v>0</v>
      </c>
      <c r="V57" s="175">
        <f t="shared" si="45"/>
        <v>0</v>
      </c>
      <c r="W57" s="173">
        <f t="shared" si="17"/>
        <v>0</v>
      </c>
      <c r="X57" s="174">
        <f t="shared" si="39"/>
        <v>0</v>
      </c>
      <c r="Y57" s="174">
        <f>IF($Y$19&gt;=B57, 0, IF(W57&gt;1, IF(ASS!$W$70=1,$Y$16/(($Y$17*2)-$Y$19), -PMT($Y$18/2,($Y$17*2-B56),W57,0)-X57), 0))</f>
        <v>0</v>
      </c>
      <c r="Z57" s="175">
        <f t="shared" si="46"/>
        <v>0</v>
      </c>
      <c r="AA57" s="174"/>
      <c r="AB57" s="175"/>
    </row>
    <row r="58" spans="1:28" x14ac:dyDescent="0.2">
      <c r="A58" s="71">
        <f>A57</f>
        <v>2018</v>
      </c>
      <c r="B58" s="72">
        <f t="shared" si="47"/>
        <v>35</v>
      </c>
      <c r="C58" s="176">
        <f t="shared" si="8"/>
        <v>0</v>
      </c>
      <c r="D58" s="177">
        <f>C58*$E$18*0.5</f>
        <v>0</v>
      </c>
      <c r="E58" s="177">
        <f>IF($E$19&gt;=B58, 0, IF(C58&gt;1, IF(ASS!$W$30=1,$E$16/(($E$17*2)-$E$19), -PMT($E$18/2,($E$17*2-B57),C58,0)-D58), 0))</f>
        <v>0</v>
      </c>
      <c r="F58" s="178">
        <f t="shared" si="48"/>
        <v>0</v>
      </c>
      <c r="G58" s="176">
        <f t="shared" si="9"/>
        <v>0</v>
      </c>
      <c r="H58" s="177">
        <f>G58*$I$18*0.5</f>
        <v>0</v>
      </c>
      <c r="I58" s="177">
        <f>IF($I$19&gt;=B58, 0, IF(G58&gt;1, IF(ASS!$W$38=1,$I$16/(($I$17*2)-$I$19), -PMT($I$18/2,($I$17*2-B57),G58,0)-H58), 0))</f>
        <v>0</v>
      </c>
      <c r="J58" s="178">
        <f t="shared" si="42"/>
        <v>0</v>
      </c>
      <c r="K58" s="176">
        <f t="shared" si="11"/>
        <v>0</v>
      </c>
      <c r="L58" s="177">
        <f t="shared" si="40"/>
        <v>0</v>
      </c>
      <c r="M58" s="177">
        <f>IF($M$19&gt;=B58, 0, IF(K58&gt;1, IF(ASS!$W$46=1,$M$16/(($M$17*2)-$M$19), -PMT($M$18/2,($M$17*2-B57),K58,0)-L58), 0))</f>
        <v>0</v>
      </c>
      <c r="N58" s="178">
        <f t="shared" si="43"/>
        <v>0</v>
      </c>
      <c r="O58" s="176">
        <f t="shared" si="13"/>
        <v>0</v>
      </c>
      <c r="P58" s="177">
        <f>O58*$Q$18*0.5</f>
        <v>0</v>
      </c>
      <c r="Q58" s="177">
        <f>IF($Q$19&gt;=B58, 0, IF(O58&gt;1, IF(ASS!$W$54=1,$Q$16/(($Q$17*2)-$Q$19), -PMT($Q$18/2,($Q$17*2-B57),O58,0)-P58), 0))</f>
        <v>0</v>
      </c>
      <c r="R58" s="178">
        <f t="shared" si="44"/>
        <v>0</v>
      </c>
      <c r="S58" s="176">
        <f t="shared" si="15"/>
        <v>0</v>
      </c>
      <c r="T58" s="177">
        <f>S58*$U$18*0.5</f>
        <v>0</v>
      </c>
      <c r="U58" s="177">
        <f>IF($U$19&gt;=B58, 0, IF(S58&gt;1, IF(ASS!$W$62=1,$U$16/(($U$17*2)-$U$19), -PMT($U$18/2,($U$17*2-B57),S58,0)-T58), 0))</f>
        <v>0</v>
      </c>
      <c r="V58" s="178">
        <f t="shared" si="45"/>
        <v>0</v>
      </c>
      <c r="W58" s="176">
        <f t="shared" si="17"/>
        <v>0</v>
      </c>
      <c r="X58" s="177">
        <f>W58*$Y$18*0.5</f>
        <v>0</v>
      </c>
      <c r="Y58" s="177">
        <f>IF($Y$19&gt;=B58, 0, IF(W58&gt;1, IF(ASS!$W$70=1,$Y$16/(($Y$17*2)-$Y$19), -PMT($Y$18/2,($Y$17*2-B57),W58,0)-X58), 0))</f>
        <v>0</v>
      </c>
      <c r="Z58" s="178">
        <f t="shared" si="46"/>
        <v>0</v>
      </c>
      <c r="AA58" s="177">
        <f>SUM(D57:D58,H57:H58,L57:L58, P57:P58, T57:T58, X57:X58)</f>
        <v>0</v>
      </c>
      <c r="AB58" s="178">
        <f>SUM(E57:E58, I57:I58, M57:M58, Q57:Q58, U57:U58, Y57:Y58)</f>
        <v>0</v>
      </c>
    </row>
    <row r="59" spans="1:28" x14ac:dyDescent="0.2">
      <c r="A59" s="60">
        <f t="shared" si="41"/>
        <v>2019</v>
      </c>
      <c r="B59" s="61">
        <f t="shared" si="47"/>
        <v>36</v>
      </c>
      <c r="C59" s="173">
        <f t="shared" si="8"/>
        <v>0</v>
      </c>
      <c r="D59" s="174">
        <f>C59*$E$18*0.5</f>
        <v>0</v>
      </c>
      <c r="E59" s="174">
        <f>IF($E$19&gt;=B59, 0, IF(C59&gt;1, IF(ASS!$W$30=1,$E$16/(($E$17*2)-$E$19), -PMT($E$18/2,($E$17*2-B58),C59,0)-D59), 0))</f>
        <v>0</v>
      </c>
      <c r="F59" s="175">
        <f t="shared" si="48"/>
        <v>0</v>
      </c>
      <c r="G59" s="173">
        <f t="shared" si="9"/>
        <v>0</v>
      </c>
      <c r="H59" s="174">
        <f>G59*$I$18*0.5</f>
        <v>0</v>
      </c>
      <c r="I59" s="174">
        <f>IF($I$19&gt;=B59, 0, IF(G59&gt;1, IF(ASS!$W$38=1,$I$16/(($I$17*2)-$I$19), -PMT($I$18/2,($I$17*2-B58),G59,0)-H59), 0))</f>
        <v>0</v>
      </c>
      <c r="J59" s="175">
        <f t="shared" si="42"/>
        <v>0</v>
      </c>
      <c r="K59" s="173">
        <f t="shared" si="11"/>
        <v>0</v>
      </c>
      <c r="L59" s="174">
        <f>K59*$M$18*0.5</f>
        <v>0</v>
      </c>
      <c r="M59" s="174">
        <f>IF($M$19&gt;=B59, 0, IF(K59&gt;1, IF(ASS!$W$46=1,$M$16/(($M$17*2)-$M$19), -PMT($M$18/2,($M$17*2-B58),K59,0)-L59), 0))</f>
        <v>0</v>
      </c>
      <c r="N59" s="175">
        <f t="shared" si="43"/>
        <v>0</v>
      </c>
      <c r="O59" s="173">
        <f t="shared" si="13"/>
        <v>0</v>
      </c>
      <c r="P59" s="174">
        <f>O59*$Q$18*0.5</f>
        <v>0</v>
      </c>
      <c r="Q59" s="174">
        <f>IF($Q$19&gt;=B59, 0, IF(O59&gt;1, IF(ASS!$W$54=1,$Q$16/(($Q$17*2)-$Q$19), -PMT($Q$18/2,($Q$17*2-B58),O59,0)-P59), 0))</f>
        <v>0</v>
      </c>
      <c r="R59" s="175">
        <f t="shared" si="44"/>
        <v>0</v>
      </c>
      <c r="S59" s="173">
        <f t="shared" si="15"/>
        <v>0</v>
      </c>
      <c r="T59" s="174">
        <f>S59*$U$18*0.5</f>
        <v>0</v>
      </c>
      <c r="U59" s="174">
        <f>IF($U$19&gt;=B59, 0, IF(S59&gt;1, IF(ASS!$W$62=1,$U$16/(($U$17*2)-$U$19), -PMT($U$18/2,($U$17*2-B58),S59,0)-T59), 0))</f>
        <v>0</v>
      </c>
      <c r="V59" s="175">
        <f t="shared" si="45"/>
        <v>0</v>
      </c>
      <c r="W59" s="173">
        <f t="shared" si="17"/>
        <v>0</v>
      </c>
      <c r="X59" s="174">
        <f>W59*$Y$18*0.5</f>
        <v>0</v>
      </c>
      <c r="Y59" s="174">
        <f>IF($Y$19&gt;=B59, 0, IF(W59&gt;1, IF(ASS!$W$70=1,$Y$16/(($Y$17*2)-$Y$19), -PMT($Y$18/2,($Y$17*2-B58),W59,0)-X59), 0))</f>
        <v>0</v>
      </c>
      <c r="Z59" s="175">
        <f t="shared" si="46"/>
        <v>0</v>
      </c>
      <c r="AA59" s="174"/>
      <c r="AB59" s="175"/>
    </row>
    <row r="60" spans="1:28" x14ac:dyDescent="0.2">
      <c r="A60" s="71">
        <f>A59</f>
        <v>2019</v>
      </c>
      <c r="B60" s="72">
        <f t="shared" si="47"/>
        <v>37</v>
      </c>
      <c r="C60" s="176">
        <f t="shared" si="8"/>
        <v>0</v>
      </c>
      <c r="D60" s="177">
        <f>C60*$E$18*0.5</f>
        <v>0</v>
      </c>
      <c r="E60" s="177">
        <f>IF($E$19&gt;=B60, 0, IF(C60&gt;1, IF(ASS!$W$30=1,$E$16/(($E$17*2)-$E$19), -PMT($E$18/2,($E$17*2-B59),C60,0)-D60), 0))</f>
        <v>0</v>
      </c>
      <c r="F60" s="178">
        <f t="shared" si="48"/>
        <v>0</v>
      </c>
      <c r="G60" s="176">
        <f t="shared" si="9"/>
        <v>0</v>
      </c>
      <c r="H60" s="177">
        <f>G60*$I$18*0.5</f>
        <v>0</v>
      </c>
      <c r="I60" s="177">
        <f>IF($I$19&gt;=B60, 0, IF(G60&gt;1, IF(ASS!$W$38=1,$I$16/(($I$17*2)-$I$19), -PMT($I$18/2,($I$17*2-B59),G60,0)-H60), 0))</f>
        <v>0</v>
      </c>
      <c r="J60" s="178">
        <f t="shared" si="42"/>
        <v>0</v>
      </c>
      <c r="K60" s="176">
        <f t="shared" si="11"/>
        <v>0</v>
      </c>
      <c r="L60" s="177">
        <f>K60*$M$18*0.5</f>
        <v>0</v>
      </c>
      <c r="M60" s="177">
        <f>IF($M$19&gt;=B60, 0, IF(K60&gt;1, IF(ASS!$W$46=1,$M$16/(($M$17*2)-$M$19), -PMT($M$18/2,($M$17*2-B59),K60,0)-L60), 0))</f>
        <v>0</v>
      </c>
      <c r="N60" s="178">
        <f t="shared" si="43"/>
        <v>0</v>
      </c>
      <c r="O60" s="176">
        <f t="shared" si="13"/>
        <v>0</v>
      </c>
      <c r="P60" s="177">
        <f>O60*$Q$18*0.5</f>
        <v>0</v>
      </c>
      <c r="Q60" s="177">
        <f>IF($Q$19&gt;=B60, 0, IF(O60&gt;1, IF(ASS!$W$54=1,$Q$16/(($Q$17*2)-$Q$19), -PMT($Q$18/2,($Q$17*2-B59),O60,0)-P60), 0))</f>
        <v>0</v>
      </c>
      <c r="R60" s="178">
        <f t="shared" si="44"/>
        <v>0</v>
      </c>
      <c r="S60" s="176">
        <f t="shared" si="15"/>
        <v>0</v>
      </c>
      <c r="T60" s="177">
        <f>S60*$U$18*0.5</f>
        <v>0</v>
      </c>
      <c r="U60" s="177">
        <f>IF($U$19&gt;=B60, 0, IF(S60&gt;1, IF(ASS!$W$62=1,$U$16/(($U$17*2)-$U$19), -PMT($U$18/2,($U$17*2-B59),S60,0)-T60), 0))</f>
        <v>0</v>
      </c>
      <c r="V60" s="178">
        <f t="shared" si="45"/>
        <v>0</v>
      </c>
      <c r="W60" s="176">
        <f t="shared" si="17"/>
        <v>0</v>
      </c>
      <c r="X60" s="177">
        <f>W60*$Y$18*0.5</f>
        <v>0</v>
      </c>
      <c r="Y60" s="177">
        <f>IF($Y$19&gt;=B60, 0, IF(W60&gt;1, IF(ASS!$W$70=1,$Y$16/(($Y$17*2)-$Y$19), -PMT($Y$18/2,($Y$17*2-B59),W60,0)-X60), 0))</f>
        <v>0</v>
      </c>
      <c r="Z60" s="178">
        <f t="shared" si="46"/>
        <v>0</v>
      </c>
      <c r="AA60" s="177">
        <f>SUM(D59:D60,H59:H60,L59:L60, P59:P60, T59:T60, X59:X60)</f>
        <v>0</v>
      </c>
      <c r="AB60" s="178">
        <f>SUM(E59:E60, I59:I60, M59:M60, Q59:Q60, U59:U60, Y59:Y60)</f>
        <v>0</v>
      </c>
    </row>
    <row r="61" spans="1:28" x14ac:dyDescent="0.2">
      <c r="A61" s="60">
        <f>A59+1</f>
        <v>2020</v>
      </c>
      <c r="B61" s="61">
        <f t="shared" si="47"/>
        <v>38</v>
      </c>
      <c r="C61" s="173">
        <f t="shared" si="8"/>
        <v>0</v>
      </c>
      <c r="D61" s="174">
        <f>C61*$E$18*0.5</f>
        <v>0</v>
      </c>
      <c r="E61" s="174">
        <f>IF($E$19&gt;=B61, 0, IF(C61&gt;1, IF(ASS!$W$30=1,$E$16/(($E$17*2)-$E$19), -PMT($E$18/2,($E$17*2-B60),C61,0)-D61), 0))</f>
        <v>0</v>
      </c>
      <c r="F61" s="175">
        <f t="shared" si="48"/>
        <v>0</v>
      </c>
      <c r="G61" s="173">
        <f t="shared" si="9"/>
        <v>0</v>
      </c>
      <c r="H61" s="174">
        <f>G61*$I$18*0.5</f>
        <v>0</v>
      </c>
      <c r="I61" s="174">
        <f>IF($I$19&gt;=B61, 0, IF(G61&gt;1, IF(ASS!$W$38=1,$I$16/(($I$17*2)-$I$19), -PMT($I$18/2,($I$17*2-B60),G61,0)-H61), 0))</f>
        <v>0</v>
      </c>
      <c r="J61" s="175">
        <f t="shared" si="42"/>
        <v>0</v>
      </c>
      <c r="K61" s="173">
        <f t="shared" si="11"/>
        <v>0</v>
      </c>
      <c r="L61" s="174">
        <f>K61*$M$18*0.5</f>
        <v>0</v>
      </c>
      <c r="M61" s="174">
        <f>IF($M$19&gt;=B61, 0, IF(K61&gt;1, IF(ASS!$W$46=1,$M$16/(($M$17*2)-$M$19), -PMT($M$18/2,($M$17*2-B60),K61,0)-L61), 0))</f>
        <v>0</v>
      </c>
      <c r="N61" s="175">
        <f t="shared" si="43"/>
        <v>0</v>
      </c>
      <c r="O61" s="173">
        <f t="shared" si="13"/>
        <v>0</v>
      </c>
      <c r="P61" s="174">
        <f>O61*$Q$18*0.5</f>
        <v>0</v>
      </c>
      <c r="Q61" s="174">
        <f>IF($Q$19&gt;=B61, 0, IF(O61&gt;1, IF(ASS!$W$54=1,$Q$16/(($Q$17*2)-$Q$19), -PMT($Q$18/2,($Q$17*2-B60),O61,0)-P61), 0))</f>
        <v>0</v>
      </c>
      <c r="R61" s="175">
        <f t="shared" si="44"/>
        <v>0</v>
      </c>
      <c r="S61" s="173">
        <f t="shared" si="15"/>
        <v>0</v>
      </c>
      <c r="T61" s="174">
        <f>S61*$U$18*0.5</f>
        <v>0</v>
      </c>
      <c r="U61" s="174">
        <f>IF($U$19&gt;=B61, 0, IF(S61&gt;1, IF(ASS!$W$62=1,$U$16/(($U$17*2)-$U$19), -PMT($U$18/2,($U$17*2-B60),S61,0)-T61), 0))</f>
        <v>0</v>
      </c>
      <c r="V61" s="175">
        <f t="shared" si="45"/>
        <v>0</v>
      </c>
      <c r="W61" s="173">
        <f t="shared" si="17"/>
        <v>0</v>
      </c>
      <c r="X61" s="174">
        <f>W61*$Y$18*0.5</f>
        <v>0</v>
      </c>
      <c r="Y61" s="174">
        <f>IF($Y$19&gt;=B61, 0, IF(W61&gt;1, IF(ASS!$W$70=1,$Y$16/(($Y$17*2)-$Y$19), -PMT($Y$18/2,($Y$17*2-B60),W61,0)-X61), 0))</f>
        <v>0</v>
      </c>
      <c r="Z61" s="175">
        <f t="shared" si="46"/>
        <v>0</v>
      </c>
      <c r="AA61" s="174"/>
      <c r="AB61" s="175"/>
    </row>
    <row r="62" spans="1:28" ht="13.5" thickBot="1" x14ac:dyDescent="0.25">
      <c r="A62" s="71">
        <f>A61</f>
        <v>2020</v>
      </c>
      <c r="B62" s="72">
        <f t="shared" si="47"/>
        <v>39</v>
      </c>
      <c r="C62" s="176">
        <f t="shared" si="8"/>
        <v>0</v>
      </c>
      <c r="D62" s="177">
        <f>C62*$E$18*0.5</f>
        <v>0</v>
      </c>
      <c r="E62" s="177">
        <f>IF($E$19&gt;=B62, 0, IF(C62&gt;1, IF(ASS!$W$30=1,$E$16/(($E$17*2)-$E$19), -PMT($E$18/2,($E$17*2-B61),C62,0)-D62), 0))</f>
        <v>0</v>
      </c>
      <c r="F62" s="178">
        <f t="shared" si="48"/>
        <v>0</v>
      </c>
      <c r="G62" s="176">
        <f t="shared" si="9"/>
        <v>0</v>
      </c>
      <c r="H62" s="177">
        <f>G62*$I$18*0.5</f>
        <v>0</v>
      </c>
      <c r="I62" s="177">
        <f>IF($I$19&gt;=B62, 0, IF(G62&gt;1, IF(ASS!$W$38=1,$I$16/(($I$17*2)-$I$19), -PMT($I$18/2,($I$17*2-B61),G62,0)-H62), 0))</f>
        <v>0</v>
      </c>
      <c r="J62" s="178">
        <f t="shared" si="42"/>
        <v>0</v>
      </c>
      <c r="K62" s="176">
        <f t="shared" si="11"/>
        <v>0</v>
      </c>
      <c r="L62" s="177">
        <f>K62*$M$18*0.5</f>
        <v>0</v>
      </c>
      <c r="M62" s="177">
        <f>IF($M$19&gt;=B62, 0, IF(K62&gt;1, IF(ASS!$W$46=1,$M$16/(($M$17*2)-$M$19), -PMT($M$18/2,($M$17*2-B61),K62,0)-L62), 0))</f>
        <v>0</v>
      </c>
      <c r="N62" s="178">
        <f t="shared" si="43"/>
        <v>0</v>
      </c>
      <c r="O62" s="176">
        <f t="shared" si="13"/>
        <v>0</v>
      </c>
      <c r="P62" s="177">
        <f>O62*$Q$18*0.5</f>
        <v>0</v>
      </c>
      <c r="Q62" s="177">
        <f>IF($Q$19&gt;=B62, 0, IF(O62&gt;1, IF(ASS!$W$54=1,$Q$16/(($Q$17*2)-$Q$19), -PMT($Q$18/2,($Q$17*2-B61),O62,0)-P62), 0))</f>
        <v>0</v>
      </c>
      <c r="R62" s="178">
        <f t="shared" si="44"/>
        <v>0</v>
      </c>
      <c r="S62" s="176">
        <f t="shared" si="15"/>
        <v>0</v>
      </c>
      <c r="T62" s="177">
        <f>S62*$U$18*0.5</f>
        <v>0</v>
      </c>
      <c r="U62" s="177">
        <f>IF($U$19&gt;=B62, 0, IF(S62&gt;1, IF(ASS!$W$62=1,$U$16/(($U$17*2)-$U$19), -PMT($U$18/2,($U$17*2-B61),S62,0)-T62), 0))</f>
        <v>0</v>
      </c>
      <c r="V62" s="178">
        <f t="shared" si="45"/>
        <v>0</v>
      </c>
      <c r="W62" s="176">
        <f t="shared" si="17"/>
        <v>0</v>
      </c>
      <c r="X62" s="177">
        <f>W62*$Y$18*0.5</f>
        <v>0</v>
      </c>
      <c r="Y62" s="177">
        <f>IF($Y$19&gt;=B62, 0, IF(W62&gt;1, IF(ASS!$W$70=1,$Y$16/(($Y$17*2)-$Y$19), -PMT($Y$18/2,($Y$17*2-B61),W62,0)-X62), 0))</f>
        <v>0</v>
      </c>
      <c r="Z62" s="178">
        <f t="shared" si="46"/>
        <v>0</v>
      </c>
      <c r="AA62" s="177">
        <f>SUM(D61:D62,H61:H62,L61:L62, P61:P62, T61:T62, X61:X62)</f>
        <v>0</v>
      </c>
      <c r="AB62" s="178">
        <f>SUM(E61:E62, I61:I62, M61:M62, Q61:Q62, U61:U62, Y61:Y62)</f>
        <v>0</v>
      </c>
    </row>
    <row r="63" spans="1:28" ht="14.25" thickTop="1" thickBot="1" x14ac:dyDescent="0.25">
      <c r="A63" s="300" t="s">
        <v>260</v>
      </c>
      <c r="B63" s="301"/>
      <c r="C63" s="302"/>
      <c r="D63" s="303">
        <f>SUM(D23:D62)</f>
        <v>0</v>
      </c>
      <c r="E63" s="303">
        <f>SUM(E23:E62)</f>
        <v>0</v>
      </c>
      <c r="F63" s="302"/>
      <c r="G63" s="302"/>
      <c r="H63" s="303">
        <f>SUM(H23:H62)</f>
        <v>0</v>
      </c>
      <c r="I63" s="303">
        <f>SUM(I23:I62)</f>
        <v>0</v>
      </c>
      <c r="J63" s="302"/>
      <c r="K63" s="302"/>
      <c r="L63" s="303">
        <f>SUM(L23:L62)</f>
        <v>0</v>
      </c>
      <c r="M63" s="303">
        <f>SUM(M23:M62)</f>
        <v>0</v>
      </c>
      <c r="N63" s="302"/>
      <c r="O63" s="302"/>
      <c r="P63" s="303">
        <f>SUM(P23:P62)</f>
        <v>0</v>
      </c>
      <c r="Q63" s="303">
        <f>SUM(Q23:Q62)</f>
        <v>0</v>
      </c>
      <c r="R63" s="302"/>
      <c r="S63" s="302"/>
      <c r="T63" s="303">
        <f>SUM(T23:T62)</f>
        <v>0</v>
      </c>
      <c r="U63" s="303">
        <f>SUM(U23:U62)</f>
        <v>0</v>
      </c>
      <c r="V63" s="302"/>
      <c r="W63" s="302"/>
      <c r="X63" s="303">
        <f>SUM(X23:X62)</f>
        <v>0</v>
      </c>
      <c r="Y63" s="303">
        <f>SUM(Y23:Y62)</f>
        <v>0</v>
      </c>
      <c r="Z63" s="302"/>
      <c r="AA63" s="303">
        <f>SUM(AA23:AA62)</f>
        <v>0</v>
      </c>
      <c r="AB63" s="304">
        <f>SUM(AB23:AB62)</f>
        <v>0</v>
      </c>
    </row>
    <row r="64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K84"/>
  <sheetViews>
    <sheetView workbookViewId="0">
      <selection activeCell="H11" sqref="H11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25" width="11.7109375" style="1" customWidth="1"/>
    <col min="26" max="16384" width="9.140625" style="1"/>
  </cols>
  <sheetData>
    <row r="1" spans="1:8" ht="15.75" x14ac:dyDescent="0.25">
      <c r="A1" s="257" t="s">
        <v>261</v>
      </c>
      <c r="B1" s="258"/>
      <c r="C1" s="259"/>
      <c r="D1" s="261"/>
    </row>
    <row r="2" spans="1:8" ht="15.75" x14ac:dyDescent="0.25">
      <c r="A2" s="260">
        <f>ASS!A4</f>
        <v>0</v>
      </c>
      <c r="B2" s="261"/>
      <c r="C2" s="262"/>
      <c r="D2" s="261"/>
    </row>
    <row r="3" spans="1:8" ht="15.75" x14ac:dyDescent="0.25">
      <c r="A3" s="263" t="str">
        <f>ASS!A5</f>
        <v>BASE MODEL</v>
      </c>
      <c r="B3" s="264"/>
      <c r="C3" s="265"/>
      <c r="D3" s="261"/>
    </row>
    <row r="4" spans="1:8" x14ac:dyDescent="0.2">
      <c r="A4"/>
      <c r="B4"/>
      <c r="C4"/>
      <c r="D4"/>
    </row>
    <row r="5" spans="1:8" x14ac:dyDescent="0.2">
      <c r="A5" s="14" t="s">
        <v>165</v>
      </c>
      <c r="B5" s="2"/>
      <c r="C5" s="2"/>
      <c r="D5" s="2">
        <f>CF!D5</f>
        <v>1</v>
      </c>
      <c r="E5" s="2">
        <f>CF!E5</f>
        <v>2</v>
      </c>
      <c r="F5" s="2">
        <f>CF!F5</f>
        <v>3</v>
      </c>
      <c r="G5" s="21"/>
    </row>
    <row r="6" spans="1:8" x14ac:dyDescent="0.2">
      <c r="A6" s="15" t="s">
        <v>166</v>
      </c>
      <c r="B6" s="5"/>
      <c r="C6" s="5"/>
      <c r="D6" s="267">
        <f>CF!D6</f>
        <v>2001</v>
      </c>
      <c r="E6" s="267">
        <f>CF!E6</f>
        <v>2002</v>
      </c>
      <c r="F6" s="267">
        <f>CF!F6</f>
        <v>2003</v>
      </c>
      <c r="G6" s="22" t="s">
        <v>244</v>
      </c>
    </row>
    <row r="7" spans="1:8" x14ac:dyDescent="0.2">
      <c r="A7" s="6" t="s">
        <v>168</v>
      </c>
      <c r="B7" s="7"/>
      <c r="C7" s="7"/>
      <c r="D7" s="7">
        <f>CF!D7</f>
        <v>12</v>
      </c>
      <c r="E7" s="7">
        <f>CF!E7</f>
        <v>12</v>
      </c>
      <c r="F7" s="7">
        <f>CF!F7</f>
        <v>12</v>
      </c>
      <c r="G7" s="268"/>
    </row>
    <row r="8" spans="1:8" x14ac:dyDescent="0.2">
      <c r="A8" s="5"/>
      <c r="B8" s="5"/>
      <c r="C8" s="5"/>
      <c r="D8" s="5"/>
      <c r="E8" s="5"/>
      <c r="F8" s="5"/>
      <c r="G8" s="5"/>
    </row>
    <row r="9" spans="1:8" x14ac:dyDescent="0.2">
      <c r="A9" s="8" t="s">
        <v>262</v>
      </c>
      <c r="B9" s="11"/>
      <c r="C9" s="2"/>
      <c r="D9" s="2"/>
      <c r="E9" s="2"/>
      <c r="F9" s="2"/>
      <c r="G9" s="21"/>
    </row>
    <row r="10" spans="1:8" x14ac:dyDescent="0.2">
      <c r="A10" s="4" t="s">
        <v>263</v>
      </c>
      <c r="B10" s="5"/>
      <c r="C10" s="5"/>
      <c r="D10" s="35">
        <f>CF!D51</f>
        <v>7054.1</v>
      </c>
      <c r="E10" s="35">
        <f>CF!E51</f>
        <v>6153.1819999999998</v>
      </c>
      <c r="F10" s="35">
        <f>CF!F51</f>
        <v>5252.2456400000001</v>
      </c>
      <c r="G10" s="37">
        <f>SUM(D10:F10)</f>
        <v>18459.52764</v>
      </c>
      <c r="H10" s="188" t="str">
        <f>IF(ABS($G$10-CF!$G$51)&lt;0.01," ","CHECK:  DOES NOT EQUAL EBDIT ON CF PAGE")</f>
        <v xml:space="preserve"> </v>
      </c>
    </row>
    <row r="11" spans="1:8" x14ac:dyDescent="0.2">
      <c r="A11" s="4" t="s">
        <v>264</v>
      </c>
      <c r="B11" s="5"/>
      <c r="C11" s="5"/>
      <c r="D11" s="35">
        <f>-DEPR!F18</f>
        <v>-487.5</v>
      </c>
      <c r="E11" s="35">
        <f>-DEPR!G18</f>
        <v>-938.47</v>
      </c>
      <c r="F11" s="35">
        <f>-DEPR!H18</f>
        <v>-866.70999999999992</v>
      </c>
      <c r="G11" s="37">
        <f>SUM(D11:F11)</f>
        <v>-2292.6799999999998</v>
      </c>
      <c r="H11" s="188" t="str">
        <f>IF(ABS(-$G$11-ASS!$I$19)&lt;0.01," ","CHECK:  DOES NOT MATCH TOTAL TAX DEPRECIABLE BASIS")</f>
        <v>CHECK:  DOES NOT MATCH TOTAL TAX DEPRECIABLE BASIS</v>
      </c>
    </row>
    <row r="12" spans="1:8" x14ac:dyDescent="0.2">
      <c r="A12" s="4" t="s">
        <v>265</v>
      </c>
      <c r="B12" s="5"/>
      <c r="C12" s="5"/>
      <c r="D12" s="35">
        <f>-FIN!D10</f>
        <v>0</v>
      </c>
      <c r="E12" s="35">
        <f>-FIN!E10</f>
        <v>0</v>
      </c>
      <c r="F12" s="35">
        <f>-FIN!F10</f>
        <v>0</v>
      </c>
      <c r="G12" s="37">
        <f>SUM(D12:F12)</f>
        <v>0</v>
      </c>
      <c r="H12" s="188" t="str">
        <f>IF(ABS(-$G$12-FIN!$AD$10)&lt;0.01," ","CHECK:  DOES NOT EQUAL TOTAL INTEREST PAYMENTS CALCULATED")</f>
        <v xml:space="preserve"> </v>
      </c>
    </row>
    <row r="13" spans="1:8" x14ac:dyDescent="0.2">
      <c r="A13" s="4" t="s">
        <v>266</v>
      </c>
      <c r="B13" s="5"/>
      <c r="C13" s="5"/>
      <c r="D13" s="39">
        <f>SUM(D10:D12)</f>
        <v>6566.6</v>
      </c>
      <c r="E13" s="39">
        <f>SUM(E10:E12)</f>
        <v>5214.7119999999995</v>
      </c>
      <c r="F13" s="39">
        <f>SUM(F10:F12)</f>
        <v>4385.5356400000001</v>
      </c>
      <c r="G13" s="73">
        <f>SUM(D13:F13)</f>
        <v>16166.84764</v>
      </c>
    </row>
    <row r="14" spans="1:8" x14ac:dyDescent="0.2">
      <c r="A14" s="4" t="s">
        <v>267</v>
      </c>
      <c r="B14" s="5"/>
      <c r="C14" s="5"/>
      <c r="D14" s="10">
        <f>TAX</f>
        <v>0.05</v>
      </c>
      <c r="E14" s="10">
        <f>TAX</f>
        <v>0.05</v>
      </c>
      <c r="F14" s="10">
        <f>TAX</f>
        <v>0.05</v>
      </c>
      <c r="G14" s="20"/>
    </row>
    <row r="15" spans="1:8" x14ac:dyDescent="0.2">
      <c r="A15" s="4"/>
      <c r="B15" s="5"/>
      <c r="C15" s="5"/>
      <c r="D15" s="5"/>
      <c r="E15" s="5"/>
      <c r="F15" s="5"/>
      <c r="G15" s="20"/>
    </row>
    <row r="16" spans="1:8" x14ac:dyDescent="0.2">
      <c r="A16" s="17" t="s">
        <v>268</v>
      </c>
      <c r="B16" s="18"/>
      <c r="C16" s="7"/>
      <c r="D16" s="269">
        <f>IF(D13&lt;0, 0, D13*D14)</f>
        <v>328.33000000000004</v>
      </c>
      <c r="E16" s="269">
        <f>IF(E13&lt;0, 0, E13*E14)</f>
        <v>260.73559999999998</v>
      </c>
      <c r="F16" s="269">
        <f>IF(F13&lt;0, 0, F13*F14)</f>
        <v>219.27678200000003</v>
      </c>
      <c r="G16" s="270">
        <f>SUM(D16:F16)</f>
        <v>808.34238200000004</v>
      </c>
    </row>
    <row r="19" spans="1:11" x14ac:dyDescent="0.2">
      <c r="A19" s="8" t="s">
        <v>269</v>
      </c>
      <c r="B19" s="2"/>
      <c r="C19" s="2"/>
      <c r="D19" s="2"/>
      <c r="E19" s="2"/>
      <c r="F19" s="2"/>
      <c r="G19" s="2"/>
      <c r="H19" s="3"/>
      <c r="I19" s="5"/>
    </row>
    <row r="20" spans="1:11" x14ac:dyDescent="0.2">
      <c r="A20" s="4"/>
      <c r="B20" s="5"/>
      <c r="C20" s="5"/>
      <c r="D20" s="19"/>
      <c r="E20" s="19" t="s">
        <v>270</v>
      </c>
      <c r="F20" s="19" t="s">
        <v>271</v>
      </c>
      <c r="G20" s="19"/>
      <c r="H20" s="271"/>
      <c r="I20" s="5"/>
    </row>
    <row r="21" spans="1:11" x14ac:dyDescent="0.2">
      <c r="A21" s="4"/>
      <c r="B21" s="5"/>
      <c r="C21" s="5"/>
      <c r="D21" s="19" t="s">
        <v>272</v>
      </c>
      <c r="E21" s="19" t="s">
        <v>9</v>
      </c>
      <c r="F21" s="19" t="s">
        <v>9</v>
      </c>
      <c r="G21" s="19" t="s">
        <v>273</v>
      </c>
      <c r="H21" s="271" t="s">
        <v>274</v>
      </c>
      <c r="I21" s="5"/>
    </row>
    <row r="22" spans="1:11" x14ac:dyDescent="0.2">
      <c r="A22" s="14"/>
      <c r="B22" s="273" t="s">
        <v>275</v>
      </c>
      <c r="C22" s="32" t="s">
        <v>216</v>
      </c>
      <c r="D22" s="23" t="s">
        <v>276</v>
      </c>
      <c r="E22" s="23" t="s">
        <v>277</v>
      </c>
      <c r="F22" s="23" t="s">
        <v>278</v>
      </c>
      <c r="G22" s="23" t="s">
        <v>276</v>
      </c>
      <c r="H22" s="272" t="s">
        <v>279</v>
      </c>
      <c r="I22" s="5"/>
    </row>
    <row r="23" spans="1:11" x14ac:dyDescent="0.2">
      <c r="A23" s="6" t="s">
        <v>280</v>
      </c>
      <c r="B23" s="274" t="e">
        <f>(ASS!X37*ASS!X31+ASS!X45*ASS!X39+ASS!X53*ASS!X47+ASS!X61*ASS!X55+ASS!X69*ASS!X63+ASS!X77*ASS!X71)/(ASS!X71+ASS!X63+ASS!X55+ASS!X39+ASS!X31+ASS!$X$47)</f>
        <v>#DIV/0!</v>
      </c>
      <c r="C23" s="5">
        <v>1</v>
      </c>
      <c r="D23" s="74">
        <v>0</v>
      </c>
      <c r="E23" s="35">
        <f>DEBT</f>
        <v>0</v>
      </c>
      <c r="F23" s="35">
        <f>-HLOOKUP(C23,idc_table1,IDC!$L$26+1)</f>
        <v>0</v>
      </c>
      <c r="G23" s="35">
        <f>SUM(D23:F23)</f>
        <v>0</v>
      </c>
      <c r="H23" s="36" t="e">
        <f>$B$23*(D23+E23)/12</f>
        <v>#DIV/0!</v>
      </c>
      <c r="I23" s="5"/>
      <c r="K23" s="1" t="s">
        <v>6</v>
      </c>
    </row>
    <row r="24" spans="1:11" x14ac:dyDescent="0.2">
      <c r="A24" s="4"/>
      <c r="B24" s="5"/>
      <c r="C24" s="5">
        <f>C23+1</f>
        <v>2</v>
      </c>
      <c r="D24" s="35">
        <f t="shared" ref="D24:D55" si="0">G23</f>
        <v>0</v>
      </c>
      <c r="E24" s="74">
        <v>0</v>
      </c>
      <c r="F24" s="35">
        <f>-HLOOKUP(C24,idc_table1,IDC!$L$26+1)+HLOOKUP(C23,idc_table1,IDC!$L$26+1)</f>
        <v>0</v>
      </c>
      <c r="G24" s="35">
        <f t="shared" ref="G24:G39" si="1">SUM(D24:F24)</f>
        <v>0</v>
      </c>
      <c r="H24" s="36" t="e">
        <f t="shared" ref="H24:H39" si="2">$B$23*(D24+E24)/12</f>
        <v>#DIV/0!</v>
      </c>
      <c r="I24" s="5"/>
    </row>
    <row r="25" spans="1:11" x14ac:dyDescent="0.2">
      <c r="A25" s="4"/>
      <c r="B25" s="5"/>
      <c r="C25" s="5">
        <f t="shared" ref="C25:C40" si="3">C24+1</f>
        <v>3</v>
      </c>
      <c r="D25" s="35">
        <f t="shared" si="0"/>
        <v>0</v>
      </c>
      <c r="E25" s="74">
        <v>0</v>
      </c>
      <c r="F25" s="35">
        <f>-HLOOKUP(C25,idc_table1,IDC!$L$26+1)+HLOOKUP(C24,idc_table1,IDC!$L$26+1)</f>
        <v>0</v>
      </c>
      <c r="G25" s="35">
        <f t="shared" si="1"/>
        <v>0</v>
      </c>
      <c r="H25" s="36" t="e">
        <f t="shared" si="2"/>
        <v>#DIV/0!</v>
      </c>
      <c r="I25" s="5"/>
    </row>
    <row r="26" spans="1:11" x14ac:dyDescent="0.2">
      <c r="A26" s="4"/>
      <c r="B26" s="5"/>
      <c r="C26" s="5">
        <f t="shared" si="3"/>
        <v>4</v>
      </c>
      <c r="D26" s="35">
        <f t="shared" si="0"/>
        <v>0</v>
      </c>
      <c r="E26" s="74">
        <v>0</v>
      </c>
      <c r="F26" s="35">
        <f>-HLOOKUP(C26,idc_table1,IDC!$L$26+1)+HLOOKUP(C25,idc_table1,IDC!$L$26+1)</f>
        <v>0</v>
      </c>
      <c r="G26" s="35">
        <f t="shared" si="1"/>
        <v>0</v>
      </c>
      <c r="H26" s="36" t="e">
        <f t="shared" si="2"/>
        <v>#DIV/0!</v>
      </c>
      <c r="I26" s="5"/>
    </row>
    <row r="27" spans="1:11" x14ac:dyDescent="0.2">
      <c r="A27" s="4"/>
      <c r="B27" s="5"/>
      <c r="C27" s="5">
        <f t="shared" si="3"/>
        <v>5</v>
      </c>
      <c r="D27" s="35">
        <f t="shared" si="0"/>
        <v>0</v>
      </c>
      <c r="E27" s="74">
        <v>0</v>
      </c>
      <c r="F27" s="35">
        <f>-HLOOKUP(C27,idc_table1,IDC!$L$26+1)+HLOOKUP(C26,idc_table1,IDC!$L$26+1)</f>
        <v>0</v>
      </c>
      <c r="G27" s="35">
        <f t="shared" si="1"/>
        <v>0</v>
      </c>
      <c r="H27" s="36" t="e">
        <f t="shared" si="2"/>
        <v>#DIV/0!</v>
      </c>
      <c r="I27" s="5"/>
    </row>
    <row r="28" spans="1:11" x14ac:dyDescent="0.2">
      <c r="A28" s="4"/>
      <c r="B28" s="5"/>
      <c r="C28" s="5">
        <f t="shared" si="3"/>
        <v>6</v>
      </c>
      <c r="D28" s="35">
        <f t="shared" si="0"/>
        <v>0</v>
      </c>
      <c r="E28" s="74">
        <v>0</v>
      </c>
      <c r="F28" s="35">
        <f>-HLOOKUP(C28,idc_table1,IDC!$L$26+1)+HLOOKUP(C27,idc_table1,IDC!$L$26+1)</f>
        <v>0</v>
      </c>
      <c r="G28" s="35">
        <f t="shared" si="1"/>
        <v>0</v>
      </c>
      <c r="H28" s="36" t="e">
        <f t="shared" si="2"/>
        <v>#DIV/0!</v>
      </c>
      <c r="I28" s="5"/>
    </row>
    <row r="29" spans="1:11" ht="13.5" thickBot="1" x14ac:dyDescent="0.25">
      <c r="A29" s="4"/>
      <c r="B29" s="5"/>
      <c r="C29" s="5">
        <f t="shared" si="3"/>
        <v>7</v>
      </c>
      <c r="D29" s="35">
        <f t="shared" si="0"/>
        <v>0</v>
      </c>
      <c r="E29" s="74">
        <v>0</v>
      </c>
      <c r="F29" s="35">
        <f>-HLOOKUP(C29,idc_table1,IDC!$L$26+1)+HLOOKUP(C28,idc_table1,IDC!$L$26+1)</f>
        <v>0</v>
      </c>
      <c r="G29" s="35">
        <f t="shared" si="1"/>
        <v>0</v>
      </c>
      <c r="H29" s="36" t="e">
        <f t="shared" si="2"/>
        <v>#DIV/0!</v>
      </c>
      <c r="I29" s="5"/>
    </row>
    <row r="30" spans="1:11" ht="13.5" thickTop="1" x14ac:dyDescent="0.2">
      <c r="A30" s="275" t="s">
        <v>281</v>
      </c>
      <c r="B30" s="30"/>
      <c r="C30" s="5">
        <f t="shared" si="3"/>
        <v>8</v>
      </c>
      <c r="D30" s="35">
        <f t="shared" si="0"/>
        <v>0</v>
      </c>
      <c r="E30" s="74">
        <v>0</v>
      </c>
      <c r="F30" s="35">
        <f>-HLOOKUP(C30,idc_table1,IDC!$L$26+1)+HLOOKUP(C29,idc_table1,IDC!$L$26+1)</f>
        <v>0</v>
      </c>
      <c r="G30" s="35">
        <f t="shared" si="1"/>
        <v>0</v>
      </c>
      <c r="H30" s="36" t="e">
        <f t="shared" si="2"/>
        <v>#DIV/0!</v>
      </c>
      <c r="I30" s="5"/>
    </row>
    <row r="31" spans="1:11" ht="13.5" thickBot="1" x14ac:dyDescent="0.25">
      <c r="A31" s="276"/>
      <c r="B31" s="31" t="e">
        <f>SUM(H23:H82)</f>
        <v>#DIV/0!</v>
      </c>
      <c r="C31" s="5">
        <f t="shared" si="3"/>
        <v>9</v>
      </c>
      <c r="D31" s="35">
        <f t="shared" si="0"/>
        <v>0</v>
      </c>
      <c r="E31" s="74">
        <v>0</v>
      </c>
      <c r="F31" s="35">
        <f>-HLOOKUP(C31,idc_table1,IDC!$L$26+1)+HLOOKUP(C30,idc_table1,IDC!$L$26+1)</f>
        <v>0</v>
      </c>
      <c r="G31" s="35">
        <f t="shared" si="1"/>
        <v>0</v>
      </c>
      <c r="H31" s="36" t="e">
        <f t="shared" si="2"/>
        <v>#DIV/0!</v>
      </c>
      <c r="I31" s="5"/>
    </row>
    <row r="32" spans="1:11" ht="13.5" thickTop="1" x14ac:dyDescent="0.2">
      <c r="A32" s="4"/>
      <c r="B32" s="5"/>
      <c r="C32" s="5">
        <f t="shared" si="3"/>
        <v>10</v>
      </c>
      <c r="D32" s="35">
        <f t="shared" si="0"/>
        <v>0</v>
      </c>
      <c r="E32" s="74">
        <v>0</v>
      </c>
      <c r="F32" s="35">
        <f>-HLOOKUP(C32,idc_table1,IDC!$L$26+1)+HLOOKUP(C31,idc_table1,IDC!$L$26+1)</f>
        <v>0</v>
      </c>
      <c r="G32" s="35">
        <f t="shared" si="1"/>
        <v>0</v>
      </c>
      <c r="H32" s="36" t="e">
        <f t="shared" si="2"/>
        <v>#DIV/0!</v>
      </c>
      <c r="I32" s="5"/>
    </row>
    <row r="33" spans="1:9" x14ac:dyDescent="0.2">
      <c r="A33" s="4"/>
      <c r="B33" s="5"/>
      <c r="C33" s="5">
        <f t="shared" si="3"/>
        <v>11</v>
      </c>
      <c r="D33" s="35">
        <f t="shared" si="0"/>
        <v>0</v>
      </c>
      <c r="E33" s="74">
        <v>0</v>
      </c>
      <c r="F33" s="35">
        <f>-HLOOKUP(C33,idc_table1,IDC!$L$26+1)+HLOOKUP(C32,idc_table1,IDC!$L$26+1)</f>
        <v>0</v>
      </c>
      <c r="G33" s="35">
        <f t="shared" si="1"/>
        <v>0</v>
      </c>
      <c r="H33" s="36" t="e">
        <f t="shared" si="2"/>
        <v>#DIV/0!</v>
      </c>
      <c r="I33" s="5"/>
    </row>
    <row r="34" spans="1:9" x14ac:dyDescent="0.2">
      <c r="A34" s="4"/>
      <c r="B34" s="5"/>
      <c r="C34" s="5">
        <f t="shared" si="3"/>
        <v>12</v>
      </c>
      <c r="D34" s="35">
        <f t="shared" si="0"/>
        <v>0</v>
      </c>
      <c r="E34" s="74">
        <v>0</v>
      </c>
      <c r="F34" s="35">
        <f>-HLOOKUP(C34,idc_table1,IDC!$L$26+1)+HLOOKUP(C33,idc_table1,IDC!$L$26+1)</f>
        <v>0</v>
      </c>
      <c r="G34" s="35">
        <f t="shared" si="1"/>
        <v>0</v>
      </c>
      <c r="H34" s="36" t="e">
        <f t="shared" si="2"/>
        <v>#DIV/0!</v>
      </c>
      <c r="I34" s="5"/>
    </row>
    <row r="35" spans="1:9" x14ac:dyDescent="0.2">
      <c r="A35" s="4"/>
      <c r="B35" s="5"/>
      <c r="C35" s="5">
        <f t="shared" si="3"/>
        <v>13</v>
      </c>
      <c r="D35" s="35">
        <f t="shared" si="0"/>
        <v>0</v>
      </c>
      <c r="E35" s="74">
        <v>0</v>
      </c>
      <c r="F35" s="35">
        <f>-HLOOKUP(C35,idc_table1,IDC!$L$26+1)+HLOOKUP(C34,idc_table1,IDC!$L$26+1)</f>
        <v>0</v>
      </c>
      <c r="G35" s="35">
        <f t="shared" si="1"/>
        <v>0</v>
      </c>
      <c r="H35" s="36" t="e">
        <f t="shared" si="2"/>
        <v>#DIV/0!</v>
      </c>
      <c r="I35" s="5"/>
    </row>
    <row r="36" spans="1:9" x14ac:dyDescent="0.2">
      <c r="A36" s="4"/>
      <c r="B36" s="5"/>
      <c r="C36" s="5">
        <f t="shared" si="3"/>
        <v>14</v>
      </c>
      <c r="D36" s="35">
        <f t="shared" si="0"/>
        <v>0</v>
      </c>
      <c r="E36" s="74">
        <v>0</v>
      </c>
      <c r="F36" s="35">
        <f>-HLOOKUP(C36,idc_table1,IDC!$L$26+1)+HLOOKUP(C35,idc_table1,IDC!$L$26+1)</f>
        <v>0</v>
      </c>
      <c r="G36" s="35">
        <f t="shared" si="1"/>
        <v>0</v>
      </c>
      <c r="H36" s="36" t="e">
        <f t="shared" si="2"/>
        <v>#DIV/0!</v>
      </c>
      <c r="I36" s="5"/>
    </row>
    <row r="37" spans="1:9" x14ac:dyDescent="0.2">
      <c r="A37" s="4"/>
      <c r="B37" s="5"/>
      <c r="C37" s="5">
        <f t="shared" si="3"/>
        <v>15</v>
      </c>
      <c r="D37" s="35">
        <f t="shared" si="0"/>
        <v>0</v>
      </c>
      <c r="E37" s="74">
        <v>0</v>
      </c>
      <c r="F37" s="35">
        <f>-HLOOKUP(C37,idc_table1,IDC!$L$26+1)+HLOOKUP(C36,idc_table1,IDC!$L$26+1)</f>
        <v>0</v>
      </c>
      <c r="G37" s="35">
        <f t="shared" si="1"/>
        <v>0</v>
      </c>
      <c r="H37" s="36" t="e">
        <f t="shared" si="2"/>
        <v>#DIV/0!</v>
      </c>
      <c r="I37" s="5"/>
    </row>
    <row r="38" spans="1:9" x14ac:dyDescent="0.2">
      <c r="A38" s="4"/>
      <c r="B38" s="5"/>
      <c r="C38" s="5">
        <f t="shared" si="3"/>
        <v>16</v>
      </c>
      <c r="D38" s="35">
        <f t="shared" si="0"/>
        <v>0</v>
      </c>
      <c r="E38" s="74">
        <v>0</v>
      </c>
      <c r="F38" s="35">
        <f>-HLOOKUP(C38,idc_table1,IDC!$L$26+1)+HLOOKUP(C37,idc_table1,IDC!$L$26+1)</f>
        <v>0</v>
      </c>
      <c r="G38" s="35">
        <f t="shared" si="1"/>
        <v>0</v>
      </c>
      <c r="H38" s="36" t="e">
        <f t="shared" si="2"/>
        <v>#DIV/0!</v>
      </c>
      <c r="I38" s="5"/>
    </row>
    <row r="39" spans="1:9" x14ac:dyDescent="0.2">
      <c r="A39" s="4"/>
      <c r="B39" s="5"/>
      <c r="C39" s="5">
        <f t="shared" si="3"/>
        <v>17</v>
      </c>
      <c r="D39" s="35">
        <f t="shared" si="0"/>
        <v>0</v>
      </c>
      <c r="E39" s="74">
        <v>0</v>
      </c>
      <c r="F39" s="35">
        <f>-HLOOKUP(C39,idc_table1,IDC!$L$26+1)+HLOOKUP(C38,idc_table1,IDC!$L$26+1)</f>
        <v>0</v>
      </c>
      <c r="G39" s="35">
        <f t="shared" si="1"/>
        <v>0</v>
      </c>
      <c r="H39" s="36" t="e">
        <f t="shared" si="2"/>
        <v>#DIV/0!</v>
      </c>
      <c r="I39" s="5"/>
    </row>
    <row r="40" spans="1:9" x14ac:dyDescent="0.2">
      <c r="A40" s="4"/>
      <c r="B40" s="5"/>
      <c r="C40" s="5">
        <f t="shared" si="3"/>
        <v>18</v>
      </c>
      <c r="D40" s="35">
        <f t="shared" si="0"/>
        <v>0</v>
      </c>
      <c r="E40" s="74">
        <v>0</v>
      </c>
      <c r="F40" s="35">
        <f>-HLOOKUP(C40,idc_table1,IDC!$L$26+1)+HLOOKUP(C39,idc_table1,IDC!$L$26+1)</f>
        <v>0</v>
      </c>
      <c r="G40" s="35">
        <f t="shared" ref="G40:G55" si="4">SUM(D40:F40)</f>
        <v>0</v>
      </c>
      <c r="H40" s="36" t="e">
        <f t="shared" ref="H40:H55" si="5">$B$23*(D40+E40)/12</f>
        <v>#DIV/0!</v>
      </c>
      <c r="I40" s="5"/>
    </row>
    <row r="41" spans="1:9" x14ac:dyDescent="0.2">
      <c r="A41" s="4"/>
      <c r="B41" s="5"/>
      <c r="C41" s="5">
        <f t="shared" ref="C41:C56" si="6">C40+1</f>
        <v>19</v>
      </c>
      <c r="D41" s="35">
        <f t="shared" si="0"/>
        <v>0</v>
      </c>
      <c r="E41" s="74">
        <v>0</v>
      </c>
      <c r="F41" s="35">
        <f>-HLOOKUP(C41,idc_table1,IDC!$L$26+1)+HLOOKUP(C40,idc_table1,IDC!$L$26+1)</f>
        <v>0</v>
      </c>
      <c r="G41" s="35">
        <f t="shared" si="4"/>
        <v>0</v>
      </c>
      <c r="H41" s="36" t="e">
        <f t="shared" si="5"/>
        <v>#DIV/0!</v>
      </c>
      <c r="I41" s="5"/>
    </row>
    <row r="42" spans="1:9" x14ac:dyDescent="0.2">
      <c r="A42" s="4"/>
      <c r="B42" s="5"/>
      <c r="C42" s="5">
        <f t="shared" si="6"/>
        <v>20</v>
      </c>
      <c r="D42" s="35">
        <f t="shared" si="0"/>
        <v>0</v>
      </c>
      <c r="E42" s="74">
        <v>0</v>
      </c>
      <c r="F42" s="35">
        <f>-HLOOKUP(C42,idc_table1,IDC!$L$26+1)+HLOOKUP(C41,idc_table1,IDC!$L$26+1)</f>
        <v>0</v>
      </c>
      <c r="G42" s="35">
        <f t="shared" si="4"/>
        <v>0</v>
      </c>
      <c r="H42" s="36" t="e">
        <f t="shared" si="5"/>
        <v>#DIV/0!</v>
      </c>
      <c r="I42" s="5"/>
    </row>
    <row r="43" spans="1:9" x14ac:dyDescent="0.2">
      <c r="A43" s="4"/>
      <c r="B43" s="5"/>
      <c r="C43" s="5">
        <f t="shared" si="6"/>
        <v>21</v>
      </c>
      <c r="D43" s="35">
        <f t="shared" si="0"/>
        <v>0</v>
      </c>
      <c r="E43" s="74">
        <v>0</v>
      </c>
      <c r="F43" s="35">
        <f>-HLOOKUP(C43,idc_table1,IDC!$L$26+1)+HLOOKUP(C42,idc_table1,IDC!$L$26+1)</f>
        <v>0</v>
      </c>
      <c r="G43" s="35">
        <f t="shared" si="4"/>
        <v>0</v>
      </c>
      <c r="H43" s="36" t="e">
        <f t="shared" si="5"/>
        <v>#DIV/0!</v>
      </c>
      <c r="I43" s="5"/>
    </row>
    <row r="44" spans="1:9" x14ac:dyDescent="0.2">
      <c r="A44" s="4"/>
      <c r="B44" s="5"/>
      <c r="C44" s="5">
        <f t="shared" si="6"/>
        <v>22</v>
      </c>
      <c r="D44" s="35">
        <f t="shared" si="0"/>
        <v>0</v>
      </c>
      <c r="E44" s="74">
        <v>0</v>
      </c>
      <c r="F44" s="35">
        <f>-HLOOKUP(C44,idc_table1,IDC!$L$26+1)+HLOOKUP(C43,idc_table1,IDC!$L$26+1)</f>
        <v>0</v>
      </c>
      <c r="G44" s="35">
        <f t="shared" si="4"/>
        <v>0</v>
      </c>
      <c r="H44" s="36" t="e">
        <f t="shared" si="5"/>
        <v>#DIV/0!</v>
      </c>
      <c r="I44" s="5"/>
    </row>
    <row r="45" spans="1:9" x14ac:dyDescent="0.2">
      <c r="A45" s="4"/>
      <c r="B45" s="5"/>
      <c r="C45" s="5">
        <f t="shared" si="6"/>
        <v>23</v>
      </c>
      <c r="D45" s="35">
        <f t="shared" si="0"/>
        <v>0</v>
      </c>
      <c r="E45" s="74">
        <v>0</v>
      </c>
      <c r="F45" s="35">
        <f>-HLOOKUP(C45,idc_table1,IDC!$L$26+1)+HLOOKUP(C44,idc_table1,IDC!$L$26+1)</f>
        <v>0</v>
      </c>
      <c r="G45" s="35">
        <f t="shared" si="4"/>
        <v>0</v>
      </c>
      <c r="H45" s="36" t="e">
        <f t="shared" si="5"/>
        <v>#DIV/0!</v>
      </c>
      <c r="I45" s="5"/>
    </row>
    <row r="46" spans="1:9" x14ac:dyDescent="0.2">
      <c r="A46" s="4"/>
      <c r="B46" s="5"/>
      <c r="C46" s="5">
        <f t="shared" si="6"/>
        <v>24</v>
      </c>
      <c r="D46" s="35">
        <f t="shared" si="0"/>
        <v>0</v>
      </c>
      <c r="E46" s="74">
        <v>0</v>
      </c>
      <c r="F46" s="35">
        <f>-HLOOKUP(C46,idc_table1,IDC!$L$26+1)+HLOOKUP(C45,idc_table1,IDC!$L$26+1)</f>
        <v>0</v>
      </c>
      <c r="G46" s="35">
        <f t="shared" si="4"/>
        <v>0</v>
      </c>
      <c r="H46" s="36" t="e">
        <f t="shared" si="5"/>
        <v>#DIV/0!</v>
      </c>
      <c r="I46" s="5"/>
    </row>
    <row r="47" spans="1:9" x14ac:dyDescent="0.2">
      <c r="A47" s="4"/>
      <c r="B47" s="5"/>
      <c r="C47" s="5">
        <f t="shared" si="6"/>
        <v>25</v>
      </c>
      <c r="D47" s="35">
        <f t="shared" si="0"/>
        <v>0</v>
      </c>
      <c r="E47" s="74">
        <v>0</v>
      </c>
      <c r="F47" s="35">
        <f>-HLOOKUP(C47,idc_table1,IDC!$L$26+1)+HLOOKUP(C46,idc_table1,IDC!$L$26+1)</f>
        <v>0</v>
      </c>
      <c r="G47" s="35">
        <f t="shared" si="4"/>
        <v>0</v>
      </c>
      <c r="H47" s="36" t="e">
        <f t="shared" si="5"/>
        <v>#DIV/0!</v>
      </c>
      <c r="I47" s="5"/>
    </row>
    <row r="48" spans="1:9" x14ac:dyDescent="0.2">
      <c r="A48" s="4"/>
      <c r="B48" s="5"/>
      <c r="C48" s="5">
        <f t="shared" si="6"/>
        <v>26</v>
      </c>
      <c r="D48" s="35">
        <f t="shared" si="0"/>
        <v>0</v>
      </c>
      <c r="E48" s="74">
        <v>0</v>
      </c>
      <c r="F48" s="35">
        <f>-HLOOKUP(C48,idc_table1,IDC!$L$26+1)+HLOOKUP(C47,idc_table1,IDC!$L$26+1)</f>
        <v>0</v>
      </c>
      <c r="G48" s="35">
        <f t="shared" si="4"/>
        <v>0</v>
      </c>
      <c r="H48" s="36" t="e">
        <f t="shared" si="5"/>
        <v>#DIV/0!</v>
      </c>
      <c r="I48" s="5"/>
    </row>
    <row r="49" spans="1:9" x14ac:dyDescent="0.2">
      <c r="A49" s="4"/>
      <c r="B49" s="5"/>
      <c r="C49" s="5">
        <f t="shared" si="6"/>
        <v>27</v>
      </c>
      <c r="D49" s="35">
        <f t="shared" si="0"/>
        <v>0</v>
      </c>
      <c r="E49" s="74">
        <v>0</v>
      </c>
      <c r="F49" s="35">
        <f>-HLOOKUP(C49,idc_table1,IDC!$L$26+1)+HLOOKUP(C48,idc_table1,IDC!$L$26+1)</f>
        <v>0</v>
      </c>
      <c r="G49" s="35">
        <f t="shared" si="4"/>
        <v>0</v>
      </c>
      <c r="H49" s="36" t="e">
        <f t="shared" si="5"/>
        <v>#DIV/0!</v>
      </c>
      <c r="I49" s="5"/>
    </row>
    <row r="50" spans="1:9" x14ac:dyDescent="0.2">
      <c r="A50" s="4"/>
      <c r="B50" s="5"/>
      <c r="C50" s="5">
        <f t="shared" si="6"/>
        <v>28</v>
      </c>
      <c r="D50" s="35">
        <f t="shared" si="0"/>
        <v>0</v>
      </c>
      <c r="E50" s="74">
        <v>0</v>
      </c>
      <c r="F50" s="35">
        <f>-HLOOKUP(C50,idc_table1,IDC!$L$26+1)+HLOOKUP(C49,idc_table1,IDC!$L$26+1)</f>
        <v>0</v>
      </c>
      <c r="G50" s="35">
        <f t="shared" si="4"/>
        <v>0</v>
      </c>
      <c r="H50" s="36" t="e">
        <f t="shared" si="5"/>
        <v>#DIV/0!</v>
      </c>
      <c r="I50" s="5"/>
    </row>
    <row r="51" spans="1:9" x14ac:dyDescent="0.2">
      <c r="A51" s="4"/>
      <c r="B51" s="5"/>
      <c r="C51" s="5">
        <f t="shared" si="6"/>
        <v>29</v>
      </c>
      <c r="D51" s="35">
        <f t="shared" si="0"/>
        <v>0</v>
      </c>
      <c r="E51" s="74">
        <v>0</v>
      </c>
      <c r="F51" s="35">
        <f>-HLOOKUP(C51,idc_table1,IDC!$L$26+1)+HLOOKUP(C50,idc_table1,IDC!$L$26+1)</f>
        <v>0</v>
      </c>
      <c r="G51" s="35">
        <f t="shared" si="4"/>
        <v>0</v>
      </c>
      <c r="H51" s="36" t="e">
        <f t="shared" si="5"/>
        <v>#DIV/0!</v>
      </c>
      <c r="I51" s="5"/>
    </row>
    <row r="52" spans="1:9" x14ac:dyDescent="0.2">
      <c r="A52" s="4"/>
      <c r="B52" s="5"/>
      <c r="C52" s="5">
        <f t="shared" si="6"/>
        <v>30</v>
      </c>
      <c r="D52" s="35">
        <f t="shared" si="0"/>
        <v>0</v>
      </c>
      <c r="E52" s="74">
        <v>0</v>
      </c>
      <c r="F52" s="35">
        <f>-HLOOKUP(C52,idc_table1,IDC!$L$26+1)+HLOOKUP(C51,idc_table1,IDC!$L$26+1)</f>
        <v>0</v>
      </c>
      <c r="G52" s="35">
        <f t="shared" si="4"/>
        <v>0</v>
      </c>
      <c r="H52" s="36" t="e">
        <f t="shared" si="5"/>
        <v>#DIV/0!</v>
      </c>
      <c r="I52" s="5"/>
    </row>
    <row r="53" spans="1:9" x14ac:dyDescent="0.2">
      <c r="A53" s="4"/>
      <c r="B53" s="5"/>
      <c r="C53" s="5">
        <f t="shared" si="6"/>
        <v>31</v>
      </c>
      <c r="D53" s="35">
        <f t="shared" si="0"/>
        <v>0</v>
      </c>
      <c r="E53" s="74">
        <v>0</v>
      </c>
      <c r="F53" s="35">
        <f>-HLOOKUP(C53,idc_table1,IDC!$L$26+1)+HLOOKUP(C52,idc_table1,IDC!$L$26+1)</f>
        <v>0</v>
      </c>
      <c r="G53" s="35">
        <f t="shared" si="4"/>
        <v>0</v>
      </c>
      <c r="H53" s="36" t="e">
        <f t="shared" si="5"/>
        <v>#DIV/0!</v>
      </c>
      <c r="I53" s="5"/>
    </row>
    <row r="54" spans="1:9" x14ac:dyDescent="0.2">
      <c r="A54" s="4"/>
      <c r="B54" s="5"/>
      <c r="C54" s="5">
        <f t="shared" si="6"/>
        <v>32</v>
      </c>
      <c r="D54" s="35">
        <f t="shared" si="0"/>
        <v>0</v>
      </c>
      <c r="E54" s="74">
        <v>0</v>
      </c>
      <c r="F54" s="35">
        <f>-HLOOKUP(C54,idc_table1,IDC!$L$26+1)+HLOOKUP(C53,idc_table1,IDC!$L$26+1)</f>
        <v>0</v>
      </c>
      <c r="G54" s="35">
        <f t="shared" si="4"/>
        <v>0</v>
      </c>
      <c r="H54" s="36" t="e">
        <f t="shared" si="5"/>
        <v>#DIV/0!</v>
      </c>
      <c r="I54" s="5"/>
    </row>
    <row r="55" spans="1:9" x14ac:dyDescent="0.2">
      <c r="A55" s="4"/>
      <c r="B55" s="5"/>
      <c r="C55" s="5">
        <f t="shared" si="6"/>
        <v>33</v>
      </c>
      <c r="D55" s="35">
        <f t="shared" si="0"/>
        <v>0</v>
      </c>
      <c r="E55" s="74">
        <v>0</v>
      </c>
      <c r="F55" s="35">
        <f>-HLOOKUP(C55,idc_table1,IDC!$L$26+1)+HLOOKUP(C54,idc_table1,IDC!$L$26+1)</f>
        <v>0</v>
      </c>
      <c r="G55" s="35">
        <f t="shared" si="4"/>
        <v>0</v>
      </c>
      <c r="H55" s="36" t="e">
        <f t="shared" si="5"/>
        <v>#DIV/0!</v>
      </c>
      <c r="I55" s="5"/>
    </row>
    <row r="56" spans="1:9" x14ac:dyDescent="0.2">
      <c r="A56" s="4"/>
      <c r="B56" s="5"/>
      <c r="C56" s="5">
        <f t="shared" si="6"/>
        <v>34</v>
      </c>
      <c r="D56" s="35">
        <f t="shared" ref="D56:D82" si="7">G55</f>
        <v>0</v>
      </c>
      <c r="E56" s="74">
        <v>0</v>
      </c>
      <c r="F56" s="35">
        <f>-HLOOKUP(C56,idc_table1,IDC!$L$26+1)+HLOOKUP(C55,idc_table1,IDC!$L$26+1)</f>
        <v>0</v>
      </c>
      <c r="G56" s="35">
        <f t="shared" ref="G56:G71" si="8">SUM(D56:F56)</f>
        <v>0</v>
      </c>
      <c r="H56" s="36" t="e">
        <f t="shared" ref="H56:H71" si="9">$B$23*(D56+E56)/12</f>
        <v>#DIV/0!</v>
      </c>
      <c r="I56" s="5"/>
    </row>
    <row r="57" spans="1:9" x14ac:dyDescent="0.2">
      <c r="A57" s="4"/>
      <c r="B57" s="5"/>
      <c r="C57" s="5">
        <f t="shared" ref="C57:C72" si="10">C56+1</f>
        <v>35</v>
      </c>
      <c r="D57" s="35">
        <f t="shared" si="7"/>
        <v>0</v>
      </c>
      <c r="E57" s="74">
        <v>0</v>
      </c>
      <c r="F57" s="35">
        <f>-HLOOKUP(C57,idc_table1,IDC!$L$26+1)+HLOOKUP(C56,idc_table1,IDC!$L$26+1)</f>
        <v>0</v>
      </c>
      <c r="G57" s="35">
        <f t="shared" si="8"/>
        <v>0</v>
      </c>
      <c r="H57" s="36" t="e">
        <f t="shared" si="9"/>
        <v>#DIV/0!</v>
      </c>
      <c r="I57" s="5"/>
    </row>
    <row r="58" spans="1:9" x14ac:dyDescent="0.2">
      <c r="A58" s="4"/>
      <c r="B58" s="5"/>
      <c r="C58" s="5">
        <f t="shared" si="10"/>
        <v>36</v>
      </c>
      <c r="D58" s="35">
        <f t="shared" si="7"/>
        <v>0</v>
      </c>
      <c r="E58" s="74">
        <v>0</v>
      </c>
      <c r="F58" s="35">
        <f>-HLOOKUP(C58,idc_table1,IDC!$L$26+1)+HLOOKUP(C57,idc_table1,IDC!$L$26+1)</f>
        <v>0</v>
      </c>
      <c r="G58" s="35">
        <f t="shared" si="8"/>
        <v>0</v>
      </c>
      <c r="H58" s="36" t="e">
        <f t="shared" si="9"/>
        <v>#DIV/0!</v>
      </c>
      <c r="I58" s="5"/>
    </row>
    <row r="59" spans="1:9" x14ac:dyDescent="0.2">
      <c r="A59" s="4"/>
      <c r="B59" s="5"/>
      <c r="C59" s="5">
        <f t="shared" si="10"/>
        <v>37</v>
      </c>
      <c r="D59" s="35">
        <f t="shared" si="7"/>
        <v>0</v>
      </c>
      <c r="E59" s="74">
        <v>0</v>
      </c>
      <c r="F59" s="35">
        <f>-HLOOKUP(C59,idc_table1,IDC!$L$26+1)+HLOOKUP(C58,idc_table1,IDC!$L$26+1)</f>
        <v>0</v>
      </c>
      <c r="G59" s="35">
        <f t="shared" si="8"/>
        <v>0</v>
      </c>
      <c r="H59" s="36" t="e">
        <f t="shared" si="9"/>
        <v>#DIV/0!</v>
      </c>
      <c r="I59" s="5"/>
    </row>
    <row r="60" spans="1:9" x14ac:dyDescent="0.2">
      <c r="A60" s="4"/>
      <c r="B60" s="5"/>
      <c r="C60" s="5">
        <f t="shared" si="10"/>
        <v>38</v>
      </c>
      <c r="D60" s="35">
        <f t="shared" si="7"/>
        <v>0</v>
      </c>
      <c r="E60" s="74">
        <v>0</v>
      </c>
      <c r="F60" s="35">
        <f>-HLOOKUP(C60,idc_table1,IDC!$L$26+1)+HLOOKUP(C59,idc_table1,IDC!$L$26+1)</f>
        <v>0</v>
      </c>
      <c r="G60" s="35">
        <f t="shared" si="8"/>
        <v>0</v>
      </c>
      <c r="H60" s="36" t="e">
        <f t="shared" si="9"/>
        <v>#DIV/0!</v>
      </c>
      <c r="I60" s="5"/>
    </row>
    <row r="61" spans="1:9" x14ac:dyDescent="0.2">
      <c r="A61" s="4"/>
      <c r="B61" s="5"/>
      <c r="C61" s="5">
        <f t="shared" si="10"/>
        <v>39</v>
      </c>
      <c r="D61" s="35">
        <f t="shared" si="7"/>
        <v>0</v>
      </c>
      <c r="E61" s="74">
        <v>0</v>
      </c>
      <c r="F61" s="35">
        <f>-HLOOKUP(C61,idc_table1,IDC!$L$26+1)+HLOOKUP(C60,idc_table1,IDC!$L$26+1)</f>
        <v>0</v>
      </c>
      <c r="G61" s="35">
        <f t="shared" si="8"/>
        <v>0</v>
      </c>
      <c r="H61" s="36" t="e">
        <f t="shared" si="9"/>
        <v>#DIV/0!</v>
      </c>
      <c r="I61" s="5"/>
    </row>
    <row r="62" spans="1:9" x14ac:dyDescent="0.2">
      <c r="A62" s="4"/>
      <c r="B62" s="5"/>
      <c r="C62" s="5">
        <f t="shared" si="10"/>
        <v>40</v>
      </c>
      <c r="D62" s="35">
        <f t="shared" si="7"/>
        <v>0</v>
      </c>
      <c r="E62" s="74">
        <v>0</v>
      </c>
      <c r="F62" s="35">
        <f>-HLOOKUP(C62,idc_table1,IDC!$L$26+1)+HLOOKUP(C61,idc_table1,IDC!$L$26+1)</f>
        <v>0</v>
      </c>
      <c r="G62" s="35">
        <f t="shared" si="8"/>
        <v>0</v>
      </c>
      <c r="H62" s="36" t="e">
        <f t="shared" si="9"/>
        <v>#DIV/0!</v>
      </c>
      <c r="I62" s="5"/>
    </row>
    <row r="63" spans="1:9" x14ac:dyDescent="0.2">
      <c r="A63" s="4"/>
      <c r="B63" s="5"/>
      <c r="C63" s="5">
        <f t="shared" si="10"/>
        <v>41</v>
      </c>
      <c r="D63" s="35">
        <f t="shared" si="7"/>
        <v>0</v>
      </c>
      <c r="E63" s="74">
        <v>0</v>
      </c>
      <c r="F63" s="35">
        <f>-HLOOKUP(C63,idc_table1,IDC!$L$26+1)+HLOOKUP(C62,idc_table1,IDC!$L$26+1)</f>
        <v>0</v>
      </c>
      <c r="G63" s="35">
        <f t="shared" si="8"/>
        <v>0</v>
      </c>
      <c r="H63" s="36" t="e">
        <f t="shared" si="9"/>
        <v>#DIV/0!</v>
      </c>
      <c r="I63" s="5"/>
    </row>
    <row r="64" spans="1:9" x14ac:dyDescent="0.2">
      <c r="A64" s="4"/>
      <c r="B64" s="5"/>
      <c r="C64" s="5">
        <f t="shared" si="10"/>
        <v>42</v>
      </c>
      <c r="D64" s="35">
        <f t="shared" si="7"/>
        <v>0</v>
      </c>
      <c r="E64" s="74">
        <v>0</v>
      </c>
      <c r="F64" s="35">
        <f>-HLOOKUP(C64,idc_table1,IDC!$L$26+1)+HLOOKUP(C63,idc_table1,IDC!$L$26+1)</f>
        <v>0</v>
      </c>
      <c r="G64" s="35">
        <f t="shared" si="8"/>
        <v>0</v>
      </c>
      <c r="H64" s="36" t="e">
        <f t="shared" si="9"/>
        <v>#DIV/0!</v>
      </c>
      <c r="I64" s="5"/>
    </row>
    <row r="65" spans="1:9" x14ac:dyDescent="0.2">
      <c r="A65" s="4"/>
      <c r="B65" s="5"/>
      <c r="C65" s="5">
        <f t="shared" si="10"/>
        <v>43</v>
      </c>
      <c r="D65" s="35">
        <f t="shared" si="7"/>
        <v>0</v>
      </c>
      <c r="E65" s="74">
        <v>0</v>
      </c>
      <c r="F65" s="35">
        <f>-HLOOKUP(C65,idc_table1,IDC!$L$26+1)+HLOOKUP(C64,idc_table1,IDC!$L$26+1)</f>
        <v>0</v>
      </c>
      <c r="G65" s="35">
        <f t="shared" si="8"/>
        <v>0</v>
      </c>
      <c r="H65" s="36" t="e">
        <f t="shared" si="9"/>
        <v>#DIV/0!</v>
      </c>
      <c r="I65" s="5"/>
    </row>
    <row r="66" spans="1:9" x14ac:dyDescent="0.2">
      <c r="A66" s="4"/>
      <c r="B66" s="5"/>
      <c r="C66" s="5">
        <f t="shared" si="10"/>
        <v>44</v>
      </c>
      <c r="D66" s="35">
        <f t="shared" si="7"/>
        <v>0</v>
      </c>
      <c r="E66" s="74">
        <v>0</v>
      </c>
      <c r="F66" s="35">
        <f>-HLOOKUP(C66,idc_table1,IDC!$L$26+1)+HLOOKUP(C65,idc_table1,IDC!$L$26+1)</f>
        <v>0</v>
      </c>
      <c r="G66" s="35">
        <f t="shared" si="8"/>
        <v>0</v>
      </c>
      <c r="H66" s="36" t="e">
        <f t="shared" si="9"/>
        <v>#DIV/0!</v>
      </c>
      <c r="I66" s="5"/>
    </row>
    <row r="67" spans="1:9" x14ac:dyDescent="0.2">
      <c r="A67" s="4"/>
      <c r="B67" s="5"/>
      <c r="C67" s="5">
        <f t="shared" si="10"/>
        <v>45</v>
      </c>
      <c r="D67" s="35">
        <f t="shared" si="7"/>
        <v>0</v>
      </c>
      <c r="E67" s="74">
        <v>0</v>
      </c>
      <c r="F67" s="35">
        <f>-HLOOKUP(C67,idc_table1,IDC!$L$26+1)+HLOOKUP(C66,idc_table1,IDC!$L$26+1)</f>
        <v>0</v>
      </c>
      <c r="G67" s="35">
        <f t="shared" si="8"/>
        <v>0</v>
      </c>
      <c r="H67" s="36" t="e">
        <f t="shared" si="9"/>
        <v>#DIV/0!</v>
      </c>
      <c r="I67" s="5"/>
    </row>
    <row r="68" spans="1:9" x14ac:dyDescent="0.2">
      <c r="A68" s="4"/>
      <c r="B68" s="5"/>
      <c r="C68" s="5">
        <f t="shared" si="10"/>
        <v>46</v>
      </c>
      <c r="D68" s="35">
        <f t="shared" si="7"/>
        <v>0</v>
      </c>
      <c r="E68" s="74">
        <v>0</v>
      </c>
      <c r="F68" s="35">
        <f>-HLOOKUP(C68,idc_table1,IDC!$L$26+1)+HLOOKUP(C67,idc_table1,IDC!$L$26+1)</f>
        <v>0</v>
      </c>
      <c r="G68" s="35">
        <f t="shared" si="8"/>
        <v>0</v>
      </c>
      <c r="H68" s="36" t="e">
        <f t="shared" si="9"/>
        <v>#DIV/0!</v>
      </c>
      <c r="I68" s="5"/>
    </row>
    <row r="69" spans="1:9" x14ac:dyDescent="0.2">
      <c r="A69" s="4"/>
      <c r="B69" s="5"/>
      <c r="C69" s="5">
        <f t="shared" si="10"/>
        <v>47</v>
      </c>
      <c r="D69" s="35">
        <f t="shared" si="7"/>
        <v>0</v>
      </c>
      <c r="E69" s="74">
        <v>0</v>
      </c>
      <c r="F69" s="35">
        <f>-HLOOKUP(C69,idc_table1,IDC!$L$26+1)+HLOOKUP(C68,idc_table1,IDC!$L$26+1)</f>
        <v>0</v>
      </c>
      <c r="G69" s="35">
        <f t="shared" si="8"/>
        <v>0</v>
      </c>
      <c r="H69" s="36" t="e">
        <f t="shared" si="9"/>
        <v>#DIV/0!</v>
      </c>
      <c r="I69" s="5"/>
    </row>
    <row r="70" spans="1:9" x14ac:dyDescent="0.2">
      <c r="A70" s="4"/>
      <c r="B70" s="5"/>
      <c r="C70" s="5">
        <f t="shared" si="10"/>
        <v>48</v>
      </c>
      <c r="D70" s="35">
        <f t="shared" si="7"/>
        <v>0</v>
      </c>
      <c r="E70" s="74">
        <v>0</v>
      </c>
      <c r="F70" s="35">
        <f>-HLOOKUP(C70,idc_table1,IDC!$L$26+1)+HLOOKUP(C69,idc_table1,IDC!$L$26+1)</f>
        <v>0</v>
      </c>
      <c r="G70" s="35">
        <f t="shared" si="8"/>
        <v>0</v>
      </c>
      <c r="H70" s="36" t="e">
        <f t="shared" si="9"/>
        <v>#DIV/0!</v>
      </c>
      <c r="I70" s="5"/>
    </row>
    <row r="71" spans="1:9" x14ac:dyDescent="0.2">
      <c r="A71" s="4"/>
      <c r="B71" s="5"/>
      <c r="C71" s="5">
        <f t="shared" si="10"/>
        <v>49</v>
      </c>
      <c r="D71" s="35">
        <f t="shared" si="7"/>
        <v>0</v>
      </c>
      <c r="E71" s="74">
        <v>0</v>
      </c>
      <c r="F71" s="35">
        <f>-HLOOKUP(C71,idc_table1,IDC!$L$26+1)+HLOOKUP(C70,idc_table1,IDC!$L$26+1)</f>
        <v>0</v>
      </c>
      <c r="G71" s="35">
        <f t="shared" si="8"/>
        <v>0</v>
      </c>
      <c r="H71" s="36" t="e">
        <f t="shared" si="9"/>
        <v>#DIV/0!</v>
      </c>
      <c r="I71" s="5"/>
    </row>
    <row r="72" spans="1:9" x14ac:dyDescent="0.2">
      <c r="A72" s="4"/>
      <c r="B72" s="5"/>
      <c r="C72" s="5">
        <f t="shared" si="10"/>
        <v>50</v>
      </c>
      <c r="D72" s="35">
        <f t="shared" si="7"/>
        <v>0</v>
      </c>
      <c r="E72" s="74">
        <v>0</v>
      </c>
      <c r="F72" s="35">
        <f>-HLOOKUP(C72,idc_table1,IDC!$L$26+1)+HLOOKUP(C71,idc_table1,IDC!$L$26+1)</f>
        <v>0</v>
      </c>
      <c r="G72" s="35">
        <f t="shared" ref="G72:G82" si="11">SUM(D72:F72)</f>
        <v>0</v>
      </c>
      <c r="H72" s="36" t="e">
        <f t="shared" ref="H72:H82" si="12">$B$23*(D72+E72)/12</f>
        <v>#DIV/0!</v>
      </c>
      <c r="I72" s="5"/>
    </row>
    <row r="73" spans="1:9" x14ac:dyDescent="0.2">
      <c r="A73" s="4"/>
      <c r="B73" s="5"/>
      <c r="C73" s="5">
        <f t="shared" ref="C73:C82" si="13">C72+1</f>
        <v>51</v>
      </c>
      <c r="D73" s="35">
        <f t="shared" si="7"/>
        <v>0</v>
      </c>
      <c r="E73" s="74">
        <v>0</v>
      </c>
      <c r="F73" s="35">
        <f>-HLOOKUP(C73,idc_table1,IDC!$L$26+1)+HLOOKUP(C72,idc_table1,IDC!$L$26+1)</f>
        <v>0</v>
      </c>
      <c r="G73" s="35">
        <f t="shared" si="11"/>
        <v>0</v>
      </c>
      <c r="H73" s="36" t="e">
        <f t="shared" si="12"/>
        <v>#DIV/0!</v>
      </c>
      <c r="I73" s="5"/>
    </row>
    <row r="74" spans="1:9" x14ac:dyDescent="0.2">
      <c r="A74" s="4"/>
      <c r="B74" s="5"/>
      <c r="C74" s="5">
        <f t="shared" si="13"/>
        <v>52</v>
      </c>
      <c r="D74" s="35">
        <f t="shared" si="7"/>
        <v>0</v>
      </c>
      <c r="E74" s="74">
        <v>0</v>
      </c>
      <c r="F74" s="35">
        <f>-HLOOKUP(C74,idc_table1,IDC!$L$26+1)+HLOOKUP(C73,idc_table1,IDC!$L$26+1)</f>
        <v>0</v>
      </c>
      <c r="G74" s="35">
        <f t="shared" si="11"/>
        <v>0</v>
      </c>
      <c r="H74" s="36" t="e">
        <f t="shared" si="12"/>
        <v>#DIV/0!</v>
      </c>
      <c r="I74" s="5"/>
    </row>
    <row r="75" spans="1:9" x14ac:dyDescent="0.2">
      <c r="A75" s="4"/>
      <c r="B75" s="5"/>
      <c r="C75" s="5">
        <f t="shared" si="13"/>
        <v>53</v>
      </c>
      <c r="D75" s="35">
        <f t="shared" si="7"/>
        <v>0</v>
      </c>
      <c r="E75" s="74">
        <v>0</v>
      </c>
      <c r="F75" s="35">
        <f>-HLOOKUP(C75,idc_table1,IDC!$L$26+1)+HLOOKUP(C74,idc_table1,IDC!$L$26+1)</f>
        <v>0</v>
      </c>
      <c r="G75" s="35">
        <f t="shared" si="11"/>
        <v>0</v>
      </c>
      <c r="H75" s="36" t="e">
        <f t="shared" si="12"/>
        <v>#DIV/0!</v>
      </c>
      <c r="I75" s="5"/>
    </row>
    <row r="76" spans="1:9" x14ac:dyDescent="0.2">
      <c r="A76" s="4"/>
      <c r="B76" s="5"/>
      <c r="C76" s="5">
        <f t="shared" si="13"/>
        <v>54</v>
      </c>
      <c r="D76" s="35">
        <f t="shared" si="7"/>
        <v>0</v>
      </c>
      <c r="E76" s="74">
        <v>0</v>
      </c>
      <c r="F76" s="35">
        <f>-HLOOKUP(C76,idc_table1,IDC!$L$26+1)+HLOOKUP(C75,idc_table1,IDC!$L$26+1)</f>
        <v>0</v>
      </c>
      <c r="G76" s="35">
        <f t="shared" si="11"/>
        <v>0</v>
      </c>
      <c r="H76" s="36" t="e">
        <f t="shared" si="12"/>
        <v>#DIV/0!</v>
      </c>
      <c r="I76" s="5"/>
    </row>
    <row r="77" spans="1:9" x14ac:dyDescent="0.2">
      <c r="A77" s="4"/>
      <c r="B77" s="5"/>
      <c r="C77" s="5">
        <f t="shared" si="13"/>
        <v>55</v>
      </c>
      <c r="D77" s="35">
        <f t="shared" si="7"/>
        <v>0</v>
      </c>
      <c r="E77" s="74">
        <v>0</v>
      </c>
      <c r="F77" s="35">
        <f>-HLOOKUP(C77,idc_table1,IDC!$L$26+1)+HLOOKUP(C76,idc_table1,IDC!$L$26+1)</f>
        <v>0</v>
      </c>
      <c r="G77" s="35">
        <f t="shared" si="11"/>
        <v>0</v>
      </c>
      <c r="H77" s="36" t="e">
        <f t="shared" si="12"/>
        <v>#DIV/0!</v>
      </c>
      <c r="I77" s="5"/>
    </row>
    <row r="78" spans="1:9" x14ac:dyDescent="0.2">
      <c r="A78" s="4"/>
      <c r="B78" s="5"/>
      <c r="C78" s="5">
        <f t="shared" si="13"/>
        <v>56</v>
      </c>
      <c r="D78" s="35">
        <f t="shared" si="7"/>
        <v>0</v>
      </c>
      <c r="E78" s="74">
        <v>0</v>
      </c>
      <c r="F78" s="35">
        <f>-HLOOKUP(C78,idc_table1,IDC!$L$26+1)+HLOOKUP(C77,idc_table1,IDC!$L$26+1)</f>
        <v>0</v>
      </c>
      <c r="G78" s="35">
        <f t="shared" si="11"/>
        <v>0</v>
      </c>
      <c r="H78" s="36" t="e">
        <f t="shared" si="12"/>
        <v>#DIV/0!</v>
      </c>
      <c r="I78" s="5"/>
    </row>
    <row r="79" spans="1:9" x14ac:dyDescent="0.2">
      <c r="A79" s="4"/>
      <c r="B79" s="5"/>
      <c r="C79" s="5">
        <f t="shared" si="13"/>
        <v>57</v>
      </c>
      <c r="D79" s="35">
        <f t="shared" si="7"/>
        <v>0</v>
      </c>
      <c r="E79" s="74">
        <v>0</v>
      </c>
      <c r="F79" s="35">
        <f>-HLOOKUP(C79,idc_table1,IDC!$L$26+1)+HLOOKUP(C78,idc_table1,IDC!$L$26+1)</f>
        <v>0</v>
      </c>
      <c r="G79" s="35">
        <f t="shared" si="11"/>
        <v>0</v>
      </c>
      <c r="H79" s="36" t="e">
        <f t="shared" si="12"/>
        <v>#DIV/0!</v>
      </c>
      <c r="I79" s="5"/>
    </row>
    <row r="80" spans="1:9" x14ac:dyDescent="0.2">
      <c r="A80" s="4"/>
      <c r="B80" s="5"/>
      <c r="C80" s="5">
        <f t="shared" si="13"/>
        <v>58</v>
      </c>
      <c r="D80" s="35">
        <f t="shared" si="7"/>
        <v>0</v>
      </c>
      <c r="E80" s="74">
        <v>0</v>
      </c>
      <c r="F80" s="35">
        <f>-HLOOKUP(C80,idc_table1,IDC!$L$26+1)+HLOOKUP(C79,idc_table1,IDC!$L$26+1)</f>
        <v>0</v>
      </c>
      <c r="G80" s="35">
        <f t="shared" si="11"/>
        <v>0</v>
      </c>
      <c r="H80" s="36" t="e">
        <f t="shared" si="12"/>
        <v>#DIV/0!</v>
      </c>
      <c r="I80" s="5"/>
    </row>
    <row r="81" spans="1:9" x14ac:dyDescent="0.2">
      <c r="A81" s="4"/>
      <c r="B81" s="5"/>
      <c r="C81" s="5">
        <f t="shared" si="13"/>
        <v>59</v>
      </c>
      <c r="D81" s="35">
        <f t="shared" si="7"/>
        <v>0</v>
      </c>
      <c r="E81" s="74">
        <v>0</v>
      </c>
      <c r="F81" s="35">
        <f>-HLOOKUP(C81,idc_table1,IDC!$L$26+1)+HLOOKUP(C80,idc_table1,IDC!$L$26+1)</f>
        <v>0</v>
      </c>
      <c r="G81" s="35">
        <f t="shared" si="11"/>
        <v>0</v>
      </c>
      <c r="H81" s="36" t="e">
        <f t="shared" si="12"/>
        <v>#DIV/0!</v>
      </c>
      <c r="I81" s="5"/>
    </row>
    <row r="82" spans="1:9" ht="13.5" thickBot="1" x14ac:dyDescent="0.25">
      <c r="A82" s="4"/>
      <c r="B82" s="5"/>
      <c r="C82" s="5">
        <f t="shared" si="13"/>
        <v>60</v>
      </c>
      <c r="D82" s="35">
        <f t="shared" si="7"/>
        <v>0</v>
      </c>
      <c r="E82" s="74">
        <v>0</v>
      </c>
      <c r="F82" s="35">
        <f>-HLOOKUP(C82,idc_table1,IDC!$L$26+1)+HLOOKUP(C81,idc_table1,IDC!$L$26+1)</f>
        <v>0</v>
      </c>
      <c r="G82" s="35">
        <f t="shared" si="11"/>
        <v>0</v>
      </c>
      <c r="H82" s="36" t="e">
        <f t="shared" si="12"/>
        <v>#DIV/0!</v>
      </c>
      <c r="I82" s="5"/>
    </row>
    <row r="83" spans="1:9" ht="14.25" thickTop="1" thickBot="1" x14ac:dyDescent="0.25">
      <c r="A83" s="277"/>
      <c r="B83" s="278"/>
      <c r="C83" s="278"/>
      <c r="D83" s="278"/>
      <c r="E83" s="279">
        <f>SUM(E23:E82)</f>
        <v>0</v>
      </c>
      <c r="F83" s="279">
        <f>SUM(F23:F82)</f>
        <v>0</v>
      </c>
      <c r="G83" s="278"/>
      <c r="H83" s="280" t="e">
        <f>SUM(H23:H82)</f>
        <v>#DIV/0!</v>
      </c>
    </row>
    <row r="84" spans="1:9" ht="13.5" thickTop="1" x14ac:dyDescent="0.2"/>
  </sheetData>
  <printOptions horizontalCentered="1"/>
  <pageMargins left="0.5" right="1" top="0.75" bottom="0.75" header="0.5" footer="0.5"/>
  <pageSetup scale="3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G46"/>
  <sheetViews>
    <sheetView topLeftCell="S1" workbookViewId="0">
      <selection activeCell="AE16" sqref="AE16"/>
    </sheetView>
  </sheetViews>
  <sheetFormatPr defaultRowHeight="12.75" x14ac:dyDescent="0.2"/>
  <cols>
    <col min="1" max="1" width="3.7109375" style="1" customWidth="1"/>
    <col min="2" max="2" width="25.140625" style="1" customWidth="1"/>
    <col min="3" max="25" width="9.140625" style="1"/>
    <col min="26" max="31" width="9" style="1" customWidth="1"/>
    <col min="32" max="16384" width="9.140625" style="1"/>
  </cols>
  <sheetData>
    <row r="1" spans="1:33" ht="15.75" x14ac:dyDescent="0.25">
      <c r="A1" s="257" t="s">
        <v>282</v>
      </c>
      <c r="B1" s="281"/>
      <c r="C1" s="282"/>
      <c r="D1"/>
    </row>
    <row r="2" spans="1:33" ht="15.75" x14ac:dyDescent="0.25">
      <c r="A2" s="260">
        <f>ASS!A4</f>
        <v>0</v>
      </c>
      <c r="B2" s="283"/>
      <c r="C2" s="284"/>
      <c r="D2"/>
    </row>
    <row r="3" spans="1:33" ht="15.75" x14ac:dyDescent="0.25">
      <c r="A3" s="263" t="str">
        <f>ASS!A5</f>
        <v>BASE MODEL</v>
      </c>
      <c r="B3" s="285"/>
      <c r="C3" s="286"/>
      <c r="D3"/>
      <c r="F3" s="344" t="s">
        <v>380</v>
      </c>
      <c r="G3" s="401" t="s">
        <v>381</v>
      </c>
    </row>
    <row r="4" spans="1:33" ht="13.5" thickBot="1" x14ac:dyDescent="0.25"/>
    <row r="5" spans="1:33" ht="13.5" thickTop="1" x14ac:dyDescent="0.2">
      <c r="A5" s="24"/>
      <c r="B5" s="25"/>
      <c r="C5" s="341" t="s">
        <v>283</v>
      </c>
      <c r="D5" s="341" t="s">
        <v>284</v>
      </c>
      <c r="E5" s="342" t="s">
        <v>285</v>
      </c>
    </row>
    <row r="6" spans="1:33" ht="13.5" thickBot="1" x14ac:dyDescent="0.25">
      <c r="A6" s="26" t="s">
        <v>286</v>
      </c>
      <c r="B6" s="5"/>
      <c r="C6" s="35">
        <f>COST</f>
        <v>13000</v>
      </c>
      <c r="D6" s="35">
        <f t="shared" ref="D6:E8" si="0">C6</f>
        <v>13000</v>
      </c>
      <c r="E6" s="331">
        <f t="shared" si="0"/>
        <v>13000</v>
      </c>
    </row>
    <row r="7" spans="1:33" x14ac:dyDescent="0.2">
      <c r="A7" s="26" t="s">
        <v>287</v>
      </c>
      <c r="B7" s="5"/>
      <c r="C7" s="35">
        <f>-SPARES</f>
        <v>0</v>
      </c>
      <c r="D7" s="35">
        <f t="shared" si="0"/>
        <v>0</v>
      </c>
      <c r="E7" s="35">
        <f t="shared" si="0"/>
        <v>0</v>
      </c>
      <c r="F7" s="412" t="s">
        <v>392</v>
      </c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4"/>
    </row>
    <row r="8" spans="1:33" ht="13.5" thickBot="1" x14ac:dyDescent="0.25">
      <c r="A8" s="26" t="s">
        <v>288</v>
      </c>
      <c r="B8" s="5"/>
      <c r="C8" s="38">
        <f>-WCAP</f>
        <v>0</v>
      </c>
      <c r="D8" s="38">
        <f t="shared" si="0"/>
        <v>0</v>
      </c>
      <c r="E8" s="186">
        <f t="shared" si="0"/>
        <v>0</v>
      </c>
      <c r="F8" s="415">
        <v>3.7499999999999999E-2</v>
      </c>
      <c r="G8" s="416">
        <v>7.2190000000000004E-2</v>
      </c>
      <c r="H8" s="416">
        <v>6.6669999999999993E-2</v>
      </c>
      <c r="I8" s="416">
        <v>6.1769999999999999E-2</v>
      </c>
      <c r="J8" s="416">
        <v>5.713E-2</v>
      </c>
      <c r="K8" s="416">
        <v>5.2850000000000001E-2</v>
      </c>
      <c r="L8" s="416">
        <v>4.888E-2</v>
      </c>
      <c r="M8" s="416">
        <v>4.5220000000000003E-2</v>
      </c>
      <c r="N8" s="416">
        <v>4.462E-2</v>
      </c>
      <c r="O8" s="416">
        <v>4.4609999999999997E-2</v>
      </c>
      <c r="P8" s="416">
        <v>4.462E-2</v>
      </c>
      <c r="Q8" s="416">
        <v>4.4609999999999997E-2</v>
      </c>
      <c r="R8" s="416">
        <v>4.462E-2</v>
      </c>
      <c r="S8" s="416">
        <v>4.4609999999999997E-2</v>
      </c>
      <c r="T8" s="416">
        <v>4.462E-2</v>
      </c>
      <c r="U8" s="416">
        <v>4.4609999999999997E-2</v>
      </c>
      <c r="V8" s="416">
        <v>4.462E-2</v>
      </c>
      <c r="W8" s="416">
        <v>4.4609999999999997E-2</v>
      </c>
      <c r="X8" s="416">
        <v>4.462E-2</v>
      </c>
      <c r="Y8" s="416">
        <v>4.4609999999999997E-2</v>
      </c>
      <c r="Z8" s="416">
        <v>2.231E-2</v>
      </c>
      <c r="AA8" s="417"/>
      <c r="AB8" s="417"/>
      <c r="AC8" s="417"/>
      <c r="AD8" s="417"/>
      <c r="AE8" s="418"/>
    </row>
    <row r="9" spans="1:33" ht="13.5" thickBot="1" x14ac:dyDescent="0.25">
      <c r="A9" s="27" t="s">
        <v>289</v>
      </c>
      <c r="B9" s="28"/>
      <c r="C9" s="332">
        <f>SUM(C6:C8)</f>
        <v>13000</v>
      </c>
      <c r="D9" s="332">
        <f>SUM(D6:D8)</f>
        <v>13000</v>
      </c>
      <c r="E9" s="333">
        <f>SUM(E6:E8)</f>
        <v>13000</v>
      </c>
      <c r="F9" s="400">
        <f>F13/12*F8</f>
        <v>3.7499999999999999E-2</v>
      </c>
      <c r="G9" s="400">
        <f t="shared" ref="G9:Z9" si="1">IF($F$13=12,G8,(12-$F$13)/12*F8+($F$13)/12*G8)</f>
        <v>7.2190000000000004E-2</v>
      </c>
      <c r="H9" s="400">
        <f t="shared" si="1"/>
        <v>6.6669999999999993E-2</v>
      </c>
      <c r="I9" s="400">
        <f t="shared" si="1"/>
        <v>6.1769999999999999E-2</v>
      </c>
      <c r="J9" s="400">
        <f t="shared" si="1"/>
        <v>5.713E-2</v>
      </c>
      <c r="K9" s="400">
        <f t="shared" si="1"/>
        <v>5.2850000000000001E-2</v>
      </c>
      <c r="L9" s="400">
        <f t="shared" si="1"/>
        <v>4.888E-2</v>
      </c>
      <c r="M9" s="400">
        <f t="shared" si="1"/>
        <v>4.5220000000000003E-2</v>
      </c>
      <c r="N9" s="400">
        <f t="shared" si="1"/>
        <v>4.462E-2</v>
      </c>
      <c r="O9" s="400">
        <f t="shared" si="1"/>
        <v>4.4609999999999997E-2</v>
      </c>
      <c r="P9" s="400">
        <f t="shared" si="1"/>
        <v>4.462E-2</v>
      </c>
      <c r="Q9" s="400">
        <f t="shared" si="1"/>
        <v>4.4609999999999997E-2</v>
      </c>
      <c r="R9" s="400">
        <f t="shared" si="1"/>
        <v>4.462E-2</v>
      </c>
      <c r="S9" s="400">
        <f t="shared" si="1"/>
        <v>4.4609999999999997E-2</v>
      </c>
      <c r="T9" s="400">
        <f t="shared" si="1"/>
        <v>4.462E-2</v>
      </c>
      <c r="U9" s="400">
        <f t="shared" si="1"/>
        <v>4.4609999999999997E-2</v>
      </c>
      <c r="V9" s="400">
        <f t="shared" si="1"/>
        <v>4.462E-2</v>
      </c>
      <c r="W9" s="400">
        <f t="shared" si="1"/>
        <v>4.4609999999999997E-2</v>
      </c>
      <c r="X9" s="400">
        <f t="shared" si="1"/>
        <v>4.462E-2</v>
      </c>
      <c r="Y9" s="400">
        <f t="shared" si="1"/>
        <v>4.4609999999999997E-2</v>
      </c>
      <c r="Z9" s="400">
        <f t="shared" si="1"/>
        <v>2.231E-2</v>
      </c>
      <c r="AA9" s="400">
        <f>1-(SUM(F9:Z9))</f>
        <v>9.9999999999766942E-5</v>
      </c>
      <c r="AB9" s="399">
        <v>0</v>
      </c>
      <c r="AC9" s="399">
        <v>0</v>
      </c>
      <c r="AD9" s="399">
        <v>0</v>
      </c>
      <c r="AE9" s="399">
        <v>0</v>
      </c>
    </row>
    <row r="10" spans="1:33" ht="13.5" thickTop="1" x14ac:dyDescent="0.2">
      <c r="F10" s="400"/>
      <c r="G10" s="400"/>
      <c r="H10" s="400"/>
      <c r="I10" s="400"/>
      <c r="J10" s="400"/>
      <c r="K10" s="400"/>
      <c r="L10" s="400"/>
      <c r="M10" s="400"/>
      <c r="N10" s="400"/>
      <c r="O10" s="400"/>
      <c r="P10" s="400"/>
      <c r="Q10" s="400"/>
      <c r="R10" s="400"/>
      <c r="S10" s="400"/>
      <c r="T10" s="400"/>
      <c r="U10" s="400"/>
      <c r="V10" s="400"/>
      <c r="W10" s="400"/>
      <c r="X10" s="400"/>
      <c r="Y10" s="400"/>
      <c r="Z10" s="400"/>
      <c r="AA10" s="399"/>
      <c r="AB10" s="399"/>
      <c r="AC10" s="399"/>
      <c r="AD10" s="399"/>
      <c r="AE10" s="399"/>
    </row>
    <row r="11" spans="1:33" x14ac:dyDescent="0.2">
      <c r="A11" s="14" t="s">
        <v>165</v>
      </c>
      <c r="B11" s="2"/>
      <c r="C11" s="2"/>
      <c r="D11" s="2"/>
      <c r="E11" s="2"/>
      <c r="F11" s="2">
        <v>1</v>
      </c>
      <c r="G11" s="2">
        <f>F11+1</f>
        <v>2</v>
      </c>
      <c r="H11" s="2">
        <f t="shared" ref="H11:W11" si="2">G11+1</f>
        <v>3</v>
      </c>
      <c r="I11" s="2">
        <f t="shared" si="2"/>
        <v>4</v>
      </c>
      <c r="J11" s="2">
        <f t="shared" si="2"/>
        <v>5</v>
      </c>
      <c r="K11" s="2">
        <f t="shared" si="2"/>
        <v>6</v>
      </c>
      <c r="L11" s="2">
        <f t="shared" si="2"/>
        <v>7</v>
      </c>
      <c r="M11" s="2">
        <f t="shared" si="2"/>
        <v>8</v>
      </c>
      <c r="N11" s="2">
        <f t="shared" si="2"/>
        <v>9</v>
      </c>
      <c r="O11" s="2">
        <f t="shared" si="2"/>
        <v>10</v>
      </c>
      <c r="P11" s="2">
        <f t="shared" si="2"/>
        <v>11</v>
      </c>
      <c r="Q11" s="2">
        <f t="shared" si="2"/>
        <v>12</v>
      </c>
      <c r="R11" s="2">
        <f t="shared" si="2"/>
        <v>13</v>
      </c>
      <c r="S11" s="2">
        <f t="shared" si="2"/>
        <v>14</v>
      </c>
      <c r="T11" s="2">
        <f t="shared" si="2"/>
        <v>15</v>
      </c>
      <c r="U11" s="2">
        <f t="shared" si="2"/>
        <v>16</v>
      </c>
      <c r="V11" s="2">
        <f t="shared" si="2"/>
        <v>17</v>
      </c>
      <c r="W11" s="2">
        <f t="shared" si="2"/>
        <v>18</v>
      </c>
      <c r="X11" s="2">
        <f t="shared" ref="X11:AE11" si="3">W11+1</f>
        <v>19</v>
      </c>
      <c r="Y11" s="2">
        <f t="shared" si="3"/>
        <v>20</v>
      </c>
      <c r="Z11" s="2">
        <f t="shared" si="3"/>
        <v>21</v>
      </c>
      <c r="AA11" s="2">
        <f t="shared" si="3"/>
        <v>22</v>
      </c>
      <c r="AB11" s="2">
        <f t="shared" si="3"/>
        <v>23</v>
      </c>
      <c r="AC11" s="2">
        <f t="shared" si="3"/>
        <v>24</v>
      </c>
      <c r="AD11" s="2">
        <f t="shared" si="3"/>
        <v>25</v>
      </c>
      <c r="AE11" s="3">
        <f t="shared" si="3"/>
        <v>26</v>
      </c>
      <c r="AF11" s="21"/>
    </row>
    <row r="12" spans="1:33" x14ac:dyDescent="0.2">
      <c r="A12" s="287" t="s">
        <v>166</v>
      </c>
      <c r="B12" s="5"/>
      <c r="C12" s="5"/>
      <c r="D12" s="5"/>
      <c r="E12" s="5"/>
      <c r="F12" s="16">
        <f>CF!D6</f>
        <v>2001</v>
      </c>
      <c r="G12" s="16">
        <f>CF!E6</f>
        <v>2002</v>
      </c>
      <c r="H12" s="16">
        <f>CF!F6</f>
        <v>2003</v>
      </c>
      <c r="I12" s="461">
        <v>2004</v>
      </c>
      <c r="J12" s="461">
        <v>2005</v>
      </c>
      <c r="K12" s="461">
        <v>2006</v>
      </c>
      <c r="L12" s="461">
        <v>2007</v>
      </c>
      <c r="M12" s="461">
        <v>2008</v>
      </c>
      <c r="N12" s="461">
        <v>2009</v>
      </c>
      <c r="O12" s="461">
        <v>2010</v>
      </c>
      <c r="P12" s="461">
        <v>2011</v>
      </c>
      <c r="Q12" s="461">
        <v>2012</v>
      </c>
      <c r="R12" s="461">
        <v>2013</v>
      </c>
      <c r="S12" s="461">
        <v>2014</v>
      </c>
      <c r="T12" s="461">
        <v>2015</v>
      </c>
      <c r="U12" s="461">
        <v>2016</v>
      </c>
      <c r="V12" s="461">
        <v>2017</v>
      </c>
      <c r="W12" s="461">
        <v>2018</v>
      </c>
      <c r="X12" s="461">
        <v>2019</v>
      </c>
      <c r="Y12" s="461">
        <v>2020</v>
      </c>
      <c r="Z12" s="461">
        <v>2021</v>
      </c>
      <c r="AA12" s="461">
        <v>2022</v>
      </c>
      <c r="AB12" s="461">
        <v>2023</v>
      </c>
      <c r="AC12" s="461">
        <v>2024</v>
      </c>
      <c r="AD12" s="461">
        <v>2025</v>
      </c>
      <c r="AE12" s="462">
        <v>2026</v>
      </c>
      <c r="AF12" s="22" t="s">
        <v>244</v>
      </c>
    </row>
    <row r="13" spans="1:33" x14ac:dyDescent="0.2">
      <c r="A13" s="6" t="s">
        <v>168</v>
      </c>
      <c r="B13" s="7"/>
      <c r="C13" s="7"/>
      <c r="D13" s="7"/>
      <c r="E13" s="7"/>
      <c r="F13" s="7">
        <f>CF!D7</f>
        <v>12</v>
      </c>
      <c r="G13" s="7">
        <f>CF!E7</f>
        <v>12</v>
      </c>
      <c r="H13" s="7">
        <f>CF!F7</f>
        <v>12</v>
      </c>
      <c r="I13" s="7">
        <v>12</v>
      </c>
      <c r="J13" s="7">
        <v>12</v>
      </c>
      <c r="K13" s="7">
        <v>12</v>
      </c>
      <c r="L13" s="7">
        <v>12</v>
      </c>
      <c r="M13" s="7">
        <v>12</v>
      </c>
      <c r="N13" s="7">
        <v>12</v>
      </c>
      <c r="O13" s="7">
        <v>12</v>
      </c>
      <c r="P13" s="7">
        <v>12</v>
      </c>
      <c r="Q13" s="7">
        <v>12</v>
      </c>
      <c r="R13" s="7">
        <v>12</v>
      </c>
      <c r="S13" s="7">
        <v>12</v>
      </c>
      <c r="T13" s="7">
        <v>12</v>
      </c>
      <c r="U13" s="7">
        <v>12</v>
      </c>
      <c r="V13" s="7">
        <v>12</v>
      </c>
      <c r="W13" s="7">
        <v>12</v>
      </c>
      <c r="X13" s="7">
        <v>12</v>
      </c>
      <c r="Y13" s="7">
        <v>12</v>
      </c>
      <c r="Z13" s="7">
        <v>12</v>
      </c>
      <c r="AA13" s="7">
        <v>12</v>
      </c>
      <c r="AB13" s="7">
        <v>12</v>
      </c>
      <c r="AC13" s="7">
        <v>12</v>
      </c>
      <c r="AD13" s="7">
        <v>12</v>
      </c>
      <c r="AE13" s="7">
        <v>12</v>
      </c>
      <c r="AF13" s="268"/>
    </row>
    <row r="14" spans="1:3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8" t="s">
        <v>290</v>
      </c>
      <c r="B15" s="11"/>
      <c r="C15" s="11"/>
      <c r="D15" s="11"/>
      <c r="E15" s="29" t="s">
        <v>291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1"/>
      <c r="AG15" s="5"/>
    </row>
    <row r="16" spans="1:33" x14ac:dyDescent="0.2">
      <c r="A16" s="4" t="s">
        <v>292</v>
      </c>
      <c r="B16" s="5"/>
      <c r="C16" s="5"/>
      <c r="D16" s="5"/>
      <c r="E16" s="22" t="s">
        <v>293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20"/>
      <c r="AG16" s="5"/>
    </row>
    <row r="17" spans="1:33" x14ac:dyDescent="0.2">
      <c r="A17" s="4"/>
      <c r="B17" s="5" t="s">
        <v>413</v>
      </c>
      <c r="C17" s="5"/>
      <c r="D17" s="5"/>
      <c r="E17" s="37">
        <f>ASS!I19</f>
        <v>13000</v>
      </c>
      <c r="F17" s="438">
        <f>$E$17*F9</f>
        <v>487.5</v>
      </c>
      <c r="G17" s="439">
        <f t="shared" ref="G17:AE17" si="4">$E$17*G9</f>
        <v>938.47</v>
      </c>
      <c r="H17" s="44">
        <f t="shared" si="4"/>
        <v>866.70999999999992</v>
      </c>
      <c r="I17" s="44">
        <f t="shared" si="4"/>
        <v>803.01</v>
      </c>
      <c r="J17" s="44">
        <f t="shared" si="4"/>
        <v>742.69</v>
      </c>
      <c r="K17" s="44">
        <f t="shared" si="4"/>
        <v>687.05000000000007</v>
      </c>
      <c r="L17" s="44">
        <f t="shared" si="4"/>
        <v>635.44000000000005</v>
      </c>
      <c r="M17" s="44">
        <f t="shared" si="4"/>
        <v>587.86</v>
      </c>
      <c r="N17" s="44">
        <f t="shared" si="4"/>
        <v>580.05999999999995</v>
      </c>
      <c r="O17" s="44">
        <f t="shared" si="4"/>
        <v>579.92999999999995</v>
      </c>
      <c r="P17" s="44">
        <f t="shared" si="4"/>
        <v>580.05999999999995</v>
      </c>
      <c r="Q17" s="44">
        <f t="shared" si="4"/>
        <v>579.92999999999995</v>
      </c>
      <c r="R17" s="44">
        <f t="shared" si="4"/>
        <v>580.05999999999995</v>
      </c>
      <c r="S17" s="44">
        <f t="shared" si="4"/>
        <v>579.92999999999995</v>
      </c>
      <c r="T17" s="44">
        <f t="shared" si="4"/>
        <v>580.05999999999995</v>
      </c>
      <c r="U17" s="44">
        <f t="shared" si="4"/>
        <v>579.92999999999995</v>
      </c>
      <c r="V17" s="44">
        <f t="shared" si="4"/>
        <v>580.05999999999995</v>
      </c>
      <c r="W17" s="44">
        <f t="shared" si="4"/>
        <v>579.92999999999995</v>
      </c>
      <c r="X17" s="44">
        <f t="shared" si="4"/>
        <v>580.05999999999995</v>
      </c>
      <c r="Y17" s="44">
        <f t="shared" si="4"/>
        <v>579.92999999999995</v>
      </c>
      <c r="Z17" s="44">
        <f t="shared" si="4"/>
        <v>290.02999999999997</v>
      </c>
      <c r="AA17" s="44">
        <f t="shared" si="4"/>
        <v>1.2999999999969702</v>
      </c>
      <c r="AB17" s="44">
        <f t="shared" si="4"/>
        <v>0</v>
      </c>
      <c r="AC17" s="44">
        <f t="shared" si="4"/>
        <v>0</v>
      </c>
      <c r="AD17" s="44">
        <f t="shared" si="4"/>
        <v>0</v>
      </c>
      <c r="AE17" s="440">
        <f t="shared" si="4"/>
        <v>0</v>
      </c>
      <c r="AF17" s="37">
        <f>SUM(F17:AE17)</f>
        <v>12999.999999999996</v>
      </c>
      <c r="AG17" s="5"/>
    </row>
    <row r="18" spans="1:33" x14ac:dyDescent="0.2">
      <c r="A18" s="4"/>
      <c r="B18" s="5" t="s">
        <v>294</v>
      </c>
      <c r="C18" s="5" t="s">
        <v>6</v>
      </c>
      <c r="D18" s="5"/>
      <c r="E18" s="37">
        <f t="shared" ref="E18:AE18" si="5">SUM(E17:E17)</f>
        <v>13000</v>
      </c>
      <c r="F18" s="35">
        <f t="shared" si="5"/>
        <v>487.5</v>
      </c>
      <c r="G18" s="35">
        <f t="shared" si="5"/>
        <v>938.47</v>
      </c>
      <c r="H18" s="35">
        <f t="shared" si="5"/>
        <v>866.70999999999992</v>
      </c>
      <c r="I18" s="35">
        <f t="shared" si="5"/>
        <v>803.01</v>
      </c>
      <c r="J18" s="35">
        <f t="shared" si="5"/>
        <v>742.69</v>
      </c>
      <c r="K18" s="35">
        <f t="shared" si="5"/>
        <v>687.05000000000007</v>
      </c>
      <c r="L18" s="35">
        <f t="shared" si="5"/>
        <v>635.44000000000005</v>
      </c>
      <c r="M18" s="35">
        <f t="shared" si="5"/>
        <v>587.86</v>
      </c>
      <c r="N18" s="35">
        <f t="shared" si="5"/>
        <v>580.05999999999995</v>
      </c>
      <c r="O18" s="35">
        <f t="shared" si="5"/>
        <v>579.92999999999995</v>
      </c>
      <c r="P18" s="35">
        <f t="shared" si="5"/>
        <v>580.05999999999995</v>
      </c>
      <c r="Q18" s="35">
        <f t="shared" si="5"/>
        <v>579.92999999999995</v>
      </c>
      <c r="R18" s="35">
        <f t="shared" si="5"/>
        <v>580.05999999999995</v>
      </c>
      <c r="S18" s="35">
        <f t="shared" si="5"/>
        <v>579.92999999999995</v>
      </c>
      <c r="T18" s="35">
        <f t="shared" si="5"/>
        <v>580.05999999999995</v>
      </c>
      <c r="U18" s="35">
        <f t="shared" si="5"/>
        <v>579.92999999999995</v>
      </c>
      <c r="V18" s="35">
        <f t="shared" si="5"/>
        <v>580.05999999999995</v>
      </c>
      <c r="W18" s="35">
        <f t="shared" si="5"/>
        <v>579.92999999999995</v>
      </c>
      <c r="X18" s="35">
        <f t="shared" si="5"/>
        <v>580.05999999999995</v>
      </c>
      <c r="Y18" s="35">
        <f t="shared" si="5"/>
        <v>579.92999999999995</v>
      </c>
      <c r="Z18" s="35">
        <f t="shared" si="5"/>
        <v>290.02999999999997</v>
      </c>
      <c r="AA18" s="35">
        <f t="shared" si="5"/>
        <v>1.2999999999969702</v>
      </c>
      <c r="AB18" s="35">
        <f t="shared" si="5"/>
        <v>0</v>
      </c>
      <c r="AC18" s="35">
        <f t="shared" si="5"/>
        <v>0</v>
      </c>
      <c r="AD18" s="35">
        <f t="shared" si="5"/>
        <v>0</v>
      </c>
      <c r="AE18" s="35">
        <f t="shared" si="5"/>
        <v>0</v>
      </c>
      <c r="AF18" s="37">
        <f>SUM(F18:AE18)</f>
        <v>12999.999999999996</v>
      </c>
      <c r="AG18" s="5"/>
    </row>
    <row r="19" spans="1:33" x14ac:dyDescent="0.2">
      <c r="A19" s="4"/>
      <c r="B19" s="345" t="s">
        <v>295</v>
      </c>
      <c r="C19" s="5" t="s">
        <v>6</v>
      </c>
      <c r="D19" s="5"/>
      <c r="E19" s="37"/>
      <c r="F19" s="346">
        <f>F18</f>
        <v>487.5</v>
      </c>
      <c r="G19" s="346">
        <f>F19+G18</f>
        <v>1425.97</v>
      </c>
      <c r="H19" s="346">
        <f t="shared" ref="H19:W19" si="6">G19+H18</f>
        <v>2292.6799999999998</v>
      </c>
      <c r="I19" s="346">
        <f t="shared" si="6"/>
        <v>3095.6899999999996</v>
      </c>
      <c r="J19" s="346">
        <f t="shared" si="6"/>
        <v>3838.3799999999997</v>
      </c>
      <c r="K19" s="346">
        <f t="shared" si="6"/>
        <v>4525.4299999999994</v>
      </c>
      <c r="L19" s="346">
        <f t="shared" si="6"/>
        <v>5160.869999999999</v>
      </c>
      <c r="M19" s="346">
        <f t="shared" si="6"/>
        <v>5748.7299999999987</v>
      </c>
      <c r="N19" s="346">
        <f t="shared" si="6"/>
        <v>6328.7899999999991</v>
      </c>
      <c r="O19" s="346">
        <f t="shared" si="6"/>
        <v>6908.7199999999993</v>
      </c>
      <c r="P19" s="346">
        <f t="shared" si="6"/>
        <v>7488.7799999999988</v>
      </c>
      <c r="Q19" s="346">
        <f t="shared" si="6"/>
        <v>8068.7099999999991</v>
      </c>
      <c r="R19" s="346">
        <f t="shared" si="6"/>
        <v>8648.7699999999986</v>
      </c>
      <c r="S19" s="346">
        <f t="shared" si="6"/>
        <v>9228.6999999999989</v>
      </c>
      <c r="T19" s="346">
        <f t="shared" si="6"/>
        <v>9808.7599999999984</v>
      </c>
      <c r="U19" s="346">
        <f t="shared" si="6"/>
        <v>10388.689999999999</v>
      </c>
      <c r="V19" s="346">
        <f t="shared" si="6"/>
        <v>10968.749999999998</v>
      </c>
      <c r="W19" s="346">
        <f t="shared" si="6"/>
        <v>11548.679999999998</v>
      </c>
      <c r="X19" s="346">
        <f t="shared" ref="X19:AE19" si="7">W19+X18</f>
        <v>12128.739999999998</v>
      </c>
      <c r="Y19" s="346">
        <f t="shared" si="7"/>
        <v>12708.669999999998</v>
      </c>
      <c r="Z19" s="346">
        <f t="shared" si="7"/>
        <v>12998.699999999999</v>
      </c>
      <c r="AA19" s="346">
        <f t="shared" si="7"/>
        <v>12999.999999999996</v>
      </c>
      <c r="AB19" s="346">
        <f t="shared" si="7"/>
        <v>12999.999999999996</v>
      </c>
      <c r="AC19" s="346">
        <f t="shared" si="7"/>
        <v>12999.999999999996</v>
      </c>
      <c r="AD19" s="346">
        <f t="shared" si="7"/>
        <v>12999.999999999996</v>
      </c>
      <c r="AE19" s="346">
        <f t="shared" si="7"/>
        <v>12999.999999999996</v>
      </c>
      <c r="AF19" s="37"/>
      <c r="AG19" s="5"/>
    </row>
    <row r="20" spans="1:33" x14ac:dyDescent="0.2">
      <c r="A20" s="4"/>
      <c r="B20" s="5"/>
      <c r="C20" s="5" t="s">
        <v>6</v>
      </c>
      <c r="D20" s="5"/>
      <c r="E20" s="37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7"/>
      <c r="AG20" s="5"/>
    </row>
    <row r="21" spans="1:33" x14ac:dyDescent="0.2">
      <c r="A21" s="4"/>
      <c r="B21" s="5" t="s">
        <v>296</v>
      </c>
      <c r="C21" s="288"/>
      <c r="D21" s="5"/>
      <c r="E21" s="37"/>
      <c r="F21" s="35">
        <v>0</v>
      </c>
      <c r="G21" s="35">
        <f t="shared" ref="G21:AE21" si="8">F24</f>
        <v>12512.5</v>
      </c>
      <c r="H21" s="35">
        <f t="shared" si="8"/>
        <v>11574.03</v>
      </c>
      <c r="I21" s="35">
        <f t="shared" si="8"/>
        <v>10707.320000000002</v>
      </c>
      <c r="J21" s="35">
        <f t="shared" si="8"/>
        <v>9904.3100000000013</v>
      </c>
      <c r="K21" s="35">
        <f t="shared" si="8"/>
        <v>9161.6200000000008</v>
      </c>
      <c r="L21" s="35">
        <f t="shared" si="8"/>
        <v>8474.5700000000015</v>
      </c>
      <c r="M21" s="35">
        <f t="shared" si="8"/>
        <v>7839.130000000001</v>
      </c>
      <c r="N21" s="35">
        <f t="shared" si="8"/>
        <v>7251.2700000000013</v>
      </c>
      <c r="O21" s="35">
        <f t="shared" si="8"/>
        <v>6671.2100000000009</v>
      </c>
      <c r="P21" s="35">
        <f t="shared" si="8"/>
        <v>6091.2800000000007</v>
      </c>
      <c r="Q21" s="35">
        <f t="shared" si="8"/>
        <v>5511.2200000000012</v>
      </c>
      <c r="R21" s="35">
        <f t="shared" si="8"/>
        <v>4931.2900000000009</v>
      </c>
      <c r="S21" s="35">
        <f t="shared" si="8"/>
        <v>4351.2300000000014</v>
      </c>
      <c r="T21" s="35">
        <f t="shared" si="8"/>
        <v>3771.3000000000015</v>
      </c>
      <c r="U21" s="35">
        <f t="shared" si="8"/>
        <v>3191.2400000000016</v>
      </c>
      <c r="V21" s="35">
        <f t="shared" si="8"/>
        <v>2611.3100000000018</v>
      </c>
      <c r="W21" s="35">
        <f t="shared" si="8"/>
        <v>2031.2500000000018</v>
      </c>
      <c r="X21" s="35">
        <f t="shared" si="8"/>
        <v>1451.320000000002</v>
      </c>
      <c r="Y21" s="35">
        <f t="shared" si="8"/>
        <v>871.26000000000204</v>
      </c>
      <c r="Z21" s="35">
        <f t="shared" si="8"/>
        <v>291.33000000000209</v>
      </c>
      <c r="AA21" s="35">
        <f t="shared" si="8"/>
        <v>1.3000000000021146</v>
      </c>
      <c r="AB21" s="35">
        <f t="shared" si="8"/>
        <v>5.1443294069031253E-12</v>
      </c>
      <c r="AC21" s="35">
        <f t="shared" si="8"/>
        <v>5.1443294069031253E-12</v>
      </c>
      <c r="AD21" s="35">
        <f t="shared" si="8"/>
        <v>5.1443294069031253E-12</v>
      </c>
      <c r="AE21" s="35">
        <f t="shared" si="8"/>
        <v>5.1443294069031253E-12</v>
      </c>
      <c r="AF21" s="37"/>
      <c r="AG21" s="5"/>
    </row>
    <row r="22" spans="1:33" x14ac:dyDescent="0.2">
      <c r="A22" s="4"/>
      <c r="B22" s="5" t="s">
        <v>297</v>
      </c>
      <c r="C22" s="5"/>
      <c r="D22" s="5"/>
      <c r="E22" s="37"/>
      <c r="F22" s="35">
        <f>E18</f>
        <v>13000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7">
        <f>SUM(F22:AE22)</f>
        <v>13000</v>
      </c>
      <c r="AG22" s="5"/>
    </row>
    <row r="23" spans="1:33" x14ac:dyDescent="0.2">
      <c r="A23" s="4"/>
      <c r="B23" s="5" t="s">
        <v>298</v>
      </c>
      <c r="C23" s="5"/>
      <c r="D23" s="5"/>
      <c r="E23" s="37"/>
      <c r="F23" s="38">
        <f>-F18</f>
        <v>-487.5</v>
      </c>
      <c r="G23" s="38">
        <f>-G17</f>
        <v>-938.47</v>
      </c>
      <c r="H23" s="38">
        <f t="shared" ref="H23:W23" si="9">-H17</f>
        <v>-866.70999999999992</v>
      </c>
      <c r="I23" s="38">
        <f t="shared" si="9"/>
        <v>-803.01</v>
      </c>
      <c r="J23" s="38">
        <f t="shared" si="9"/>
        <v>-742.69</v>
      </c>
      <c r="K23" s="38">
        <f t="shared" si="9"/>
        <v>-687.05000000000007</v>
      </c>
      <c r="L23" s="38">
        <f t="shared" si="9"/>
        <v>-635.44000000000005</v>
      </c>
      <c r="M23" s="38">
        <f t="shared" si="9"/>
        <v>-587.86</v>
      </c>
      <c r="N23" s="38">
        <f t="shared" si="9"/>
        <v>-580.05999999999995</v>
      </c>
      <c r="O23" s="38">
        <f t="shared" si="9"/>
        <v>-579.92999999999995</v>
      </c>
      <c r="P23" s="38">
        <f t="shared" si="9"/>
        <v>-580.05999999999995</v>
      </c>
      <c r="Q23" s="38">
        <f t="shared" si="9"/>
        <v>-579.92999999999995</v>
      </c>
      <c r="R23" s="38">
        <f t="shared" si="9"/>
        <v>-580.05999999999995</v>
      </c>
      <c r="S23" s="38">
        <f t="shared" si="9"/>
        <v>-579.92999999999995</v>
      </c>
      <c r="T23" s="38">
        <f t="shared" si="9"/>
        <v>-580.05999999999995</v>
      </c>
      <c r="U23" s="38">
        <f t="shared" si="9"/>
        <v>-579.92999999999995</v>
      </c>
      <c r="V23" s="38">
        <f t="shared" si="9"/>
        <v>-580.05999999999995</v>
      </c>
      <c r="W23" s="38">
        <f t="shared" si="9"/>
        <v>-579.92999999999995</v>
      </c>
      <c r="X23" s="38">
        <f t="shared" ref="X23:AE23" si="10">-X17</f>
        <v>-580.05999999999995</v>
      </c>
      <c r="Y23" s="38">
        <f t="shared" si="10"/>
        <v>-579.92999999999995</v>
      </c>
      <c r="Z23" s="38">
        <f t="shared" si="10"/>
        <v>-290.02999999999997</v>
      </c>
      <c r="AA23" s="38">
        <f t="shared" si="10"/>
        <v>-1.2999999999969702</v>
      </c>
      <c r="AB23" s="38">
        <f t="shared" si="10"/>
        <v>0</v>
      </c>
      <c r="AC23" s="38">
        <f t="shared" si="10"/>
        <v>0</v>
      </c>
      <c r="AD23" s="38">
        <f t="shared" si="10"/>
        <v>0</v>
      </c>
      <c r="AE23" s="38">
        <f t="shared" si="10"/>
        <v>0</v>
      </c>
      <c r="AF23" s="37">
        <f>SUM(F23:AE23)</f>
        <v>-12999.999999999996</v>
      </c>
      <c r="AG23" s="5"/>
    </row>
    <row r="24" spans="1:33" x14ac:dyDescent="0.2">
      <c r="A24" s="6"/>
      <c r="B24" s="7" t="s">
        <v>299</v>
      </c>
      <c r="C24" s="7" t="s">
        <v>6</v>
      </c>
      <c r="D24" s="7"/>
      <c r="E24" s="45"/>
      <c r="F24" s="44">
        <f>SUM(F21:F23)</f>
        <v>12512.5</v>
      </c>
      <c r="G24" s="44">
        <f>SUM(G21:G23)</f>
        <v>11574.03</v>
      </c>
      <c r="H24" s="44">
        <f t="shared" ref="H24:W24" si="11">SUM(H21:H23)</f>
        <v>10707.320000000002</v>
      </c>
      <c r="I24" s="44">
        <f t="shared" si="11"/>
        <v>9904.3100000000013</v>
      </c>
      <c r="J24" s="44">
        <f t="shared" si="11"/>
        <v>9161.6200000000008</v>
      </c>
      <c r="K24" s="44">
        <f t="shared" si="11"/>
        <v>8474.5700000000015</v>
      </c>
      <c r="L24" s="44">
        <f t="shared" si="11"/>
        <v>7839.130000000001</v>
      </c>
      <c r="M24" s="44">
        <f t="shared" si="11"/>
        <v>7251.2700000000013</v>
      </c>
      <c r="N24" s="44">
        <f t="shared" si="11"/>
        <v>6671.2100000000009</v>
      </c>
      <c r="O24" s="44">
        <f t="shared" si="11"/>
        <v>6091.2800000000007</v>
      </c>
      <c r="P24" s="44">
        <f t="shared" si="11"/>
        <v>5511.2200000000012</v>
      </c>
      <c r="Q24" s="44">
        <f t="shared" si="11"/>
        <v>4931.2900000000009</v>
      </c>
      <c r="R24" s="44">
        <f t="shared" si="11"/>
        <v>4351.2300000000014</v>
      </c>
      <c r="S24" s="44">
        <f t="shared" si="11"/>
        <v>3771.3000000000015</v>
      </c>
      <c r="T24" s="44">
        <f t="shared" si="11"/>
        <v>3191.2400000000016</v>
      </c>
      <c r="U24" s="44">
        <f t="shared" si="11"/>
        <v>2611.3100000000018</v>
      </c>
      <c r="V24" s="44">
        <f t="shared" si="11"/>
        <v>2031.2500000000018</v>
      </c>
      <c r="W24" s="44">
        <f t="shared" si="11"/>
        <v>1451.320000000002</v>
      </c>
      <c r="X24" s="44">
        <f t="shared" ref="X24:AE24" si="12">SUM(X21:X23)</f>
        <v>871.26000000000204</v>
      </c>
      <c r="Y24" s="44">
        <f t="shared" si="12"/>
        <v>291.33000000000209</v>
      </c>
      <c r="Z24" s="44">
        <f t="shared" si="12"/>
        <v>1.3000000000021146</v>
      </c>
      <c r="AA24" s="44">
        <f t="shared" si="12"/>
        <v>5.1443294069031253E-12</v>
      </c>
      <c r="AB24" s="44">
        <f t="shared" si="12"/>
        <v>5.1443294069031253E-12</v>
      </c>
      <c r="AC24" s="44">
        <f t="shared" si="12"/>
        <v>5.1443294069031253E-12</v>
      </c>
      <c r="AD24" s="44">
        <f t="shared" si="12"/>
        <v>5.1443294069031253E-12</v>
      </c>
      <c r="AE24" s="44">
        <f t="shared" si="12"/>
        <v>5.1443294069031253E-12</v>
      </c>
      <c r="AF24" s="45"/>
      <c r="AG24" s="5"/>
    </row>
    <row r="25" spans="1:3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8" t="s">
        <v>300</v>
      </c>
      <c r="B26" s="11"/>
      <c r="C26" s="11"/>
      <c r="D26" s="2"/>
      <c r="E26" s="2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1"/>
      <c r="AG26" s="5"/>
    </row>
    <row r="27" spans="1:33" x14ac:dyDescent="0.2">
      <c r="A27" s="4" t="s">
        <v>301</v>
      </c>
      <c r="B27" s="5"/>
      <c r="C27" s="5"/>
      <c r="D27" s="5"/>
      <c r="E27" s="2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0"/>
      <c r="AG27" s="5"/>
    </row>
    <row r="28" spans="1:33" x14ac:dyDescent="0.2">
      <c r="A28" s="4"/>
      <c r="B28" s="5" t="s">
        <v>413</v>
      </c>
      <c r="C28" s="5"/>
      <c r="D28" s="5"/>
      <c r="E28" s="37">
        <f>ASS!$I21</f>
        <v>13000</v>
      </c>
      <c r="F28" s="344">
        <f>IF(ASS!$J$21=0, 0,  IF(F11&lt;ASS!$J$21+1, SLN(ASS!$I$21,0,ASS!$J$21)*F13/12, IF(F11=ASS!$J$21+1, SLN(ASS!$I$21,0,ASS!$J$21)*(12-F13)/12, 0)))</f>
        <v>456.14035087719299</v>
      </c>
      <c r="G28" s="343">
        <f>IF(ASS!$J$21=0, 0, IF(G11=ASS!$J$21,$E$28-SUM($F$28:F28),IF(G11&gt;TERM,0,IF(G11&lt;ASS!$J$21+1, SLN(ASS!$I$21,0,ASS!$J$21)*G13/12, IF(G11=ASS!$J$21+1, SLN(ASS!$I$21,0,ASS!$J$21)*(12-G13)/12, 0)))))</f>
        <v>456.14035087719299</v>
      </c>
      <c r="H28" s="35">
        <f>IF(ASS!$J$21=0, 0, IF(H11=ASS!$J$21,$E$28-SUM($F$28:G28),IF(H11&gt;TERM,0,IF(H11&lt;ASS!$J$21+1, SLN(ASS!$I$21,0,ASS!$J$21)*H13/12, IF(H11=ASS!$J$21+1, SLN(ASS!$I$21,0,ASS!$J$21)*(12-H13)/12, 0)))))</f>
        <v>456.14035087719299</v>
      </c>
      <c r="I28" s="35">
        <f>IF(ASS!$J$21=0, 0, IF(I11=ASS!$J$21,$E$28-SUM($F$28:H28),IF(I11&gt;TERM,0,IF(I11&lt;ASS!$J$21+1, SLN(ASS!$I$21,0,ASS!$J$21)*I13/12, IF(I11=ASS!$J$21+1, SLN(ASS!$I$21,0,ASS!$J$21)*(12-I13)/12, 0)))))</f>
        <v>456.14035087719299</v>
      </c>
      <c r="J28" s="35">
        <f>IF(ASS!$J$21=0, 0, IF(J11=ASS!$J$21,$E$28-SUM($F$28:I28),IF(J11&gt;TERM,0,IF(J11&lt;ASS!$J$21+1, SLN(ASS!$I$21,0,ASS!$J$21)*J13/12, IF(J11=ASS!$J$21+1, SLN(ASS!$I$21,0,ASS!$J$21)*(12-J13)/12, 0)))))</f>
        <v>456.14035087719299</v>
      </c>
      <c r="K28" s="35">
        <f>IF(ASS!$J$21=0, 0, IF(K11=ASS!$J$21,$E$28-SUM($F$28:J28),IF(K11&gt;TERM,0,IF(K11&lt;ASS!$J$21+1, SLN(ASS!$I$21,0,ASS!$J$21)*K13/12, IF(K11=ASS!$J$21+1, SLN(ASS!$I$21,0,ASS!$J$21)*(12-K13)/12, 0)))))</f>
        <v>456.14035087719299</v>
      </c>
      <c r="L28" s="35">
        <f>IF(ASS!$J$21=0, 0, IF(L11=ASS!$J$21,$E$28-SUM($F$28:K28),IF(L11&gt;TERM,0,IF(L11&lt;ASS!$J$21+1, SLN(ASS!$I$21,0,ASS!$J$21)*L13/12, IF(L11=ASS!$J$21+1, SLN(ASS!$I$21,0,ASS!$J$21)*(12-L13)/12, 0)))))</f>
        <v>456.14035087719299</v>
      </c>
      <c r="M28" s="35">
        <f>IF(ASS!$J$21=0, 0, IF(M11=ASS!$J$21,$E$28-SUM($F$28:L28),IF(M11&gt;TERM,0,IF(M11&lt;ASS!$J$21+1, SLN(ASS!$I$21,0,ASS!$J$21)*M13/12, IF(M11=ASS!$J$21+1, SLN(ASS!$I$21,0,ASS!$J$21)*(12-M13)/12, 0)))))</f>
        <v>456.14035087719299</v>
      </c>
      <c r="N28" s="35">
        <f>IF(ASS!$J$21=0, 0, IF(N11=ASS!$J$21,$E$28-SUM($F$28:M28),IF(N11&gt;TERM,0,IF(N11&lt;ASS!$J$21+1, SLN(ASS!$I$21,0,ASS!$J$21)*N13/12, IF(N11=ASS!$J$21+1, SLN(ASS!$I$21,0,ASS!$J$21)*(12-N13)/12, 0)))))</f>
        <v>456.14035087719299</v>
      </c>
      <c r="O28" s="35">
        <f>IF(ASS!$J$21=0, 0, IF(O11=ASS!$J$21,$E$28-SUM($F$28:N28),IF(O11&gt;TERM,0,IF(O11&lt;ASS!$J$21+1, SLN(ASS!$I$21,0,ASS!$J$21)*O13/12, IF(O11=ASS!$J$21+1, SLN(ASS!$I$21,0,ASS!$J$21)*(12-O13)/12, 0)))))</f>
        <v>456.14035087719299</v>
      </c>
      <c r="P28" s="35">
        <f>IF(ASS!$J$21=0, 0, IF(P11=ASS!$J$21,$E$28-SUM($F$28:O28),IF(P11&gt;TERM,0,IF(P11&lt;ASS!$J$21+1, SLN(ASS!$I$21,0,ASS!$J$21)*P13/12, IF(P11=ASS!$J$21+1, SLN(ASS!$I$21,0,ASS!$J$21)*(12-P13)/12, 0)))))</f>
        <v>456.14035087719299</v>
      </c>
      <c r="Q28" s="35">
        <f>IF(ASS!$J$21=0, 0, IF(Q11=ASS!$J$21,$E$28-SUM($F$28:P28),IF(Q11&gt;TERM,0,IF(Q11&lt;ASS!$J$21+1, SLN(ASS!$I$21,0,ASS!$J$21)*Q13/12, IF(Q11=ASS!$J$21+1, SLN(ASS!$I$21,0,ASS!$J$21)*(12-Q13)/12, 0)))))</f>
        <v>456.14035087719299</v>
      </c>
      <c r="R28" s="35">
        <f>IF(ASS!$J$21=0, 0, IF(R11=ASS!$J$21,$E$28-SUM($F$28:Q28),IF(R11&gt;TERM,0,IF(R11&lt;ASS!$J$21+1, SLN(ASS!$I$21,0,ASS!$J$21)*R13/12, IF(R11=ASS!$J$21+1, SLN(ASS!$I$21,0,ASS!$J$21)*(12-R13)/12, 0)))))</f>
        <v>456.14035087719299</v>
      </c>
      <c r="S28" s="35">
        <f>IF(ASS!$J$21=0, 0, IF(S11=ASS!$J$21,$E$28-SUM($F$28:R28),IF(S11&gt;TERM,0,IF(S11&lt;ASS!$J$21+1, SLN(ASS!$I$21,0,ASS!$J$21)*S13/12, IF(S11=ASS!$J$21+1, SLN(ASS!$I$21,0,ASS!$J$21)*(12-S13)/12, 0)))))</f>
        <v>456.14035087719299</v>
      </c>
      <c r="T28" s="35">
        <f>IF(ASS!$J$21=0, 0, IF(T11=ASS!$J$21,$E$28-SUM($F$28:S28),IF(T11&gt;TERM,0,IF(T11&lt;ASS!$J$21+1, SLN(ASS!$I$21,0,ASS!$J$21)*T13/12, IF(T11=ASS!$J$21+1, SLN(ASS!$I$21,0,ASS!$J$21)*(12-T13)/12, 0)))))</f>
        <v>456.14035087719299</v>
      </c>
      <c r="U28" s="35">
        <f>IF(ASS!$J$21=0, 0, IF(U11=ASS!$J$21,$E$28-SUM($F$28:T28),IF(U11&gt;TERM,0,IF(U11&lt;ASS!$J$21+1, SLN(ASS!$I$21,0,ASS!$J$21)*U13/12, IF(U11=ASS!$J$21+1, SLN(ASS!$I$21,0,ASS!$J$21)*(12-U13)/12, 0)))))</f>
        <v>456.14035087719299</v>
      </c>
      <c r="V28" s="35">
        <f>IF(ASS!$J$21=0, 0, IF(V11=ASS!$J$21,$E$28-SUM($F$28:U28),IF(V11&gt;TERM,0,IF(V11&lt;ASS!$J$21+1, SLN(ASS!$I$21,0,ASS!$J$21)*V13/12, IF(V11=ASS!$J$21+1, SLN(ASS!$I$21,0,ASS!$J$21)*(12-V13)/12, 0)))))</f>
        <v>456.14035087719299</v>
      </c>
      <c r="W28" s="35">
        <f>IF(ASS!$J$21=0, 0, IF(W11=ASS!$J$21,$E$28-SUM($F$28:V28),IF(W11&gt;TERM,0,IF(W11&lt;ASS!$J$21+1, SLN(ASS!$I$21,0,ASS!$J$21)*W13/12, IF(W11=ASS!$J$21+1, SLN(ASS!$I$21,0,ASS!$J$21)*(12-W13)/12, 0)))))</f>
        <v>456.14035087719299</v>
      </c>
      <c r="X28" s="35">
        <f>IF(ASS!$J$21=0, 0, IF(X11=ASS!$J$21,$E$28-SUM($F$28:W28),IF(X11&gt;TERM,0,IF(X11&lt;ASS!$J$21+1, SLN(ASS!$I$21,0,ASS!$J$21)*X13/12, IF(X11=ASS!$J$21+1, SLN(ASS!$I$21,0,ASS!$J$21)*(12-X13)/12, 0)))))</f>
        <v>456.14035087719299</v>
      </c>
      <c r="Y28" s="35">
        <f>IF(ASS!$J$21=0, 0, IF(Y11=ASS!$J$21,$E$28-SUM($F$28:X28),IF(Y11&gt;TERM,0,IF(Y11&lt;ASS!$J$21+1, SLN(ASS!$I$21,0,ASS!$J$21)*Y13/12, IF(Y11=ASS!$J$21+1, SLN(ASS!$I$21,0,ASS!$J$21)*(12-Y13)/12, 0)))))</f>
        <v>456.14035087719299</v>
      </c>
      <c r="Z28" s="35">
        <f>IF(ASS!$J$21=0, 0, IF(Z11=ASS!$J$21,$E$28-SUM($F$28:Y28),IF(Z11&gt;TERM,0,IF(Z11&lt;ASS!$J$21+1, SLN(ASS!$I$21,0,ASS!$J$21)*Z13/12, IF(Z11=ASS!$J$21+1, SLN(ASS!$I$21,0,ASS!$J$21)*(12-Z13)/12, 0)))))</f>
        <v>456.14035087719299</v>
      </c>
      <c r="AA28" s="35">
        <f>IF(ASS!$J$21=0, 0, IF(AA11=ASS!$J$21,$E$28-SUM($F$28:Z28),IF(AA11&gt;TERM,0,IF(AA11&lt;ASS!$J$21+1, SLN(ASS!$I$21,0,ASS!$J$21)*AA13/12, IF(AA11=ASS!$J$21+1, SLN(ASS!$I$21,0,ASS!$J$21)*(12-AA13)/12, 0)))))</f>
        <v>456.14035087719299</v>
      </c>
      <c r="AB28" s="35">
        <f>IF(ASS!$J$21=0, 0, IF(AB11=ASS!$J$21,$E$28-SUM($F$28:AA28),IF(AB11&gt;TERM,0,IF(AB11&lt;ASS!$J$21+1, SLN(ASS!$I$21,0,ASS!$J$21)*AB13/12, IF(AB11=ASS!$J$21+1, SLN(ASS!$I$21,0,ASS!$J$21)*(12-AB13)/12, 0)))))</f>
        <v>456.14035087719299</v>
      </c>
      <c r="AC28" s="35">
        <f>IF(ASS!$J$21=0, 0, IF(AC11=ASS!$J$21,$E$28-SUM($F$28:AB28),IF(AC11&gt;TERM,0,IF(AC11&lt;ASS!$J$21+1, SLN(ASS!$I$21,0,ASS!$J$21)*AC13/12, IF(AC11=ASS!$J$21+1, SLN(ASS!$I$21,0,ASS!$J$21)*(12-AC13)/12, 0)))))</f>
        <v>456.14035087719299</v>
      </c>
      <c r="AD28" s="35">
        <f>IF(ASS!$J$21=0, 0, IF(AD11=ASS!$J$21,$E$28-SUM($F$28:AC28),IF(AD11&gt;TERM,0,IF(AD11&lt;ASS!$J$21+1, SLN(ASS!$I$21,0,ASS!$J$21)*AD13/12, IF(AD11=ASS!$J$21+1, SLN(ASS!$I$21,0,ASS!$J$21)*(12-AD13)/12, 0)))))</f>
        <v>456.14035087719299</v>
      </c>
      <c r="AE28" s="35">
        <f>IF(ASS!$J$21=0, 0, IF(AE11=ASS!$J$21,$E$28-SUM($F$28:AD28),IF(AE11&gt;TERM,0,IF(AE11&lt;ASS!$J$21+1, SLN(ASS!$I$21,0,ASS!$J$21)*AE13/12, IF(AE11=ASS!$J$21+1, SLN(ASS!$I$21,0,ASS!$J$21)*(12-AE13)/12, 0)))))</f>
        <v>456.14035087719299</v>
      </c>
      <c r="AF28" s="37">
        <f>SUM(F28:AE28)</f>
        <v>11859.649122807014</v>
      </c>
      <c r="AG28" s="5"/>
    </row>
    <row r="29" spans="1:33" x14ac:dyDescent="0.2">
      <c r="A29" s="4"/>
      <c r="B29" s="5" t="s">
        <v>302</v>
      </c>
      <c r="C29" s="288"/>
      <c r="D29" s="5"/>
      <c r="E29" s="37">
        <f>SUM(E28:E28)</f>
        <v>13000</v>
      </c>
      <c r="F29" s="35">
        <f>SUM(F28:F28)</f>
        <v>456.14035087719299</v>
      </c>
      <c r="G29" s="35">
        <f t="shared" ref="G29:AE29" si="13">G28</f>
        <v>456.14035087719299</v>
      </c>
      <c r="H29" s="35">
        <f t="shared" si="13"/>
        <v>456.14035087719299</v>
      </c>
      <c r="I29" s="35">
        <f t="shared" si="13"/>
        <v>456.14035087719299</v>
      </c>
      <c r="J29" s="35">
        <f t="shared" si="13"/>
        <v>456.14035087719299</v>
      </c>
      <c r="K29" s="35">
        <f t="shared" si="13"/>
        <v>456.14035087719299</v>
      </c>
      <c r="L29" s="35">
        <f t="shared" si="13"/>
        <v>456.14035087719299</v>
      </c>
      <c r="M29" s="35">
        <f t="shared" si="13"/>
        <v>456.14035087719299</v>
      </c>
      <c r="N29" s="35">
        <f t="shared" si="13"/>
        <v>456.14035087719299</v>
      </c>
      <c r="O29" s="35">
        <f t="shared" si="13"/>
        <v>456.14035087719299</v>
      </c>
      <c r="P29" s="35">
        <f t="shared" si="13"/>
        <v>456.14035087719299</v>
      </c>
      <c r="Q29" s="35">
        <f t="shared" si="13"/>
        <v>456.14035087719299</v>
      </c>
      <c r="R29" s="35">
        <f t="shared" si="13"/>
        <v>456.14035087719299</v>
      </c>
      <c r="S29" s="35">
        <f t="shared" si="13"/>
        <v>456.14035087719299</v>
      </c>
      <c r="T29" s="35">
        <f t="shared" si="13"/>
        <v>456.14035087719299</v>
      </c>
      <c r="U29" s="35">
        <f t="shared" si="13"/>
        <v>456.14035087719299</v>
      </c>
      <c r="V29" s="35">
        <f t="shared" si="13"/>
        <v>456.14035087719299</v>
      </c>
      <c r="W29" s="35">
        <f t="shared" si="13"/>
        <v>456.14035087719299</v>
      </c>
      <c r="X29" s="35">
        <f t="shared" si="13"/>
        <v>456.14035087719299</v>
      </c>
      <c r="Y29" s="35">
        <f t="shared" si="13"/>
        <v>456.14035087719299</v>
      </c>
      <c r="Z29" s="35">
        <f t="shared" si="13"/>
        <v>456.14035087719299</v>
      </c>
      <c r="AA29" s="35">
        <f t="shared" si="13"/>
        <v>456.14035087719299</v>
      </c>
      <c r="AB29" s="35">
        <f t="shared" si="13"/>
        <v>456.14035087719299</v>
      </c>
      <c r="AC29" s="35">
        <f t="shared" si="13"/>
        <v>456.14035087719299</v>
      </c>
      <c r="AD29" s="35">
        <f t="shared" si="13"/>
        <v>456.14035087719299</v>
      </c>
      <c r="AE29" s="35">
        <f t="shared" si="13"/>
        <v>456.14035087719299</v>
      </c>
      <c r="AF29" s="37">
        <f>SUM(F29:AE29)</f>
        <v>11859.649122807014</v>
      </c>
      <c r="AG29" s="5"/>
    </row>
    <row r="30" spans="1:33" x14ac:dyDescent="0.2">
      <c r="A30" s="4"/>
      <c r="B30" s="347" t="s">
        <v>303</v>
      </c>
      <c r="C30" s="348"/>
      <c r="D30" s="347"/>
      <c r="E30" s="349"/>
      <c r="F30" s="350">
        <f>F29</f>
        <v>456.14035087719299</v>
      </c>
      <c r="G30" s="350">
        <f>F30+G29</f>
        <v>912.28070175438597</v>
      </c>
      <c r="H30" s="350">
        <f t="shared" ref="H30:W30" si="14">G30+H29</f>
        <v>1368.421052631579</v>
      </c>
      <c r="I30" s="350">
        <f t="shared" si="14"/>
        <v>1824.5614035087719</v>
      </c>
      <c r="J30" s="350">
        <f t="shared" si="14"/>
        <v>2280.7017543859647</v>
      </c>
      <c r="K30" s="350">
        <f t="shared" si="14"/>
        <v>2736.8421052631575</v>
      </c>
      <c r="L30" s="350">
        <f t="shared" si="14"/>
        <v>3192.9824561403502</v>
      </c>
      <c r="M30" s="350">
        <f t="shared" si="14"/>
        <v>3649.122807017543</v>
      </c>
      <c r="N30" s="350">
        <f t="shared" si="14"/>
        <v>4105.2631578947357</v>
      </c>
      <c r="O30" s="350">
        <f t="shared" si="14"/>
        <v>4561.4035087719285</v>
      </c>
      <c r="P30" s="350">
        <f t="shared" si="14"/>
        <v>5017.5438596491213</v>
      </c>
      <c r="Q30" s="350">
        <f t="shared" si="14"/>
        <v>5473.684210526314</v>
      </c>
      <c r="R30" s="350">
        <f t="shared" si="14"/>
        <v>5929.8245614035068</v>
      </c>
      <c r="S30" s="350">
        <f t="shared" si="14"/>
        <v>6385.9649122806995</v>
      </c>
      <c r="T30" s="350">
        <f t="shared" si="14"/>
        <v>6842.1052631578923</v>
      </c>
      <c r="U30" s="350">
        <f t="shared" si="14"/>
        <v>7298.2456140350851</v>
      </c>
      <c r="V30" s="350">
        <f t="shared" si="14"/>
        <v>7754.3859649122778</v>
      </c>
      <c r="W30" s="350">
        <f t="shared" si="14"/>
        <v>8210.5263157894715</v>
      </c>
      <c r="X30" s="350">
        <f t="shared" ref="X30:AE30" si="15">W30+X29</f>
        <v>8666.6666666666642</v>
      </c>
      <c r="Y30" s="350">
        <f t="shared" si="15"/>
        <v>9122.807017543857</v>
      </c>
      <c r="Z30" s="350">
        <f t="shared" si="15"/>
        <v>9578.9473684210498</v>
      </c>
      <c r="AA30" s="350">
        <f t="shared" si="15"/>
        <v>10035.087719298243</v>
      </c>
      <c r="AB30" s="350">
        <f t="shared" si="15"/>
        <v>10491.228070175435</v>
      </c>
      <c r="AC30" s="350">
        <f t="shared" si="15"/>
        <v>10947.368421052628</v>
      </c>
      <c r="AD30" s="350">
        <f t="shared" si="15"/>
        <v>11403.508771929821</v>
      </c>
      <c r="AE30" s="350">
        <f t="shared" si="15"/>
        <v>11859.649122807014</v>
      </c>
      <c r="AF30" s="37"/>
      <c r="AG30" s="5"/>
    </row>
    <row r="31" spans="1:33" x14ac:dyDescent="0.2">
      <c r="A31" s="4"/>
      <c r="B31" s="5"/>
      <c r="C31" s="288"/>
      <c r="D31" s="5"/>
      <c r="E31" s="3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7"/>
      <c r="AG31" s="5"/>
    </row>
    <row r="32" spans="1:33" x14ac:dyDescent="0.2">
      <c r="A32" s="4"/>
      <c r="B32" s="5" t="s">
        <v>304</v>
      </c>
      <c r="C32" s="288"/>
      <c r="D32" s="5"/>
      <c r="E32" s="37"/>
      <c r="F32" s="35">
        <v>0</v>
      </c>
      <c r="G32" s="35">
        <f t="shared" ref="G32:AE32" si="16">F35</f>
        <v>12543.859649122807</v>
      </c>
      <c r="H32" s="35">
        <f t="shared" si="16"/>
        <v>12087.719298245614</v>
      </c>
      <c r="I32" s="35">
        <f t="shared" si="16"/>
        <v>11631.578947368422</v>
      </c>
      <c r="J32" s="35">
        <f t="shared" si="16"/>
        <v>11175.438596491229</v>
      </c>
      <c r="K32" s="35">
        <f t="shared" si="16"/>
        <v>10719.298245614036</v>
      </c>
      <c r="L32" s="35">
        <f t="shared" si="16"/>
        <v>10263.157894736843</v>
      </c>
      <c r="M32" s="35">
        <f t="shared" si="16"/>
        <v>9807.0175438596507</v>
      </c>
      <c r="N32" s="35">
        <f t="shared" si="16"/>
        <v>9350.8771929824579</v>
      </c>
      <c r="O32" s="35">
        <f t="shared" si="16"/>
        <v>8894.7368421052652</v>
      </c>
      <c r="P32" s="35">
        <f t="shared" si="16"/>
        <v>8438.5964912280724</v>
      </c>
      <c r="Q32" s="35">
        <f t="shared" si="16"/>
        <v>7982.4561403508797</v>
      </c>
      <c r="R32" s="35">
        <f t="shared" si="16"/>
        <v>7526.3157894736869</v>
      </c>
      <c r="S32" s="35">
        <f t="shared" si="16"/>
        <v>7070.1754385964941</v>
      </c>
      <c r="T32" s="35">
        <f t="shared" si="16"/>
        <v>6614.0350877193014</v>
      </c>
      <c r="U32" s="35">
        <f t="shared" si="16"/>
        <v>6157.8947368421086</v>
      </c>
      <c r="V32" s="35">
        <f t="shared" si="16"/>
        <v>5701.7543859649159</v>
      </c>
      <c r="W32" s="35">
        <f t="shared" si="16"/>
        <v>5245.6140350877231</v>
      </c>
      <c r="X32" s="35">
        <f t="shared" si="16"/>
        <v>4789.4736842105303</v>
      </c>
      <c r="Y32" s="35">
        <f t="shared" si="16"/>
        <v>4333.3333333333376</v>
      </c>
      <c r="Z32" s="35">
        <f t="shared" si="16"/>
        <v>3877.1929824561448</v>
      </c>
      <c r="AA32" s="35">
        <f t="shared" si="16"/>
        <v>3421.0526315789521</v>
      </c>
      <c r="AB32" s="35">
        <f t="shared" si="16"/>
        <v>2964.9122807017593</v>
      </c>
      <c r="AC32" s="35">
        <f t="shared" si="16"/>
        <v>2508.7719298245665</v>
      </c>
      <c r="AD32" s="35">
        <f t="shared" si="16"/>
        <v>2052.6315789473738</v>
      </c>
      <c r="AE32" s="35">
        <f t="shared" si="16"/>
        <v>1596.4912280701808</v>
      </c>
      <c r="AF32" s="37"/>
      <c r="AG32" s="5"/>
    </row>
    <row r="33" spans="1:33" x14ac:dyDescent="0.2">
      <c r="A33" s="4"/>
      <c r="B33" s="5" t="s">
        <v>297</v>
      </c>
      <c r="C33" s="5"/>
      <c r="D33" s="5"/>
      <c r="E33" s="37"/>
      <c r="F33" s="35">
        <f>E29</f>
        <v>13000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7">
        <f>SUM(F33:AE33)</f>
        <v>13000</v>
      </c>
      <c r="AG33" s="5"/>
    </row>
    <row r="34" spans="1:33" x14ac:dyDescent="0.2">
      <c r="A34" s="4"/>
      <c r="B34" s="5" t="s">
        <v>298</v>
      </c>
      <c r="C34" s="5"/>
      <c r="D34" s="5"/>
      <c r="E34" s="37"/>
      <c r="F34" s="38">
        <f>-F29</f>
        <v>-456.14035087719299</v>
      </c>
      <c r="G34" s="38">
        <f>-G29</f>
        <v>-456.14035087719299</v>
      </c>
      <c r="H34" s="38">
        <f t="shared" ref="H34:W34" si="17">-H29</f>
        <v>-456.14035087719299</v>
      </c>
      <c r="I34" s="38">
        <f t="shared" si="17"/>
        <v>-456.14035087719299</v>
      </c>
      <c r="J34" s="38">
        <f t="shared" si="17"/>
        <v>-456.14035087719299</v>
      </c>
      <c r="K34" s="38">
        <f t="shared" si="17"/>
        <v>-456.14035087719299</v>
      </c>
      <c r="L34" s="38">
        <f t="shared" si="17"/>
        <v>-456.14035087719299</v>
      </c>
      <c r="M34" s="38">
        <f t="shared" si="17"/>
        <v>-456.14035087719299</v>
      </c>
      <c r="N34" s="38">
        <f t="shared" si="17"/>
        <v>-456.14035087719299</v>
      </c>
      <c r="O34" s="38">
        <f t="shared" si="17"/>
        <v>-456.14035087719299</v>
      </c>
      <c r="P34" s="38">
        <f t="shared" si="17"/>
        <v>-456.14035087719299</v>
      </c>
      <c r="Q34" s="38">
        <f t="shared" si="17"/>
        <v>-456.14035087719299</v>
      </c>
      <c r="R34" s="38">
        <f t="shared" si="17"/>
        <v>-456.14035087719299</v>
      </c>
      <c r="S34" s="38">
        <f t="shared" si="17"/>
        <v>-456.14035087719299</v>
      </c>
      <c r="T34" s="38">
        <f t="shared" si="17"/>
        <v>-456.14035087719299</v>
      </c>
      <c r="U34" s="38">
        <f t="shared" si="17"/>
        <v>-456.14035087719299</v>
      </c>
      <c r="V34" s="38">
        <f t="shared" si="17"/>
        <v>-456.14035087719299</v>
      </c>
      <c r="W34" s="38">
        <f t="shared" si="17"/>
        <v>-456.14035087719299</v>
      </c>
      <c r="X34" s="38">
        <f t="shared" ref="X34:AE34" si="18">-X29</f>
        <v>-456.14035087719299</v>
      </c>
      <c r="Y34" s="38">
        <f t="shared" si="18"/>
        <v>-456.14035087719299</v>
      </c>
      <c r="Z34" s="38">
        <f t="shared" si="18"/>
        <v>-456.14035087719299</v>
      </c>
      <c r="AA34" s="38">
        <f t="shared" si="18"/>
        <v>-456.14035087719299</v>
      </c>
      <c r="AB34" s="38">
        <f t="shared" si="18"/>
        <v>-456.14035087719299</v>
      </c>
      <c r="AC34" s="38">
        <f t="shared" si="18"/>
        <v>-456.14035087719299</v>
      </c>
      <c r="AD34" s="38">
        <f t="shared" si="18"/>
        <v>-456.14035087719299</v>
      </c>
      <c r="AE34" s="38">
        <f t="shared" si="18"/>
        <v>-456.14035087719299</v>
      </c>
      <c r="AF34" s="37">
        <f>SUM(F34:AE34)</f>
        <v>-11859.649122807014</v>
      </c>
      <c r="AG34" s="5"/>
    </row>
    <row r="35" spans="1:33" x14ac:dyDescent="0.2">
      <c r="A35" s="6"/>
      <c r="B35" s="7" t="s">
        <v>305</v>
      </c>
      <c r="C35" s="7" t="s">
        <v>6</v>
      </c>
      <c r="D35" s="7"/>
      <c r="E35" s="45"/>
      <c r="F35" s="44">
        <f>SUM(F32:F34)</f>
        <v>12543.859649122807</v>
      </c>
      <c r="G35" s="44">
        <f>SUM(G32:G34)</f>
        <v>12087.719298245614</v>
      </c>
      <c r="H35" s="44">
        <f t="shared" ref="H35:W35" si="19">SUM(H32:H34)</f>
        <v>11631.578947368422</v>
      </c>
      <c r="I35" s="44">
        <f t="shared" si="19"/>
        <v>11175.438596491229</v>
      </c>
      <c r="J35" s="44">
        <f t="shared" si="19"/>
        <v>10719.298245614036</v>
      </c>
      <c r="K35" s="44">
        <f t="shared" si="19"/>
        <v>10263.157894736843</v>
      </c>
      <c r="L35" s="44">
        <f t="shared" si="19"/>
        <v>9807.0175438596507</v>
      </c>
      <c r="M35" s="44">
        <f t="shared" si="19"/>
        <v>9350.8771929824579</v>
      </c>
      <c r="N35" s="44">
        <f t="shared" si="19"/>
        <v>8894.7368421052652</v>
      </c>
      <c r="O35" s="44">
        <f t="shared" si="19"/>
        <v>8438.5964912280724</v>
      </c>
      <c r="P35" s="44">
        <f t="shared" si="19"/>
        <v>7982.4561403508797</v>
      </c>
      <c r="Q35" s="44">
        <f t="shared" si="19"/>
        <v>7526.3157894736869</v>
      </c>
      <c r="R35" s="44">
        <f t="shared" si="19"/>
        <v>7070.1754385964941</v>
      </c>
      <c r="S35" s="44">
        <f t="shared" si="19"/>
        <v>6614.0350877193014</v>
      </c>
      <c r="T35" s="44">
        <f t="shared" si="19"/>
        <v>6157.8947368421086</v>
      </c>
      <c r="U35" s="44">
        <f t="shared" si="19"/>
        <v>5701.7543859649159</v>
      </c>
      <c r="V35" s="44">
        <f t="shared" si="19"/>
        <v>5245.6140350877231</v>
      </c>
      <c r="W35" s="44">
        <f t="shared" si="19"/>
        <v>4789.4736842105303</v>
      </c>
      <c r="X35" s="44">
        <f t="shared" ref="X35:AE35" si="20">SUM(X32:X34)</f>
        <v>4333.3333333333376</v>
      </c>
      <c r="Y35" s="44">
        <f t="shared" si="20"/>
        <v>3877.1929824561448</v>
      </c>
      <c r="Z35" s="44">
        <f t="shared" si="20"/>
        <v>3421.0526315789521</v>
      </c>
      <c r="AA35" s="44">
        <f t="shared" si="20"/>
        <v>2964.9122807017593</v>
      </c>
      <c r="AB35" s="44">
        <f t="shared" si="20"/>
        <v>2508.7719298245665</v>
      </c>
      <c r="AC35" s="44">
        <f t="shared" si="20"/>
        <v>2052.6315789473738</v>
      </c>
      <c r="AD35" s="44">
        <f t="shared" si="20"/>
        <v>1596.4912280701808</v>
      </c>
      <c r="AE35" s="44">
        <f t="shared" si="20"/>
        <v>1140.3508771929878</v>
      </c>
      <c r="AF35" s="45"/>
      <c r="AG35" s="5"/>
    </row>
    <row r="36" spans="1:33" x14ac:dyDescent="0.2">
      <c r="A36" s="288"/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</row>
    <row r="37" spans="1:33" x14ac:dyDescent="0.2">
      <c r="A37" s="8" t="s">
        <v>306</v>
      </c>
      <c r="B37" s="11"/>
      <c r="C37" s="11"/>
      <c r="D37" s="2"/>
      <c r="E37" s="2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1"/>
      <c r="AG37" s="288"/>
    </row>
    <row r="38" spans="1:33" x14ac:dyDescent="0.2">
      <c r="A38" s="4" t="s">
        <v>301</v>
      </c>
      <c r="B38" s="5"/>
      <c r="C38" s="5"/>
      <c r="D38" s="5"/>
      <c r="E38" s="2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20"/>
      <c r="AG38" s="288"/>
    </row>
    <row r="39" spans="1:33" x14ac:dyDescent="0.2">
      <c r="A39" s="4"/>
      <c r="B39" s="5" t="s">
        <v>413</v>
      </c>
      <c r="C39" s="5"/>
      <c r="D39" s="5"/>
      <c r="E39" s="37">
        <f>ASS!I23</f>
        <v>13000</v>
      </c>
      <c r="F39" s="344">
        <f>IF(ASS!$J$23=0, 0,  IF(F11&lt;ASS!$J$23, SLN(ASS!$I$23,0,ASS!$J$23)*F13/12, IF(F11=ASS!$J$23, SLN(ASS!$I$23,0,ASS!$J$23)*(12-F13)/12, 0)))</f>
        <v>456.14035087719299</v>
      </c>
      <c r="G39" s="343">
        <f>IF(ASS!$J$23=0, 0, IF(G11=ASS!$J$23,$E$39-SUM($F$39:F39),IF(G11&gt;TERM,0,IF(G11&lt;ASS!$J$23, SLN(ASS!$I$23,0,ASS!$J$23)*G13/12, IF(G11=ASS!$J$23, SLN(ASS!$I$23,0,ASS!$J$23)*(12-G13)/12, 0)))))</f>
        <v>456.14035087719299</v>
      </c>
      <c r="H39" s="344">
        <f>IF(ASS!$J$23=0, 0, IF(H11=ASS!$J$23,$E$39-SUM($F$39:G39),IF(H11&gt;TERM,0,IF(H11&lt;ASS!$J$23, SLN(ASS!$I$23,0,ASS!$J$23)*H13/12, IF(H11=ASS!$J$23, SLN(ASS!$I$23,0,ASS!$J$23)*(12-H13)/12, 0)))))</f>
        <v>456.14035087719299</v>
      </c>
      <c r="I39" s="344">
        <f>IF(ASS!$J$23=0, 0, IF(I11=ASS!$J$23,$E$39-SUM($F$39:H39),IF(I11&gt;TERM,0,IF(I11&lt;ASS!$J$23, SLN(ASS!$I$23,0,ASS!$J$23)*I13/12, IF(I11=ASS!$J$23, SLN(ASS!$I$23,0,ASS!$J$23)*(12-I13)/12, 0)))))</f>
        <v>456.14035087719299</v>
      </c>
      <c r="J39" s="344">
        <f>IF(ASS!$J$23=0, 0, IF(J11=ASS!$J$23,$E$39-SUM($F$39:I39),IF(J11&gt;TERM,0,IF(J11&lt;ASS!$J$23, SLN(ASS!$I$23,0,ASS!$J$23)*J13/12, IF(J11=ASS!$J$23, SLN(ASS!$I$23,0,ASS!$J$23)*(12-J13)/12, 0)))))</f>
        <v>456.14035087719299</v>
      </c>
      <c r="K39" s="344">
        <f>IF(ASS!$J$23=0, 0, IF(K11=ASS!$J$23,$E$39-SUM($F$39:J39),IF(K11&gt;TERM,0,IF(K11&lt;ASS!$J$23, SLN(ASS!$I$23,0,ASS!$J$23)*K13/12, IF(K11=ASS!$J$23, SLN(ASS!$I$23,0,ASS!$J$23)*(12-K13)/12, 0)))))</f>
        <v>456.14035087719299</v>
      </c>
      <c r="L39" s="344">
        <f>IF(ASS!$J$23=0, 0, IF(L11=ASS!$J$23,$E$39-SUM($F$39:K39),IF(L11&gt;TERM,0,IF(L11&lt;ASS!$J$23, SLN(ASS!$I$23,0,ASS!$J$23)*L13/12, IF(L11=ASS!$J$23, SLN(ASS!$I$23,0,ASS!$J$23)*(12-L13)/12, 0)))))</f>
        <v>456.14035087719299</v>
      </c>
      <c r="M39" s="344">
        <f>IF(ASS!$J$23=0, 0, IF(M11=ASS!$J$23,$E$39-SUM($F$39:L39),IF(M11&gt;TERM,0,IF(M11&lt;ASS!$J$23, SLN(ASS!$I$23,0,ASS!$J$23)*M13/12, IF(M11=ASS!$J$23, SLN(ASS!$I$23,0,ASS!$J$23)*(12-M13)/12, 0)))))</f>
        <v>456.14035087719299</v>
      </c>
      <c r="N39" s="344">
        <f>IF(ASS!$J$23=0, 0, IF(N11=ASS!$J$23,$E$39-SUM($F$39:M39),IF(N11&gt;TERM,0,IF(N11&lt;ASS!$J$23, SLN(ASS!$I$23,0,ASS!$J$23)*N13/12, IF(N11=ASS!$J$23, SLN(ASS!$I$23,0,ASS!$J$23)*(12-N13)/12, 0)))))</f>
        <v>456.14035087719299</v>
      </c>
      <c r="O39" s="344">
        <f>IF(ASS!$J$23=0, 0, IF(O11=ASS!$J$23,$E$39-SUM($F$39:N39),IF(O11&gt;TERM,0,IF(O11&lt;ASS!$J$23, SLN(ASS!$I$23,0,ASS!$J$23)*O13/12, IF(O11=ASS!$J$23, SLN(ASS!$I$23,0,ASS!$J$23)*(12-O13)/12, 0)))))</f>
        <v>456.14035087719299</v>
      </c>
      <c r="P39" s="344">
        <f>IF(ASS!$J$23=0, 0, IF(P11=ASS!$J$23,$E$39-SUM($F$39:O39),IF(P11&gt;TERM,0,IF(P11&lt;ASS!$J$23, SLN(ASS!$I$23,0,ASS!$J$23)*P13/12, IF(P11=ASS!$J$23, SLN(ASS!$I$23,0,ASS!$J$23)*(12-P13)/12, 0)))))</f>
        <v>456.14035087719299</v>
      </c>
      <c r="Q39" s="344">
        <f>IF(ASS!$J$23=0, 0, IF(Q11=ASS!$J$23,$E$39-SUM($F$39:P39),IF(Q11&gt;TERM,0,IF(Q11&lt;ASS!$J$23, SLN(ASS!$I$23,0,ASS!$J$23)*Q13/12, IF(Q11=ASS!$J$23, SLN(ASS!$I$23,0,ASS!$J$23)*(12-Q13)/12, 0)))))</f>
        <v>456.14035087719299</v>
      </c>
      <c r="R39" s="344">
        <f>IF(ASS!$J$23=0, 0, IF(R11=ASS!$J$23,$E$39-SUM($F$39:Q39),IF(R11&gt;TERM,0,IF(R11&lt;ASS!$J$23, SLN(ASS!$I$23,0,ASS!$J$23)*R13/12, IF(R11=ASS!$J$23, SLN(ASS!$I$23,0,ASS!$J$23)*(12-R13)/12, 0)))))</f>
        <v>456.14035087719299</v>
      </c>
      <c r="S39" s="344">
        <f>IF(ASS!$J$23=0, 0, IF(S11=ASS!$J$23,$E$39-SUM($F$39:R39),IF(S11&gt;TERM,0,IF(S11&lt;ASS!$J$23, SLN(ASS!$I$23,0,ASS!$J$23)*S13/12, IF(S11=ASS!$J$23, SLN(ASS!$I$23,0,ASS!$J$23)*(12-S13)/12, 0)))))</f>
        <v>456.14035087719299</v>
      </c>
      <c r="T39" s="344">
        <f>IF(ASS!$J$23=0, 0, IF(T11=ASS!$J$23,$E$39-SUM($F$39:S39),IF(T11&gt;TERM,0,IF(T11&lt;ASS!$J$23, SLN(ASS!$I$23,0,ASS!$J$23)*T13/12, IF(T11=ASS!$J$23, SLN(ASS!$I$23,0,ASS!$J$23)*(12-T13)/12, 0)))))</f>
        <v>456.14035087719299</v>
      </c>
      <c r="U39" s="344">
        <f>IF(ASS!$J$23=0, 0, IF(U11=ASS!$J$23,$E$39-SUM($F$39:T39),IF(U11&gt;TERM,0,IF(U11&lt;ASS!$J$23, SLN(ASS!$I$23,0,ASS!$J$23)*U13/12, IF(U11=ASS!$J$23, SLN(ASS!$I$23,0,ASS!$J$23)*(12-U13)/12, 0)))))</f>
        <v>456.14035087719299</v>
      </c>
      <c r="V39" s="344">
        <f>IF(ASS!$J$23=0, 0, IF(V11=ASS!$J$23,$E$39-SUM($F$39:U39),IF(V11&gt;TERM,0,IF(V11&lt;ASS!$J$23, SLN(ASS!$I$23,0,ASS!$J$23)*V13/12, IF(V11=ASS!$J$23, SLN(ASS!$I$23,0,ASS!$J$23)*(12-V13)/12, 0)))))</f>
        <v>456.14035087719299</v>
      </c>
      <c r="W39" s="344">
        <f>IF(ASS!$J$23=0, 0, IF(W11=ASS!$J$23,$E$39-SUM($F$39:V39),IF(W11&gt;TERM,0,IF(W11&lt;ASS!$J$23, SLN(ASS!$I$23,0,ASS!$J$23)*W13/12, IF(W11=ASS!$J$23, SLN(ASS!$I$23,0,ASS!$J$23)*(12-W13)/12, 0)))))</f>
        <v>456.14035087719299</v>
      </c>
      <c r="X39" s="344">
        <f>IF(ASS!$J$23=0, 0, IF(X11=ASS!$J$23,$E$39-SUM($F$39:W39),IF(X11&gt;TERM,0,IF(X11&lt;ASS!$J$23, SLN(ASS!$I$23,0,ASS!$J$23)*X13/12, IF(X11=ASS!$J$23, SLN(ASS!$I$23,0,ASS!$J$23)*(12-X13)/12, 0)))))</f>
        <v>456.14035087719299</v>
      </c>
      <c r="Y39" s="344">
        <f>IF(ASS!$J$23=0, 0, IF(Y11=ASS!$J$23,$E$39-SUM($F$39:X39),IF(Y11&gt;TERM,0,IF(Y11&lt;ASS!$J$23, SLN(ASS!$I$23,0,ASS!$J$23)*Y13/12, IF(Y11=ASS!$J$23, SLN(ASS!$I$23,0,ASS!$J$23)*(12-Y13)/12, 0)))))</f>
        <v>456.14035087719299</v>
      </c>
      <c r="Z39" s="344">
        <f>IF(ASS!$J$23=0, 0, IF(Z11=ASS!$J$23,$E$39-SUM($F$39:Y39),IF(Z11&gt;TERM,0,IF(Z11&lt;ASS!$J$23, SLN(ASS!$I$23,0,ASS!$J$23)*Z13/12, IF(Z11=ASS!$J$23, SLN(ASS!$I$23,0,ASS!$J$23)*(12-Z13)/12, 0)))))</f>
        <v>456.14035087719299</v>
      </c>
      <c r="AA39" s="344">
        <f>IF(ASS!$J$23=0, 0, IF(AA11=ASS!$J$23,$E$39-SUM($F$39:Z39),IF(AA11&gt;TERM,0,IF(AA11&lt;ASS!$J$23, SLN(ASS!$I$23,0,ASS!$J$23)*AA13/12, IF(AA11=ASS!$J$23, SLN(ASS!$I$23,0,ASS!$J$23)*(12-AA13)/12, 0)))))</f>
        <v>456.14035087719299</v>
      </c>
      <c r="AB39" s="344">
        <f>IF(ASS!$J$23=0, 0, IF(AB11=ASS!$J$23,$E$39-SUM($F$39:AA39),IF(AB11&gt;TERM,0,IF(AB11&lt;ASS!$J$23, SLN(ASS!$I$23,0,ASS!$J$23)*AB13/12, IF(AB11=ASS!$J$23, SLN(ASS!$I$23,0,ASS!$J$23)*(12-AB13)/12, 0)))))</f>
        <v>456.14035087719299</v>
      </c>
      <c r="AC39" s="344">
        <f>IF(ASS!$J$23=0, 0, IF(AC11=ASS!$J$23,$E$39-SUM($F$39:AB39),IF(AC11&gt;TERM,0,IF(AC11&lt;ASS!$J$23, SLN(ASS!$I$23,0,ASS!$J$23)*AC13/12, IF(AC11=ASS!$J$23, SLN(ASS!$I$23,0,ASS!$J$23)*(12-AC13)/12, 0)))))</f>
        <v>456.14035087719299</v>
      </c>
      <c r="AD39" s="344">
        <f>IF(ASS!$J$23=0, 0, IF(AD11=ASS!$J$23,$E$39-SUM($F$39:AC39),IF(AD11&gt;TERM,0,IF(AD11&lt;ASS!$J$23, SLN(ASS!$I$23,0,ASS!$J$23)*AD13/12, IF(AD11=ASS!$J$23, SLN(ASS!$I$23,0,ASS!$J$23)*(12-AD13)/12, 0)))))</f>
        <v>456.14035087719299</v>
      </c>
      <c r="AE39" s="344">
        <f>IF(ASS!$J$23=0, 0, IF(AE11=ASS!$J$23,$E$39-SUM($F$39:AD39),IF(AE11&gt;TERM,0,IF(AE11&lt;ASS!$J$23, SLN(ASS!$I$23,0,ASS!$J$23)*AE13/12, IF(AE11=ASS!$J$23, SLN(ASS!$I$23,0,ASS!$J$23)*(12-AE13)/12, 0)))))</f>
        <v>456.14035087719299</v>
      </c>
      <c r="AF39" s="37">
        <f>SUM(F39:AE39)</f>
        <v>11859.649122807014</v>
      </c>
      <c r="AG39" s="288"/>
    </row>
    <row r="40" spans="1:33" x14ac:dyDescent="0.2">
      <c r="A40" s="4"/>
      <c r="B40" s="5" t="s">
        <v>302</v>
      </c>
      <c r="C40" s="288"/>
      <c r="D40" s="5"/>
      <c r="E40" s="37">
        <f t="shared" ref="E40:AE40" si="21">SUM(E39:E39)</f>
        <v>13000</v>
      </c>
      <c r="F40" s="35">
        <f t="shared" si="21"/>
        <v>456.14035087719299</v>
      </c>
      <c r="G40" s="35">
        <f t="shared" si="21"/>
        <v>456.14035087719299</v>
      </c>
      <c r="H40" s="35">
        <f t="shared" si="21"/>
        <v>456.14035087719299</v>
      </c>
      <c r="I40" s="35">
        <f t="shared" si="21"/>
        <v>456.14035087719299</v>
      </c>
      <c r="J40" s="35">
        <f t="shared" si="21"/>
        <v>456.14035087719299</v>
      </c>
      <c r="K40" s="35">
        <f t="shared" si="21"/>
        <v>456.14035087719299</v>
      </c>
      <c r="L40" s="35">
        <f t="shared" si="21"/>
        <v>456.14035087719299</v>
      </c>
      <c r="M40" s="35">
        <f t="shared" si="21"/>
        <v>456.14035087719299</v>
      </c>
      <c r="N40" s="35">
        <f t="shared" si="21"/>
        <v>456.14035087719299</v>
      </c>
      <c r="O40" s="35">
        <f t="shared" si="21"/>
        <v>456.14035087719299</v>
      </c>
      <c r="P40" s="35">
        <f t="shared" si="21"/>
        <v>456.14035087719299</v>
      </c>
      <c r="Q40" s="35">
        <f t="shared" si="21"/>
        <v>456.14035087719299</v>
      </c>
      <c r="R40" s="35">
        <f t="shared" si="21"/>
        <v>456.14035087719299</v>
      </c>
      <c r="S40" s="35">
        <f t="shared" si="21"/>
        <v>456.14035087719299</v>
      </c>
      <c r="T40" s="35">
        <f t="shared" si="21"/>
        <v>456.14035087719299</v>
      </c>
      <c r="U40" s="35">
        <f t="shared" si="21"/>
        <v>456.14035087719299</v>
      </c>
      <c r="V40" s="35">
        <f t="shared" si="21"/>
        <v>456.14035087719299</v>
      </c>
      <c r="W40" s="35">
        <f t="shared" si="21"/>
        <v>456.14035087719299</v>
      </c>
      <c r="X40" s="35">
        <f t="shared" si="21"/>
        <v>456.14035087719299</v>
      </c>
      <c r="Y40" s="35">
        <f t="shared" si="21"/>
        <v>456.14035087719299</v>
      </c>
      <c r="Z40" s="35">
        <f t="shared" si="21"/>
        <v>456.14035087719299</v>
      </c>
      <c r="AA40" s="35">
        <f t="shared" si="21"/>
        <v>456.14035087719299</v>
      </c>
      <c r="AB40" s="35">
        <f t="shared" si="21"/>
        <v>456.14035087719299</v>
      </c>
      <c r="AC40" s="35">
        <f t="shared" si="21"/>
        <v>456.14035087719299</v>
      </c>
      <c r="AD40" s="35">
        <f t="shared" si="21"/>
        <v>456.14035087719299</v>
      </c>
      <c r="AE40" s="35">
        <f t="shared" si="21"/>
        <v>456.14035087719299</v>
      </c>
      <c r="AF40" s="37">
        <f>SUM(F40:AE40)</f>
        <v>11859.649122807014</v>
      </c>
      <c r="AG40"/>
    </row>
    <row r="41" spans="1:33" x14ac:dyDescent="0.2">
      <c r="A41" s="4"/>
      <c r="B41" s="345" t="s">
        <v>303</v>
      </c>
      <c r="C41" s="288"/>
      <c r="D41" s="5"/>
      <c r="E41" s="37"/>
      <c r="F41" s="346">
        <f>SUM($F$40:F40)</f>
        <v>456.14035087719299</v>
      </c>
      <c r="G41" s="346">
        <f>SUM($F$40:G40)</f>
        <v>912.28070175438597</v>
      </c>
      <c r="H41" s="346">
        <f>SUM($F$40:H40)</f>
        <v>1368.421052631579</v>
      </c>
      <c r="I41" s="346">
        <f>SUM($F$40:I40)</f>
        <v>1824.5614035087719</v>
      </c>
      <c r="J41" s="346">
        <f>SUM($F$40:J40)</f>
        <v>2280.7017543859647</v>
      </c>
      <c r="K41" s="346">
        <f>SUM($F$40:K40)</f>
        <v>2736.8421052631575</v>
      </c>
      <c r="L41" s="346">
        <f>SUM($F$40:L40)</f>
        <v>3192.9824561403502</v>
      </c>
      <c r="M41" s="346">
        <f>SUM($F$40:M40)</f>
        <v>3649.122807017543</v>
      </c>
      <c r="N41" s="346">
        <f>SUM($F$40:N40)</f>
        <v>4105.2631578947357</v>
      </c>
      <c r="O41" s="346">
        <f>SUM($F$40:O40)</f>
        <v>4561.4035087719285</v>
      </c>
      <c r="P41" s="346">
        <f>SUM($F$40:P40)</f>
        <v>5017.5438596491213</v>
      </c>
      <c r="Q41" s="346">
        <f>SUM($F$40:Q40)</f>
        <v>5473.684210526314</v>
      </c>
      <c r="R41" s="346">
        <f>SUM($F$40:R40)</f>
        <v>5929.8245614035068</v>
      </c>
      <c r="S41" s="346">
        <f>SUM($F$40:S40)</f>
        <v>6385.9649122806995</v>
      </c>
      <c r="T41" s="346">
        <f>SUM($F$40:T40)</f>
        <v>6842.1052631578923</v>
      </c>
      <c r="U41" s="346">
        <f>SUM($F$40:U40)</f>
        <v>7298.2456140350851</v>
      </c>
      <c r="V41" s="346">
        <f>SUM($F$40:V40)</f>
        <v>7754.3859649122778</v>
      </c>
      <c r="W41" s="346">
        <f>SUM($F$40:W40)</f>
        <v>8210.5263157894715</v>
      </c>
      <c r="X41" s="346">
        <f>SUM($F$40:X40)</f>
        <v>8666.6666666666642</v>
      </c>
      <c r="Y41" s="346">
        <f>SUM($F$40:Y40)</f>
        <v>9122.807017543857</v>
      </c>
      <c r="Z41" s="346">
        <f>SUM($F$40:Z40)</f>
        <v>9578.9473684210498</v>
      </c>
      <c r="AA41" s="346">
        <f>SUM($F$40:AA40)</f>
        <v>10035.087719298243</v>
      </c>
      <c r="AB41" s="346">
        <f>SUM($F$40:AB40)</f>
        <v>10491.228070175435</v>
      </c>
      <c r="AC41" s="346">
        <f>SUM($F$40:AC40)</f>
        <v>10947.368421052628</v>
      </c>
      <c r="AD41" s="346">
        <f>SUM($F$40:AD40)</f>
        <v>11403.508771929821</v>
      </c>
      <c r="AE41" s="346">
        <f>SUM($F$40:AE40)</f>
        <v>11859.649122807014</v>
      </c>
      <c r="AF41" s="37"/>
      <c r="AG41"/>
    </row>
    <row r="42" spans="1:33" x14ac:dyDescent="0.2">
      <c r="A42" s="4"/>
      <c r="B42" s="5"/>
      <c r="C42" s="288"/>
      <c r="D42" s="5"/>
      <c r="E42" s="37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7"/>
      <c r="AG42"/>
    </row>
    <row r="43" spans="1:33" x14ac:dyDescent="0.2">
      <c r="A43" s="4"/>
      <c r="B43" s="5" t="s">
        <v>304</v>
      </c>
      <c r="C43" s="288"/>
      <c r="D43" s="5"/>
      <c r="E43" s="37"/>
      <c r="F43" s="35">
        <v>0</v>
      </c>
      <c r="G43" s="35">
        <f t="shared" ref="G43:AE43" si="22">F46</f>
        <v>12543.859649122807</v>
      </c>
      <c r="H43" s="35">
        <f t="shared" si="22"/>
        <v>12087.719298245614</v>
      </c>
      <c r="I43" s="35">
        <f t="shared" si="22"/>
        <v>11631.578947368422</v>
      </c>
      <c r="J43" s="35">
        <f t="shared" si="22"/>
        <v>11175.438596491229</v>
      </c>
      <c r="K43" s="35">
        <f t="shared" si="22"/>
        <v>10719.298245614036</v>
      </c>
      <c r="L43" s="35">
        <f t="shared" si="22"/>
        <v>10263.157894736843</v>
      </c>
      <c r="M43" s="35">
        <f t="shared" si="22"/>
        <v>9807.0175438596507</v>
      </c>
      <c r="N43" s="35">
        <f t="shared" si="22"/>
        <v>9350.8771929824579</v>
      </c>
      <c r="O43" s="35">
        <f t="shared" si="22"/>
        <v>8894.7368421052652</v>
      </c>
      <c r="P43" s="35">
        <f t="shared" si="22"/>
        <v>8438.5964912280724</v>
      </c>
      <c r="Q43" s="35">
        <f t="shared" si="22"/>
        <v>7982.4561403508797</v>
      </c>
      <c r="R43" s="35">
        <f t="shared" si="22"/>
        <v>7526.3157894736869</v>
      </c>
      <c r="S43" s="35">
        <f t="shared" si="22"/>
        <v>7070.1754385964941</v>
      </c>
      <c r="T43" s="35">
        <f t="shared" si="22"/>
        <v>6614.0350877193014</v>
      </c>
      <c r="U43" s="35">
        <f t="shared" si="22"/>
        <v>6157.8947368421086</v>
      </c>
      <c r="V43" s="35">
        <f t="shared" si="22"/>
        <v>5701.7543859649159</v>
      </c>
      <c r="W43" s="35">
        <f t="shared" si="22"/>
        <v>5245.6140350877231</v>
      </c>
      <c r="X43" s="35">
        <f t="shared" si="22"/>
        <v>4789.4736842105303</v>
      </c>
      <c r="Y43" s="35">
        <f t="shared" si="22"/>
        <v>4333.3333333333376</v>
      </c>
      <c r="Z43" s="35">
        <f t="shared" si="22"/>
        <v>3877.1929824561448</v>
      </c>
      <c r="AA43" s="35">
        <f t="shared" si="22"/>
        <v>3421.0526315789521</v>
      </c>
      <c r="AB43" s="35">
        <f t="shared" si="22"/>
        <v>2964.9122807017593</v>
      </c>
      <c r="AC43" s="35">
        <f t="shared" si="22"/>
        <v>2508.7719298245665</v>
      </c>
      <c r="AD43" s="35">
        <f t="shared" si="22"/>
        <v>2052.6315789473738</v>
      </c>
      <c r="AE43" s="35">
        <f t="shared" si="22"/>
        <v>1596.4912280701808</v>
      </c>
      <c r="AF43" s="37"/>
      <c r="AG43"/>
    </row>
    <row r="44" spans="1:33" x14ac:dyDescent="0.2">
      <c r="A44" s="4"/>
      <c r="B44" s="5" t="s">
        <v>297</v>
      </c>
      <c r="C44" s="5"/>
      <c r="D44" s="5"/>
      <c r="E44" s="37"/>
      <c r="F44" s="35">
        <f>E40</f>
        <v>13000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7">
        <f>SUM(F44:AE44)</f>
        <v>13000</v>
      </c>
      <c r="AG44"/>
    </row>
    <row r="45" spans="1:33" x14ac:dyDescent="0.2">
      <c r="A45" s="4"/>
      <c r="B45" s="5" t="s">
        <v>298</v>
      </c>
      <c r="C45" s="5"/>
      <c r="D45" s="5"/>
      <c r="E45" s="37"/>
      <c r="F45" s="38">
        <f t="shared" ref="F45:U45" si="23">-F40</f>
        <v>-456.14035087719299</v>
      </c>
      <c r="G45" s="38">
        <f t="shared" si="23"/>
        <v>-456.14035087719299</v>
      </c>
      <c r="H45" s="38">
        <f t="shared" si="23"/>
        <v>-456.14035087719299</v>
      </c>
      <c r="I45" s="38">
        <f t="shared" si="23"/>
        <v>-456.14035087719299</v>
      </c>
      <c r="J45" s="38">
        <f t="shared" si="23"/>
        <v>-456.14035087719299</v>
      </c>
      <c r="K45" s="38">
        <f t="shared" si="23"/>
        <v>-456.14035087719299</v>
      </c>
      <c r="L45" s="38">
        <f t="shared" si="23"/>
        <v>-456.14035087719299</v>
      </c>
      <c r="M45" s="38">
        <f t="shared" si="23"/>
        <v>-456.14035087719299</v>
      </c>
      <c r="N45" s="38">
        <f t="shared" si="23"/>
        <v>-456.14035087719299</v>
      </c>
      <c r="O45" s="38">
        <f t="shared" si="23"/>
        <v>-456.14035087719299</v>
      </c>
      <c r="P45" s="38">
        <f t="shared" si="23"/>
        <v>-456.14035087719299</v>
      </c>
      <c r="Q45" s="38">
        <f t="shared" si="23"/>
        <v>-456.14035087719299</v>
      </c>
      <c r="R45" s="38">
        <f t="shared" si="23"/>
        <v>-456.14035087719299</v>
      </c>
      <c r="S45" s="38">
        <f t="shared" si="23"/>
        <v>-456.14035087719299</v>
      </c>
      <c r="T45" s="38">
        <f t="shared" si="23"/>
        <v>-456.14035087719299</v>
      </c>
      <c r="U45" s="38">
        <f t="shared" si="23"/>
        <v>-456.14035087719299</v>
      </c>
      <c r="V45" s="38">
        <f t="shared" ref="V45:AE45" si="24">-V40</f>
        <v>-456.14035087719299</v>
      </c>
      <c r="W45" s="38">
        <f t="shared" si="24"/>
        <v>-456.14035087719299</v>
      </c>
      <c r="X45" s="38">
        <f t="shared" si="24"/>
        <v>-456.14035087719299</v>
      </c>
      <c r="Y45" s="38">
        <f t="shared" si="24"/>
        <v>-456.14035087719299</v>
      </c>
      <c r="Z45" s="38">
        <f t="shared" si="24"/>
        <v>-456.14035087719299</v>
      </c>
      <c r="AA45" s="38">
        <f t="shared" si="24"/>
        <v>-456.14035087719299</v>
      </c>
      <c r="AB45" s="38">
        <f t="shared" si="24"/>
        <v>-456.14035087719299</v>
      </c>
      <c r="AC45" s="38">
        <f t="shared" si="24"/>
        <v>-456.14035087719299</v>
      </c>
      <c r="AD45" s="38">
        <f t="shared" si="24"/>
        <v>-456.14035087719299</v>
      </c>
      <c r="AE45" s="38">
        <f t="shared" si="24"/>
        <v>-456.14035087719299</v>
      </c>
      <c r="AF45" s="37">
        <f>SUM(F45:AE45)</f>
        <v>-11859.649122807014</v>
      </c>
      <c r="AG45"/>
    </row>
    <row r="46" spans="1:33" x14ac:dyDescent="0.2">
      <c r="A46" s="6"/>
      <c r="B46" s="7" t="s">
        <v>305</v>
      </c>
      <c r="C46" s="7" t="s">
        <v>6</v>
      </c>
      <c r="D46" s="7"/>
      <c r="E46" s="45"/>
      <c r="F46" s="44">
        <f t="shared" ref="F46:U46" si="25">SUM(F43:F45)</f>
        <v>12543.859649122807</v>
      </c>
      <c r="G46" s="44">
        <f t="shared" si="25"/>
        <v>12087.719298245614</v>
      </c>
      <c r="H46" s="44">
        <f t="shared" si="25"/>
        <v>11631.578947368422</v>
      </c>
      <c r="I46" s="44">
        <f t="shared" si="25"/>
        <v>11175.438596491229</v>
      </c>
      <c r="J46" s="44">
        <f t="shared" si="25"/>
        <v>10719.298245614036</v>
      </c>
      <c r="K46" s="44">
        <f t="shared" si="25"/>
        <v>10263.157894736843</v>
      </c>
      <c r="L46" s="44">
        <f t="shared" si="25"/>
        <v>9807.0175438596507</v>
      </c>
      <c r="M46" s="44">
        <f t="shared" si="25"/>
        <v>9350.8771929824579</v>
      </c>
      <c r="N46" s="44">
        <f t="shared" si="25"/>
        <v>8894.7368421052652</v>
      </c>
      <c r="O46" s="44">
        <f t="shared" si="25"/>
        <v>8438.5964912280724</v>
      </c>
      <c r="P46" s="44">
        <f t="shared" si="25"/>
        <v>7982.4561403508797</v>
      </c>
      <c r="Q46" s="44">
        <f t="shared" si="25"/>
        <v>7526.3157894736869</v>
      </c>
      <c r="R46" s="44">
        <f t="shared" si="25"/>
        <v>7070.1754385964941</v>
      </c>
      <c r="S46" s="44">
        <f t="shared" si="25"/>
        <v>6614.0350877193014</v>
      </c>
      <c r="T46" s="44">
        <f t="shared" si="25"/>
        <v>6157.8947368421086</v>
      </c>
      <c r="U46" s="44">
        <f t="shared" si="25"/>
        <v>5701.7543859649159</v>
      </c>
      <c r="V46" s="44">
        <f t="shared" ref="V46:AE46" si="26">SUM(V43:V45)</f>
        <v>5245.6140350877231</v>
      </c>
      <c r="W46" s="44">
        <f t="shared" si="26"/>
        <v>4789.4736842105303</v>
      </c>
      <c r="X46" s="44">
        <f t="shared" si="26"/>
        <v>4333.3333333333376</v>
      </c>
      <c r="Y46" s="44">
        <f t="shared" si="26"/>
        <v>3877.1929824561448</v>
      </c>
      <c r="Z46" s="44">
        <f t="shared" si="26"/>
        <v>3421.0526315789521</v>
      </c>
      <c r="AA46" s="44">
        <f t="shared" si="26"/>
        <v>2964.9122807017593</v>
      </c>
      <c r="AB46" s="44">
        <f t="shared" si="26"/>
        <v>2508.7719298245665</v>
      </c>
      <c r="AC46" s="44">
        <f t="shared" si="26"/>
        <v>2052.6315789473738</v>
      </c>
      <c r="AD46" s="44">
        <f t="shared" si="26"/>
        <v>1596.4912280701808</v>
      </c>
      <c r="AE46" s="44">
        <f t="shared" si="26"/>
        <v>1140.3508771929878</v>
      </c>
      <c r="AF46" s="45"/>
      <c r="AG46"/>
    </row>
  </sheetData>
  <printOptions horizontalCentered="1"/>
  <pageMargins left="0.5" right="1" top="0.75" bottom="0.7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O87"/>
  <sheetViews>
    <sheetView topLeftCell="A74" workbookViewId="0">
      <selection activeCell="I31" sqref="I31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23" width="9.140625" style="1"/>
    <col min="24" max="32" width="9.7109375" style="1" customWidth="1"/>
    <col min="33" max="33" width="10.140625" style="1" customWidth="1"/>
    <col min="34" max="16384" width="9.140625" style="1"/>
  </cols>
  <sheetData>
    <row r="1" spans="1:33" ht="15.75" x14ac:dyDescent="0.25">
      <c r="A1" s="257" t="s">
        <v>307</v>
      </c>
      <c r="B1" s="289"/>
      <c r="C1" s="281"/>
      <c r="D1" s="282"/>
      <c r="E1"/>
    </row>
    <row r="2" spans="1:33" ht="15.75" x14ac:dyDescent="0.25">
      <c r="A2" s="260">
        <f>ASS!A4</f>
        <v>0</v>
      </c>
      <c r="B2" s="290"/>
      <c r="C2" s="283"/>
      <c r="D2" s="284"/>
      <c r="E2"/>
    </row>
    <row r="3" spans="1:33" ht="15.75" x14ac:dyDescent="0.25">
      <c r="A3" s="263" t="str">
        <f>ASS!A5</f>
        <v>BASE MODEL</v>
      </c>
      <c r="B3" s="291"/>
      <c r="C3" s="285"/>
      <c r="D3" s="286"/>
      <c r="E3"/>
    </row>
    <row r="4" spans="1:33" ht="15.75" x14ac:dyDescent="0.25">
      <c r="A4" s="266"/>
      <c r="B4" s="290"/>
      <c r="C4" s="283"/>
      <c r="D4" s="283"/>
      <c r="E4"/>
    </row>
    <row r="5" spans="1:33" x14ac:dyDescent="0.2">
      <c r="F5" s="9" t="s">
        <v>308</v>
      </c>
      <c r="G5" s="33">
        <f>CF!D5</f>
        <v>1</v>
      </c>
      <c r="H5" s="33">
        <f>CF!E5</f>
        <v>2</v>
      </c>
      <c r="I5" s="33">
        <f>CF!F5</f>
        <v>3</v>
      </c>
      <c r="J5" s="463">
        <v>4</v>
      </c>
      <c r="K5" s="463">
        <v>5</v>
      </c>
      <c r="L5" s="463">
        <v>6</v>
      </c>
      <c r="M5" s="463">
        <v>7</v>
      </c>
      <c r="N5" s="463">
        <v>8</v>
      </c>
      <c r="O5" s="463">
        <v>9</v>
      </c>
      <c r="P5" s="463">
        <v>10</v>
      </c>
      <c r="Q5" s="463">
        <v>11</v>
      </c>
      <c r="R5" s="463">
        <v>12</v>
      </c>
      <c r="S5" s="463">
        <v>13</v>
      </c>
      <c r="T5" s="463">
        <v>14</v>
      </c>
      <c r="U5" s="463">
        <v>15</v>
      </c>
      <c r="V5" s="463">
        <v>16</v>
      </c>
      <c r="W5" s="463">
        <v>17</v>
      </c>
      <c r="X5" s="463">
        <v>18</v>
      </c>
      <c r="Y5" s="463">
        <v>19</v>
      </c>
      <c r="Z5" s="463">
        <v>20</v>
      </c>
      <c r="AA5" s="463">
        <v>21</v>
      </c>
      <c r="AB5" s="463">
        <v>22</v>
      </c>
      <c r="AC5" s="463">
        <v>23</v>
      </c>
      <c r="AD5" s="463">
        <v>24</v>
      </c>
      <c r="AE5" s="463">
        <v>25</v>
      </c>
      <c r="AF5" s="463">
        <v>26</v>
      </c>
      <c r="AG5" s="21"/>
    </row>
    <row r="6" spans="1:33" x14ac:dyDescent="0.2">
      <c r="A6" s="446" t="s">
        <v>427</v>
      </c>
      <c r="F6" s="9" t="s">
        <v>309</v>
      </c>
      <c r="G6" s="33">
        <f>CF!D6</f>
        <v>2001</v>
      </c>
      <c r="H6" s="33">
        <f>CF!E6</f>
        <v>2002</v>
      </c>
      <c r="I6" s="33">
        <f>CF!F6</f>
        <v>2003</v>
      </c>
      <c r="J6" s="463">
        <v>2004</v>
      </c>
      <c r="K6" s="463">
        <v>2005</v>
      </c>
      <c r="L6" s="463">
        <v>2006</v>
      </c>
      <c r="M6" s="463">
        <v>2007</v>
      </c>
      <c r="N6" s="463">
        <v>2008</v>
      </c>
      <c r="O6" s="463">
        <v>2009</v>
      </c>
      <c r="P6" s="463">
        <v>2010</v>
      </c>
      <c r="Q6" s="463">
        <v>2011</v>
      </c>
      <c r="R6" s="463">
        <v>2012</v>
      </c>
      <c r="S6" s="463">
        <v>2013</v>
      </c>
      <c r="T6" s="463">
        <v>2014</v>
      </c>
      <c r="U6" s="463">
        <v>2015</v>
      </c>
      <c r="V6" s="463">
        <v>2016</v>
      </c>
      <c r="W6" s="463">
        <v>2017</v>
      </c>
      <c r="X6" s="463">
        <v>2018</v>
      </c>
      <c r="Y6" s="463">
        <v>2019</v>
      </c>
      <c r="Z6" s="463">
        <v>2020</v>
      </c>
      <c r="AA6" s="463">
        <v>2021</v>
      </c>
      <c r="AB6" s="463">
        <v>2022</v>
      </c>
      <c r="AC6" s="463">
        <v>2023</v>
      </c>
      <c r="AD6" s="463">
        <v>2024</v>
      </c>
      <c r="AE6" s="463">
        <v>2025</v>
      </c>
      <c r="AF6" s="463">
        <v>2026</v>
      </c>
      <c r="AG6" s="34" t="s">
        <v>167</v>
      </c>
    </row>
    <row r="7" spans="1:33" x14ac:dyDescent="0.2">
      <c r="A7" s="14" t="s">
        <v>310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0"/>
    </row>
    <row r="8" spans="1:33" x14ac:dyDescent="0.2">
      <c r="A8" s="4"/>
      <c r="B8" s="5" t="s">
        <v>311</v>
      </c>
      <c r="C8" s="5"/>
      <c r="D8" s="5"/>
      <c r="E8" s="5"/>
      <c r="F8" s="74">
        <v>0</v>
      </c>
      <c r="G8" s="35">
        <f>$F$8+G87</f>
        <v>0</v>
      </c>
      <c r="H8" s="35">
        <f>$F$8+H87</f>
        <v>0</v>
      </c>
      <c r="I8" s="35">
        <f>$F$8+I87</f>
        <v>0</v>
      </c>
      <c r="J8" s="465">
        <v>0</v>
      </c>
      <c r="K8" s="465">
        <v>0</v>
      </c>
      <c r="L8" s="465">
        <v>0</v>
      </c>
      <c r="M8" s="465">
        <v>0</v>
      </c>
      <c r="N8" s="465">
        <v>0</v>
      </c>
      <c r="O8" s="465">
        <v>0</v>
      </c>
      <c r="P8" s="465">
        <v>0</v>
      </c>
      <c r="Q8" s="465">
        <v>0</v>
      </c>
      <c r="R8" s="465">
        <v>0</v>
      </c>
      <c r="S8" s="465">
        <v>0</v>
      </c>
      <c r="T8" s="465">
        <v>0</v>
      </c>
      <c r="U8" s="465">
        <v>0</v>
      </c>
      <c r="V8" s="465">
        <v>0</v>
      </c>
      <c r="W8" s="465">
        <v>0</v>
      </c>
      <c r="X8" s="465">
        <v>0</v>
      </c>
      <c r="Y8" s="465">
        <v>0</v>
      </c>
      <c r="Z8" s="465">
        <v>0</v>
      </c>
      <c r="AA8" s="465">
        <v>0</v>
      </c>
      <c r="AB8" s="465">
        <v>0</v>
      </c>
      <c r="AC8" s="465">
        <v>0</v>
      </c>
      <c r="AD8" s="465">
        <v>0</v>
      </c>
      <c r="AE8" s="465">
        <v>0</v>
      </c>
      <c r="AF8" s="465">
        <v>0</v>
      </c>
      <c r="AG8" s="37">
        <f>SUM(F8:AA8)</f>
        <v>0</v>
      </c>
    </row>
    <row r="9" spans="1:33" x14ac:dyDescent="0.2">
      <c r="A9" s="4"/>
      <c r="B9" s="5" t="s">
        <v>130</v>
      </c>
      <c r="C9" s="5"/>
      <c r="D9" s="5"/>
      <c r="E9" s="5"/>
      <c r="F9" s="74">
        <v>0</v>
      </c>
      <c r="G9" s="35">
        <f>F9+(-CF!D65-CF!D66)</f>
        <v>0</v>
      </c>
      <c r="H9" s="35">
        <f>G9+(-CF!E65-CF!E66)</f>
        <v>0</v>
      </c>
      <c r="I9" s="35">
        <f>H9+(-CF!F65-CF!F66)</f>
        <v>0</v>
      </c>
      <c r="J9" s="465">
        <v>0</v>
      </c>
      <c r="K9" s="465">
        <v>0</v>
      </c>
      <c r="L9" s="465">
        <v>0</v>
      </c>
      <c r="M9" s="465">
        <v>0</v>
      </c>
      <c r="N9" s="465">
        <v>0</v>
      </c>
      <c r="O9" s="465">
        <v>0</v>
      </c>
      <c r="P9" s="465">
        <v>0</v>
      </c>
      <c r="Q9" s="465">
        <v>0</v>
      </c>
      <c r="R9" s="465">
        <v>0</v>
      </c>
      <c r="S9" s="465">
        <v>0</v>
      </c>
      <c r="T9" s="465">
        <v>0</v>
      </c>
      <c r="U9" s="465">
        <v>0</v>
      </c>
      <c r="V9" s="465">
        <v>0</v>
      </c>
      <c r="W9" s="465">
        <v>0</v>
      </c>
      <c r="X9" s="465">
        <v>0</v>
      </c>
      <c r="Y9" s="465">
        <v>0</v>
      </c>
      <c r="Z9" s="465">
        <v>0</v>
      </c>
      <c r="AA9" s="465">
        <v>0</v>
      </c>
      <c r="AB9" s="465">
        <v>0</v>
      </c>
      <c r="AC9" s="465">
        <v>0</v>
      </c>
      <c r="AD9" s="465">
        <v>0</v>
      </c>
      <c r="AE9" s="465">
        <v>0</v>
      </c>
      <c r="AF9" s="465">
        <v>0</v>
      </c>
      <c r="AG9" s="37"/>
    </row>
    <row r="10" spans="1:33" x14ac:dyDescent="0.2">
      <c r="A10" s="4"/>
      <c r="B10" s="5" t="s">
        <v>312</v>
      </c>
      <c r="C10" s="5"/>
      <c r="D10" s="5"/>
      <c r="E10" s="5"/>
      <c r="F10" s="464">
        <v>0</v>
      </c>
      <c r="G10" s="465">
        <v>0</v>
      </c>
      <c r="H10" s="465">
        <v>0</v>
      </c>
      <c r="I10" s="465">
        <v>0</v>
      </c>
      <c r="J10" s="465">
        <v>0</v>
      </c>
      <c r="K10" s="465">
        <v>0</v>
      </c>
      <c r="L10" s="465">
        <v>0</v>
      </c>
      <c r="M10" s="465">
        <v>0</v>
      </c>
      <c r="N10" s="465">
        <v>0</v>
      </c>
      <c r="O10" s="465">
        <v>0</v>
      </c>
      <c r="P10" s="465">
        <v>0</v>
      </c>
      <c r="Q10" s="465">
        <v>0</v>
      </c>
      <c r="R10" s="465">
        <v>0</v>
      </c>
      <c r="S10" s="465">
        <v>0</v>
      </c>
      <c r="T10" s="465">
        <v>0</v>
      </c>
      <c r="U10" s="465">
        <v>0</v>
      </c>
      <c r="V10" s="465">
        <v>0</v>
      </c>
      <c r="W10" s="465">
        <v>0</v>
      </c>
      <c r="X10" s="465">
        <v>0</v>
      </c>
      <c r="Y10" s="465">
        <v>0</v>
      </c>
      <c r="Z10" s="465">
        <v>0</v>
      </c>
      <c r="AA10" s="465">
        <v>0</v>
      </c>
      <c r="AB10" s="465">
        <v>0</v>
      </c>
      <c r="AC10" s="465">
        <v>0</v>
      </c>
      <c r="AD10" s="465">
        <v>0</v>
      </c>
      <c r="AE10" s="465">
        <v>0</v>
      </c>
      <c r="AF10" s="465">
        <v>0</v>
      </c>
      <c r="AG10" s="37">
        <f t="shared" ref="AG10:AG25" si="0">SUM(F10:AA10)</f>
        <v>0</v>
      </c>
    </row>
    <row r="11" spans="1:33" x14ac:dyDescent="0.2">
      <c r="A11" s="4"/>
      <c r="B11" s="5" t="s">
        <v>313</v>
      </c>
      <c r="C11" s="5"/>
      <c r="D11" s="5"/>
      <c r="E11" s="5"/>
      <c r="F11" s="74">
        <v>0</v>
      </c>
      <c r="G11" s="35">
        <f>IF(G5&lt;TERM,SPARES,0)</f>
        <v>0</v>
      </c>
      <c r="H11" s="35">
        <f t="shared" ref="H11:W11" si="1">IF(H5&lt;TERM,SPARES,0)</f>
        <v>0</v>
      </c>
      <c r="I11" s="35">
        <f t="shared" si="1"/>
        <v>0</v>
      </c>
      <c r="J11" s="35">
        <f t="shared" si="1"/>
        <v>0</v>
      </c>
      <c r="K11" s="35">
        <f t="shared" si="1"/>
        <v>0</v>
      </c>
      <c r="L11" s="35">
        <f t="shared" si="1"/>
        <v>0</v>
      </c>
      <c r="M11" s="35">
        <f t="shared" si="1"/>
        <v>0</v>
      </c>
      <c r="N11" s="35">
        <f t="shared" si="1"/>
        <v>0</v>
      </c>
      <c r="O11" s="35">
        <f t="shared" si="1"/>
        <v>0</v>
      </c>
      <c r="P11" s="35">
        <f t="shared" si="1"/>
        <v>0</v>
      </c>
      <c r="Q11" s="35">
        <f t="shared" si="1"/>
        <v>0</v>
      </c>
      <c r="R11" s="35">
        <f t="shared" si="1"/>
        <v>0</v>
      </c>
      <c r="S11" s="35">
        <f t="shared" si="1"/>
        <v>0</v>
      </c>
      <c r="T11" s="35">
        <f t="shared" si="1"/>
        <v>0</v>
      </c>
      <c r="U11" s="35">
        <f t="shared" si="1"/>
        <v>0</v>
      </c>
      <c r="V11" s="35">
        <f t="shared" si="1"/>
        <v>0</v>
      </c>
      <c r="W11" s="35">
        <f t="shared" si="1"/>
        <v>0</v>
      </c>
      <c r="X11" s="35">
        <f t="shared" ref="X11:AF11" si="2">IF(X5&lt;TERM,SPARES,0)</f>
        <v>0</v>
      </c>
      <c r="Y11" s="35">
        <f t="shared" si="2"/>
        <v>0</v>
      </c>
      <c r="Z11" s="35">
        <f t="shared" si="2"/>
        <v>0</v>
      </c>
      <c r="AA11" s="35">
        <f t="shared" si="2"/>
        <v>0</v>
      </c>
      <c r="AB11" s="35">
        <f t="shared" si="2"/>
        <v>0</v>
      </c>
      <c r="AC11" s="35">
        <f t="shared" si="2"/>
        <v>0</v>
      </c>
      <c r="AD11" s="35">
        <f t="shared" si="2"/>
        <v>0</v>
      </c>
      <c r="AE11" s="35">
        <f t="shared" si="2"/>
        <v>0</v>
      </c>
      <c r="AF11" s="35">
        <f t="shared" si="2"/>
        <v>0</v>
      </c>
      <c r="AG11" s="37">
        <f t="shared" si="0"/>
        <v>0</v>
      </c>
    </row>
    <row r="12" spans="1:33" x14ac:dyDescent="0.2">
      <c r="A12" s="4"/>
      <c r="B12" s="5" t="s">
        <v>314</v>
      </c>
      <c r="C12" s="5"/>
      <c r="D12" s="5"/>
      <c r="E12" s="5"/>
      <c r="F12" s="464">
        <v>0</v>
      </c>
      <c r="G12" s="465">
        <v>0</v>
      </c>
      <c r="H12" s="465">
        <v>0</v>
      </c>
      <c r="I12" s="465">
        <v>0</v>
      </c>
      <c r="J12" s="465">
        <v>0</v>
      </c>
      <c r="K12" s="465">
        <v>0</v>
      </c>
      <c r="L12" s="465">
        <v>0</v>
      </c>
      <c r="M12" s="465">
        <v>0</v>
      </c>
      <c r="N12" s="465">
        <v>0</v>
      </c>
      <c r="O12" s="465">
        <v>0</v>
      </c>
      <c r="P12" s="465">
        <v>0</v>
      </c>
      <c r="Q12" s="465">
        <v>0</v>
      </c>
      <c r="R12" s="465">
        <v>0</v>
      </c>
      <c r="S12" s="465">
        <v>0</v>
      </c>
      <c r="T12" s="465">
        <v>0</v>
      </c>
      <c r="U12" s="465">
        <v>0</v>
      </c>
      <c r="V12" s="465">
        <v>0</v>
      </c>
      <c r="W12" s="465">
        <v>0</v>
      </c>
      <c r="X12" s="465">
        <v>0</v>
      </c>
      <c r="Y12" s="465">
        <v>0</v>
      </c>
      <c r="Z12" s="465">
        <v>0</v>
      </c>
      <c r="AA12" s="465">
        <v>0</v>
      </c>
      <c r="AB12" s="465">
        <v>0</v>
      </c>
      <c r="AC12" s="465">
        <v>0</v>
      </c>
      <c r="AD12" s="465">
        <v>0</v>
      </c>
      <c r="AE12" s="465">
        <v>0</v>
      </c>
      <c r="AF12" s="465">
        <v>0</v>
      </c>
      <c r="AG12" s="37">
        <f t="shared" si="0"/>
        <v>0</v>
      </c>
    </row>
    <row r="13" spans="1:33" x14ac:dyDescent="0.2">
      <c r="A13" s="4"/>
      <c r="B13" s="5" t="s">
        <v>315</v>
      </c>
      <c r="C13" s="5"/>
      <c r="D13" s="5"/>
      <c r="E13" s="5"/>
      <c r="F13" s="74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7" t="s">
        <v>6</v>
      </c>
    </row>
    <row r="14" spans="1:33" x14ac:dyDescent="0.2">
      <c r="A14" s="4"/>
      <c r="B14" s="5"/>
      <c r="C14" s="5" t="s">
        <v>215</v>
      </c>
      <c r="D14" s="5"/>
      <c r="E14" s="5"/>
      <c r="F14" s="74">
        <v>0</v>
      </c>
      <c r="G14" s="35">
        <f>$F$14+DEPR!$F$33</f>
        <v>13000</v>
      </c>
      <c r="H14" s="35">
        <f>$F$14+DEPR!$F$33</f>
        <v>13000</v>
      </c>
      <c r="I14" s="35">
        <f>$F$14+DEPR!$F$33</f>
        <v>13000</v>
      </c>
      <c r="J14" s="35">
        <f>$F$14+DEPR!$F$33</f>
        <v>13000</v>
      </c>
      <c r="K14" s="35">
        <f>$F$14+DEPR!$F$33</f>
        <v>13000</v>
      </c>
      <c r="L14" s="35">
        <f>$F$14+DEPR!$F$33</f>
        <v>13000</v>
      </c>
      <c r="M14" s="35">
        <f>$F$14+DEPR!$F$33</f>
        <v>13000</v>
      </c>
      <c r="N14" s="35">
        <f>$F$14+DEPR!$F$33</f>
        <v>13000</v>
      </c>
      <c r="O14" s="35">
        <f>$F$14+DEPR!$F$33</f>
        <v>13000</v>
      </c>
      <c r="P14" s="35">
        <f>$F$14+DEPR!$F$33</f>
        <v>13000</v>
      </c>
      <c r="Q14" s="35">
        <f>$F$14+DEPR!$F$33</f>
        <v>13000</v>
      </c>
      <c r="R14" s="35">
        <f>$F$14+DEPR!$F$33</f>
        <v>13000</v>
      </c>
      <c r="S14" s="35">
        <f>$F$14+DEPR!$F$33</f>
        <v>13000</v>
      </c>
      <c r="T14" s="35">
        <f>$F$14+DEPR!$F$33</f>
        <v>13000</v>
      </c>
      <c r="U14" s="35">
        <f>$F$14+DEPR!$F$33</f>
        <v>13000</v>
      </c>
      <c r="V14" s="35">
        <f>$F$14+DEPR!$F$33</f>
        <v>13000</v>
      </c>
      <c r="W14" s="35">
        <f>$F$14+DEPR!$F$33</f>
        <v>13000</v>
      </c>
      <c r="X14" s="35">
        <f>$F$14+DEPR!$F$33</f>
        <v>13000</v>
      </c>
      <c r="Y14" s="35">
        <f>$F$14+DEPR!$F$33</f>
        <v>13000</v>
      </c>
      <c r="Z14" s="35">
        <f>$F$14+DEPR!$F$33</f>
        <v>13000</v>
      </c>
      <c r="AA14" s="35">
        <f>$F$14+DEPR!$F$33</f>
        <v>13000</v>
      </c>
      <c r="AB14" s="35">
        <f>$F$14+DEPR!$F$33</f>
        <v>13000</v>
      </c>
      <c r="AC14" s="35">
        <f>$F$14+DEPR!$F$33</f>
        <v>13000</v>
      </c>
      <c r="AD14" s="35">
        <f>$F$14+DEPR!$F$33</f>
        <v>13000</v>
      </c>
      <c r="AE14" s="35">
        <f>$F$14+DEPR!$F$33</f>
        <v>13000</v>
      </c>
      <c r="AF14" s="35">
        <f>$F$14+DEPR!$F$33</f>
        <v>13000</v>
      </c>
      <c r="AG14" s="37">
        <f t="shared" si="0"/>
        <v>273000</v>
      </c>
    </row>
    <row r="15" spans="1:33" x14ac:dyDescent="0.2">
      <c r="A15" s="4"/>
      <c r="B15" s="5"/>
      <c r="C15" s="5" t="s">
        <v>316</v>
      </c>
      <c r="D15" s="5"/>
      <c r="E15" s="5"/>
      <c r="F15" s="75">
        <v>0</v>
      </c>
      <c r="G15" s="38">
        <f>$F$15+DEPR!F30</f>
        <v>456.14035087719299</v>
      </c>
      <c r="H15" s="38">
        <f>$F$15+DEPR!G30</f>
        <v>912.28070175438597</v>
      </c>
      <c r="I15" s="38">
        <f>$F$15+DEPR!H30</f>
        <v>1368.421052631579</v>
      </c>
      <c r="J15" s="38">
        <f>$F$15+DEPR!I30</f>
        <v>1824.5614035087719</v>
      </c>
      <c r="K15" s="38">
        <f>$F$15+DEPR!J30</f>
        <v>2280.7017543859647</v>
      </c>
      <c r="L15" s="38">
        <f>$F$15+DEPR!K30</f>
        <v>2736.8421052631575</v>
      </c>
      <c r="M15" s="38">
        <f>$F$15+DEPR!L30</f>
        <v>3192.9824561403502</v>
      </c>
      <c r="N15" s="38">
        <f>$F$15+DEPR!M30</f>
        <v>3649.122807017543</v>
      </c>
      <c r="O15" s="38">
        <f>$F$15+DEPR!N30</f>
        <v>4105.2631578947357</v>
      </c>
      <c r="P15" s="38">
        <f>$F$15+DEPR!O30</f>
        <v>4561.4035087719285</v>
      </c>
      <c r="Q15" s="38">
        <f>$F$15+DEPR!P30</f>
        <v>5017.5438596491213</v>
      </c>
      <c r="R15" s="38">
        <f>$F$15+DEPR!Q30</f>
        <v>5473.684210526314</v>
      </c>
      <c r="S15" s="38">
        <f>$F$15+DEPR!R30</f>
        <v>5929.8245614035068</v>
      </c>
      <c r="T15" s="38">
        <f>$F$15+DEPR!S30</f>
        <v>6385.9649122806995</v>
      </c>
      <c r="U15" s="38">
        <f>$F$15+DEPR!T30</f>
        <v>6842.1052631578923</v>
      </c>
      <c r="V15" s="38">
        <f>$F$15+DEPR!U30</f>
        <v>7298.2456140350851</v>
      </c>
      <c r="W15" s="38">
        <f>$F$15+DEPR!V30</f>
        <v>7754.3859649122778</v>
      </c>
      <c r="X15" s="38">
        <f>$F$15+DEPR!W30</f>
        <v>8210.5263157894715</v>
      </c>
      <c r="Y15" s="38">
        <f>$F$15+DEPR!X30</f>
        <v>8666.6666666666642</v>
      </c>
      <c r="Z15" s="38">
        <f>$F$15+DEPR!Y30</f>
        <v>9122.807017543857</v>
      </c>
      <c r="AA15" s="38">
        <f>$F$15+DEPR!Z30</f>
        <v>9578.9473684210498</v>
      </c>
      <c r="AB15" s="38">
        <f>$F$15+DEPR!AA30</f>
        <v>10035.087719298243</v>
      </c>
      <c r="AC15" s="38">
        <f>$F$15+DEPR!AB30</f>
        <v>10491.228070175435</v>
      </c>
      <c r="AD15" s="38">
        <f>$F$15+DEPR!AC30</f>
        <v>10947.368421052628</v>
      </c>
      <c r="AE15" s="38">
        <f>$F$15+DEPR!AD30</f>
        <v>11403.508771929821</v>
      </c>
      <c r="AF15" s="38">
        <f>$F$15+DEPR!AE30</f>
        <v>11859.649122807014</v>
      </c>
      <c r="AG15" s="37">
        <f t="shared" si="0"/>
        <v>105368.42105263154</v>
      </c>
    </row>
    <row r="16" spans="1:33" x14ac:dyDescent="0.2">
      <c r="A16" s="4"/>
      <c r="B16" s="5"/>
      <c r="C16" s="5" t="s">
        <v>317</v>
      </c>
      <c r="D16" s="5"/>
      <c r="E16" s="5"/>
      <c r="F16" s="74">
        <v>0</v>
      </c>
      <c r="G16" s="35">
        <f>$F$16+G14-G15</f>
        <v>12543.859649122807</v>
      </c>
      <c r="H16" s="35">
        <f t="shared" ref="H16:W16" si="3">$F$16+H14-H15</f>
        <v>12087.719298245614</v>
      </c>
      <c r="I16" s="35">
        <f t="shared" si="3"/>
        <v>11631.578947368422</v>
      </c>
      <c r="J16" s="35">
        <f t="shared" si="3"/>
        <v>11175.438596491229</v>
      </c>
      <c r="K16" s="35">
        <f t="shared" si="3"/>
        <v>10719.298245614034</v>
      </c>
      <c r="L16" s="35">
        <f t="shared" si="3"/>
        <v>10263.157894736843</v>
      </c>
      <c r="M16" s="35">
        <f t="shared" si="3"/>
        <v>9807.0175438596489</v>
      </c>
      <c r="N16" s="35">
        <f t="shared" si="3"/>
        <v>9350.8771929824579</v>
      </c>
      <c r="O16" s="35">
        <f t="shared" si="3"/>
        <v>8894.7368421052633</v>
      </c>
      <c r="P16" s="35">
        <f t="shared" si="3"/>
        <v>8438.5964912280724</v>
      </c>
      <c r="Q16" s="35">
        <f t="shared" si="3"/>
        <v>7982.4561403508787</v>
      </c>
      <c r="R16" s="35">
        <f t="shared" si="3"/>
        <v>7526.315789473686</v>
      </c>
      <c r="S16" s="35">
        <f t="shared" si="3"/>
        <v>7070.1754385964932</v>
      </c>
      <c r="T16" s="35">
        <f t="shared" si="3"/>
        <v>6614.0350877193005</v>
      </c>
      <c r="U16" s="35">
        <f t="shared" si="3"/>
        <v>6157.8947368421077</v>
      </c>
      <c r="V16" s="35">
        <f t="shared" si="3"/>
        <v>5701.7543859649149</v>
      </c>
      <c r="W16" s="35">
        <f t="shared" si="3"/>
        <v>5245.6140350877222</v>
      </c>
      <c r="X16" s="35">
        <f t="shared" ref="X16:AF16" si="4">$F$16+X14-X15</f>
        <v>4789.4736842105285</v>
      </c>
      <c r="Y16" s="35">
        <f t="shared" si="4"/>
        <v>4333.3333333333358</v>
      </c>
      <c r="Z16" s="35">
        <f t="shared" si="4"/>
        <v>3877.192982456143</v>
      </c>
      <c r="AA16" s="35">
        <f t="shared" si="4"/>
        <v>3421.0526315789502</v>
      </c>
      <c r="AB16" s="35">
        <f t="shared" si="4"/>
        <v>2964.9122807017575</v>
      </c>
      <c r="AC16" s="35">
        <f t="shared" si="4"/>
        <v>2508.7719298245647</v>
      </c>
      <c r="AD16" s="35">
        <f t="shared" si="4"/>
        <v>2052.631578947372</v>
      </c>
      <c r="AE16" s="35">
        <f t="shared" si="4"/>
        <v>1596.4912280701792</v>
      </c>
      <c r="AF16" s="35">
        <f t="shared" si="4"/>
        <v>1140.3508771929864</v>
      </c>
      <c r="AG16" s="37">
        <f t="shared" si="0"/>
        <v>167631.57894736849</v>
      </c>
    </row>
    <row r="17" spans="1:33" x14ac:dyDescent="0.2">
      <c r="A17" s="4"/>
      <c r="B17" s="5" t="s">
        <v>318</v>
      </c>
      <c r="C17" s="5"/>
      <c r="D17" s="5"/>
      <c r="E17" s="5"/>
      <c r="F17" s="464">
        <v>0</v>
      </c>
      <c r="G17" s="465">
        <v>0</v>
      </c>
      <c r="H17" s="465">
        <v>0</v>
      </c>
      <c r="I17" s="465">
        <v>0</v>
      </c>
      <c r="J17" s="465">
        <v>0</v>
      </c>
      <c r="K17" s="465">
        <v>0</v>
      </c>
      <c r="L17" s="465">
        <v>0</v>
      </c>
      <c r="M17" s="465">
        <v>0</v>
      </c>
      <c r="N17" s="465">
        <v>0</v>
      </c>
      <c r="O17" s="465">
        <v>0</v>
      </c>
      <c r="P17" s="465">
        <v>0</v>
      </c>
      <c r="Q17" s="465">
        <v>0</v>
      </c>
      <c r="R17" s="465">
        <v>0</v>
      </c>
      <c r="S17" s="465">
        <v>0</v>
      </c>
      <c r="T17" s="465">
        <v>0</v>
      </c>
      <c r="U17" s="465">
        <v>0</v>
      </c>
      <c r="V17" s="465">
        <v>0</v>
      </c>
      <c r="W17" s="465">
        <v>0</v>
      </c>
      <c r="X17" s="465">
        <v>0</v>
      </c>
      <c r="Y17" s="465">
        <v>0</v>
      </c>
      <c r="Z17" s="465">
        <v>0</v>
      </c>
      <c r="AA17" s="465">
        <v>0</v>
      </c>
      <c r="AB17" s="465">
        <v>0</v>
      </c>
      <c r="AC17" s="465">
        <v>0</v>
      </c>
      <c r="AD17" s="465">
        <v>0</v>
      </c>
      <c r="AE17" s="465">
        <v>0</v>
      </c>
      <c r="AF17" s="465">
        <v>0</v>
      </c>
      <c r="AG17" s="37">
        <f t="shared" si="0"/>
        <v>0</v>
      </c>
    </row>
    <row r="18" spans="1:33" x14ac:dyDescent="0.2">
      <c r="A18" s="4"/>
      <c r="B18" s="5"/>
      <c r="C18" s="5"/>
      <c r="D18" s="5"/>
      <c r="E18" s="5"/>
      <c r="F18" s="74"/>
      <c r="G18" s="35" t="s">
        <v>6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7">
        <f t="shared" si="0"/>
        <v>0</v>
      </c>
    </row>
    <row r="19" spans="1:33" x14ac:dyDescent="0.2">
      <c r="A19" s="4" t="s">
        <v>319</v>
      </c>
      <c r="B19" s="5"/>
      <c r="C19" s="5"/>
      <c r="D19" s="5"/>
      <c r="E19" s="5"/>
      <c r="F19" s="76">
        <v>0</v>
      </c>
      <c r="G19" s="39">
        <f>SUM(G8:G12)+G16+SUM(G17:G17)</f>
        <v>12543.859649122807</v>
      </c>
      <c r="H19" s="39">
        <f t="shared" ref="H19:W19" si="5">SUM(H8:H12)+H16+SUM(H17:H17)</f>
        <v>12087.719298245614</v>
      </c>
      <c r="I19" s="39">
        <f t="shared" si="5"/>
        <v>11631.578947368422</v>
      </c>
      <c r="J19" s="39">
        <f t="shared" si="5"/>
        <v>11175.438596491229</v>
      </c>
      <c r="K19" s="39">
        <f t="shared" si="5"/>
        <v>10719.298245614034</v>
      </c>
      <c r="L19" s="39">
        <f t="shared" si="5"/>
        <v>10263.157894736843</v>
      </c>
      <c r="M19" s="39">
        <f t="shared" si="5"/>
        <v>9807.0175438596489</v>
      </c>
      <c r="N19" s="39">
        <f t="shared" si="5"/>
        <v>9350.8771929824579</v>
      </c>
      <c r="O19" s="39">
        <f t="shared" si="5"/>
        <v>8894.7368421052633</v>
      </c>
      <c r="P19" s="39">
        <f t="shared" si="5"/>
        <v>8438.5964912280724</v>
      </c>
      <c r="Q19" s="39">
        <f t="shared" si="5"/>
        <v>7982.4561403508787</v>
      </c>
      <c r="R19" s="39">
        <f t="shared" si="5"/>
        <v>7526.315789473686</v>
      </c>
      <c r="S19" s="39">
        <f t="shared" si="5"/>
        <v>7070.1754385964932</v>
      </c>
      <c r="T19" s="39">
        <f t="shared" si="5"/>
        <v>6614.0350877193005</v>
      </c>
      <c r="U19" s="39">
        <f t="shared" si="5"/>
        <v>6157.8947368421077</v>
      </c>
      <c r="V19" s="39">
        <f t="shared" si="5"/>
        <v>5701.7543859649149</v>
      </c>
      <c r="W19" s="39">
        <f t="shared" si="5"/>
        <v>5245.6140350877222</v>
      </c>
      <c r="X19" s="39">
        <f t="shared" ref="X19:AF19" si="6">SUM(X8:X12)+X16+SUM(X17:X17)</f>
        <v>4789.4736842105285</v>
      </c>
      <c r="Y19" s="39">
        <f t="shared" si="6"/>
        <v>4333.3333333333358</v>
      </c>
      <c r="Z19" s="39">
        <f t="shared" si="6"/>
        <v>3877.192982456143</v>
      </c>
      <c r="AA19" s="39">
        <f t="shared" si="6"/>
        <v>3421.0526315789502</v>
      </c>
      <c r="AB19" s="39">
        <f t="shared" si="6"/>
        <v>2964.9122807017575</v>
      </c>
      <c r="AC19" s="39">
        <f t="shared" si="6"/>
        <v>2508.7719298245647</v>
      </c>
      <c r="AD19" s="39">
        <f t="shared" si="6"/>
        <v>2052.631578947372</v>
      </c>
      <c r="AE19" s="39">
        <f t="shared" si="6"/>
        <v>1596.4912280701792</v>
      </c>
      <c r="AF19" s="39">
        <f t="shared" si="6"/>
        <v>1140.3508771929864</v>
      </c>
      <c r="AG19" s="37">
        <f t="shared" si="0"/>
        <v>167631.57894736849</v>
      </c>
    </row>
    <row r="20" spans="1:33" x14ac:dyDescent="0.2">
      <c r="A20" s="4"/>
      <c r="B20" s="5"/>
      <c r="C20" s="5"/>
      <c r="D20" s="5"/>
      <c r="E20" s="5"/>
      <c r="F20" s="7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7" t="s">
        <v>6</v>
      </c>
    </row>
    <row r="21" spans="1:33" x14ac:dyDescent="0.2">
      <c r="A21" s="4" t="s">
        <v>320</v>
      </c>
      <c r="B21" s="5"/>
      <c r="C21" s="5"/>
      <c r="D21" s="5"/>
      <c r="E21" s="5"/>
      <c r="F21" s="74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7" t="s">
        <v>6</v>
      </c>
    </row>
    <row r="22" spans="1:33" x14ac:dyDescent="0.2">
      <c r="A22" s="4"/>
      <c r="B22" s="5" t="s">
        <v>321</v>
      </c>
      <c r="C22" s="5"/>
      <c r="D22" s="5"/>
      <c r="E22" s="5"/>
      <c r="F22" s="74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7">
        <f t="shared" si="0"/>
        <v>0</v>
      </c>
    </row>
    <row r="23" spans="1:33" x14ac:dyDescent="0.2">
      <c r="A23" s="4"/>
      <c r="B23" s="5" t="s">
        <v>322</v>
      </c>
      <c r="C23" s="5"/>
      <c r="D23" s="5"/>
      <c r="E23" s="5"/>
      <c r="F23" s="74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7">
        <f t="shared" si="0"/>
        <v>0</v>
      </c>
    </row>
    <row r="24" spans="1:33" x14ac:dyDescent="0.2">
      <c r="A24" s="4"/>
      <c r="B24" s="5" t="s">
        <v>323</v>
      </c>
      <c r="C24" s="5"/>
      <c r="D24" s="5"/>
      <c r="E24" s="5"/>
      <c r="F24" s="74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7">
        <f t="shared" si="0"/>
        <v>0</v>
      </c>
    </row>
    <row r="25" spans="1:33" x14ac:dyDescent="0.2">
      <c r="A25" s="4"/>
      <c r="B25" s="5" t="s">
        <v>324</v>
      </c>
      <c r="C25" s="5"/>
      <c r="D25" s="5"/>
      <c r="E25" s="5"/>
      <c r="F25" s="74">
        <v>0</v>
      </c>
      <c r="G25" s="35">
        <f>G71+G72+$F$25</f>
        <v>0</v>
      </c>
      <c r="H25" s="35">
        <f t="shared" ref="H25:AF25" si="7">H71+H72+$F$25+G25</f>
        <v>0</v>
      </c>
      <c r="I25" s="35">
        <f t="shared" si="7"/>
        <v>0</v>
      </c>
      <c r="J25" s="35">
        <f t="shared" si="7"/>
        <v>0</v>
      </c>
      <c r="K25" s="35">
        <f t="shared" si="7"/>
        <v>0</v>
      </c>
      <c r="L25" s="35">
        <f t="shared" si="7"/>
        <v>0</v>
      </c>
      <c r="M25" s="35">
        <f t="shared" si="7"/>
        <v>0</v>
      </c>
      <c r="N25" s="35">
        <f t="shared" si="7"/>
        <v>0</v>
      </c>
      <c r="O25" s="35">
        <f t="shared" si="7"/>
        <v>0</v>
      </c>
      <c r="P25" s="35">
        <f t="shared" si="7"/>
        <v>0</v>
      </c>
      <c r="Q25" s="35">
        <f t="shared" si="7"/>
        <v>0</v>
      </c>
      <c r="R25" s="35">
        <f t="shared" si="7"/>
        <v>0</v>
      </c>
      <c r="S25" s="35">
        <f t="shared" si="7"/>
        <v>0</v>
      </c>
      <c r="T25" s="35">
        <f t="shared" si="7"/>
        <v>0</v>
      </c>
      <c r="U25" s="35">
        <f t="shared" si="7"/>
        <v>0</v>
      </c>
      <c r="V25" s="35">
        <f t="shared" si="7"/>
        <v>0</v>
      </c>
      <c r="W25" s="35">
        <f t="shared" si="7"/>
        <v>0</v>
      </c>
      <c r="X25" s="35">
        <f t="shared" si="7"/>
        <v>0</v>
      </c>
      <c r="Y25" s="35">
        <f t="shared" si="7"/>
        <v>0</v>
      </c>
      <c r="Z25" s="35">
        <f t="shared" si="7"/>
        <v>0</v>
      </c>
      <c r="AA25" s="35">
        <f t="shared" si="7"/>
        <v>0</v>
      </c>
      <c r="AB25" s="35">
        <f t="shared" si="7"/>
        <v>0</v>
      </c>
      <c r="AC25" s="35">
        <f t="shared" si="7"/>
        <v>0</v>
      </c>
      <c r="AD25" s="35">
        <f t="shared" si="7"/>
        <v>0</v>
      </c>
      <c r="AE25" s="35">
        <f t="shared" si="7"/>
        <v>0</v>
      </c>
      <c r="AF25" s="35">
        <f t="shared" si="7"/>
        <v>0</v>
      </c>
      <c r="AG25" s="37">
        <f t="shared" si="0"/>
        <v>0</v>
      </c>
    </row>
    <row r="26" spans="1:33" x14ac:dyDescent="0.2">
      <c r="A26" s="4"/>
      <c r="B26" s="5" t="s">
        <v>325</v>
      </c>
      <c r="C26" s="5"/>
      <c r="D26" s="5"/>
      <c r="E26" s="5"/>
      <c r="F26" s="75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7">
        <f t="shared" ref="AG26:AG37" si="8">SUM(F26:AA26)</f>
        <v>0</v>
      </c>
    </row>
    <row r="27" spans="1:33" x14ac:dyDescent="0.2">
      <c r="A27" s="4"/>
      <c r="B27" s="5"/>
      <c r="C27" s="5" t="s">
        <v>326</v>
      </c>
      <c r="D27" s="5"/>
      <c r="E27" s="5"/>
      <c r="F27" s="74">
        <v>0</v>
      </c>
      <c r="G27" s="35">
        <f>SUM(G22:G26)</f>
        <v>0</v>
      </c>
      <c r="H27" s="35">
        <f t="shared" ref="H27:W27" si="9">SUM(H22:H26)</f>
        <v>0</v>
      </c>
      <c r="I27" s="35">
        <f t="shared" si="9"/>
        <v>0</v>
      </c>
      <c r="J27" s="35">
        <f t="shared" si="9"/>
        <v>0</v>
      </c>
      <c r="K27" s="35">
        <f t="shared" si="9"/>
        <v>0</v>
      </c>
      <c r="L27" s="35">
        <f t="shared" si="9"/>
        <v>0</v>
      </c>
      <c r="M27" s="35">
        <f t="shared" si="9"/>
        <v>0</v>
      </c>
      <c r="N27" s="35">
        <f t="shared" si="9"/>
        <v>0</v>
      </c>
      <c r="O27" s="35">
        <f t="shared" si="9"/>
        <v>0</v>
      </c>
      <c r="P27" s="35">
        <f t="shared" si="9"/>
        <v>0</v>
      </c>
      <c r="Q27" s="35">
        <f t="shared" si="9"/>
        <v>0</v>
      </c>
      <c r="R27" s="35">
        <f t="shared" si="9"/>
        <v>0</v>
      </c>
      <c r="S27" s="35">
        <f t="shared" si="9"/>
        <v>0</v>
      </c>
      <c r="T27" s="35">
        <f t="shared" si="9"/>
        <v>0</v>
      </c>
      <c r="U27" s="35">
        <f t="shared" si="9"/>
        <v>0</v>
      </c>
      <c r="V27" s="35">
        <f t="shared" si="9"/>
        <v>0</v>
      </c>
      <c r="W27" s="35">
        <f t="shared" si="9"/>
        <v>0</v>
      </c>
      <c r="X27" s="35">
        <f t="shared" ref="X27:AF27" si="10">SUM(X22:X26)</f>
        <v>0</v>
      </c>
      <c r="Y27" s="35">
        <f t="shared" si="10"/>
        <v>0</v>
      </c>
      <c r="Z27" s="35">
        <f t="shared" si="10"/>
        <v>0</v>
      </c>
      <c r="AA27" s="35">
        <f t="shared" si="10"/>
        <v>0</v>
      </c>
      <c r="AB27" s="35">
        <f t="shared" si="10"/>
        <v>0</v>
      </c>
      <c r="AC27" s="35">
        <f t="shared" si="10"/>
        <v>0</v>
      </c>
      <c r="AD27" s="35">
        <f t="shared" si="10"/>
        <v>0</v>
      </c>
      <c r="AE27" s="35">
        <f t="shared" si="10"/>
        <v>0</v>
      </c>
      <c r="AF27" s="35">
        <f t="shared" si="10"/>
        <v>0</v>
      </c>
      <c r="AG27" s="37">
        <f t="shared" si="8"/>
        <v>0</v>
      </c>
    </row>
    <row r="28" spans="1:33" x14ac:dyDescent="0.2">
      <c r="A28" s="4"/>
      <c r="B28" s="5"/>
      <c r="C28" s="5"/>
      <c r="D28" s="5"/>
      <c r="E28" s="5"/>
      <c r="F28" s="7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7" t="s">
        <v>6</v>
      </c>
    </row>
    <row r="29" spans="1:33" x14ac:dyDescent="0.2">
      <c r="A29" s="4" t="s">
        <v>327</v>
      </c>
      <c r="B29" s="5"/>
      <c r="C29" s="5"/>
      <c r="D29" s="5"/>
      <c r="E29" s="5"/>
      <c r="F29" s="74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7" t="s">
        <v>6</v>
      </c>
    </row>
    <row r="30" spans="1:33" x14ac:dyDescent="0.2">
      <c r="A30" s="4"/>
      <c r="B30" s="5" t="s">
        <v>328</v>
      </c>
      <c r="C30" s="5"/>
      <c r="D30" s="5"/>
      <c r="E30" s="5"/>
      <c r="F30" s="74">
        <v>0</v>
      </c>
      <c r="G30" s="35">
        <f t="shared" ref="G30:AF30" si="11">F30+G78</f>
        <v>13000</v>
      </c>
      <c r="H30" s="35">
        <f t="shared" si="11"/>
        <v>13000</v>
      </c>
      <c r="I30" s="35">
        <f t="shared" si="11"/>
        <v>13000</v>
      </c>
      <c r="J30" s="35">
        <f t="shared" si="11"/>
        <v>13000</v>
      </c>
      <c r="K30" s="35">
        <f t="shared" si="11"/>
        <v>13000</v>
      </c>
      <c r="L30" s="35">
        <f t="shared" si="11"/>
        <v>13000</v>
      </c>
      <c r="M30" s="35">
        <f t="shared" si="11"/>
        <v>13000</v>
      </c>
      <c r="N30" s="35">
        <f t="shared" si="11"/>
        <v>13000</v>
      </c>
      <c r="O30" s="35">
        <f t="shared" si="11"/>
        <v>13000</v>
      </c>
      <c r="P30" s="35">
        <f t="shared" si="11"/>
        <v>13000</v>
      </c>
      <c r="Q30" s="35">
        <f t="shared" si="11"/>
        <v>13000</v>
      </c>
      <c r="R30" s="35">
        <f t="shared" si="11"/>
        <v>13000</v>
      </c>
      <c r="S30" s="35">
        <f t="shared" si="11"/>
        <v>13000</v>
      </c>
      <c r="T30" s="35">
        <f t="shared" si="11"/>
        <v>13000</v>
      </c>
      <c r="U30" s="35">
        <f t="shared" si="11"/>
        <v>13000</v>
      </c>
      <c r="V30" s="35">
        <f t="shared" si="11"/>
        <v>13000</v>
      </c>
      <c r="W30" s="35">
        <f t="shared" si="11"/>
        <v>13000</v>
      </c>
      <c r="X30" s="35">
        <f t="shared" si="11"/>
        <v>13000</v>
      </c>
      <c r="Y30" s="35">
        <f t="shared" si="11"/>
        <v>13000</v>
      </c>
      <c r="Z30" s="35">
        <f t="shared" si="11"/>
        <v>13000</v>
      </c>
      <c r="AA30" s="35">
        <f t="shared" si="11"/>
        <v>13000</v>
      </c>
      <c r="AB30" s="35">
        <f t="shared" si="11"/>
        <v>13000</v>
      </c>
      <c r="AC30" s="35">
        <f t="shared" si="11"/>
        <v>13000</v>
      </c>
      <c r="AD30" s="35">
        <f t="shared" si="11"/>
        <v>13000</v>
      </c>
      <c r="AE30" s="35">
        <f t="shared" si="11"/>
        <v>13000</v>
      </c>
      <c r="AF30" s="35">
        <f t="shared" si="11"/>
        <v>13000</v>
      </c>
      <c r="AG30" s="37">
        <f t="shared" si="8"/>
        <v>273000</v>
      </c>
    </row>
    <row r="31" spans="1:33" x14ac:dyDescent="0.2">
      <c r="A31" s="4"/>
      <c r="B31" s="5" t="s">
        <v>329</v>
      </c>
      <c r="C31" s="5"/>
      <c r="D31" s="5"/>
      <c r="E31" s="5"/>
      <c r="F31" s="74">
        <v>0</v>
      </c>
      <c r="G31" s="35">
        <f t="shared" ref="G31:AF31" si="12">F31+G80</f>
        <v>-7054.1</v>
      </c>
      <c r="H31" s="35">
        <f t="shared" si="12"/>
        <v>-13207.281999999999</v>
      </c>
      <c r="I31" s="35">
        <f t="shared" si="12"/>
        <v>-18459.52764</v>
      </c>
      <c r="J31" s="35" t="e">
        <f t="shared" si="12"/>
        <v>#REF!</v>
      </c>
      <c r="K31" s="35" t="e">
        <f t="shared" si="12"/>
        <v>#REF!</v>
      </c>
      <c r="L31" s="35" t="e">
        <f t="shared" si="12"/>
        <v>#REF!</v>
      </c>
      <c r="M31" s="35" t="e">
        <f t="shared" si="12"/>
        <v>#REF!</v>
      </c>
      <c r="N31" s="35" t="e">
        <f t="shared" si="12"/>
        <v>#REF!</v>
      </c>
      <c r="O31" s="35" t="e">
        <f t="shared" si="12"/>
        <v>#REF!</v>
      </c>
      <c r="P31" s="35" t="e">
        <f t="shared" si="12"/>
        <v>#REF!</v>
      </c>
      <c r="Q31" s="35" t="e">
        <f t="shared" si="12"/>
        <v>#REF!</v>
      </c>
      <c r="R31" s="35" t="e">
        <f t="shared" si="12"/>
        <v>#REF!</v>
      </c>
      <c r="S31" s="35" t="e">
        <f t="shared" si="12"/>
        <v>#REF!</v>
      </c>
      <c r="T31" s="35" t="e">
        <f t="shared" si="12"/>
        <v>#REF!</v>
      </c>
      <c r="U31" s="35" t="e">
        <f t="shared" si="12"/>
        <v>#REF!</v>
      </c>
      <c r="V31" s="35" t="e">
        <f t="shared" si="12"/>
        <v>#REF!</v>
      </c>
      <c r="W31" s="35" t="e">
        <f t="shared" si="12"/>
        <v>#REF!</v>
      </c>
      <c r="X31" s="35" t="e">
        <f t="shared" si="12"/>
        <v>#REF!</v>
      </c>
      <c r="Y31" s="35" t="e">
        <f t="shared" si="12"/>
        <v>#REF!</v>
      </c>
      <c r="Z31" s="35" t="e">
        <f t="shared" si="12"/>
        <v>#REF!</v>
      </c>
      <c r="AA31" s="35" t="e">
        <f t="shared" si="12"/>
        <v>#REF!</v>
      </c>
      <c r="AB31" s="35" t="e">
        <f t="shared" si="12"/>
        <v>#REF!</v>
      </c>
      <c r="AC31" s="35" t="e">
        <f t="shared" si="12"/>
        <v>#REF!</v>
      </c>
      <c r="AD31" s="35" t="e">
        <f t="shared" si="12"/>
        <v>#REF!</v>
      </c>
      <c r="AE31" s="35" t="e">
        <f t="shared" si="12"/>
        <v>#REF!</v>
      </c>
      <c r="AF31" s="35" t="e">
        <f t="shared" si="12"/>
        <v>#REF!</v>
      </c>
      <c r="AG31" s="37" t="e">
        <f t="shared" si="8"/>
        <v>#REF!</v>
      </c>
    </row>
    <row r="32" spans="1:33" x14ac:dyDescent="0.2">
      <c r="A32" s="4"/>
      <c r="B32" s="5" t="s">
        <v>330</v>
      </c>
      <c r="C32" s="5"/>
      <c r="D32" s="5"/>
      <c r="E32" s="5"/>
      <c r="F32" s="75">
        <v>0</v>
      </c>
      <c r="G32" s="38">
        <f>F32+G54</f>
        <v>6268.0616666666665</v>
      </c>
      <c r="H32" s="38">
        <f>G32+H54</f>
        <v>11680.251233333332</v>
      </c>
      <c r="I32" s="38">
        <f>H32+I54</f>
        <v>16236.551258</v>
      </c>
      <c r="J32" s="38" t="e">
        <f t="shared" ref="J32:AF32" si="13">I32+R54</f>
        <v>#REF!</v>
      </c>
      <c r="K32" s="38" t="e">
        <f t="shared" si="13"/>
        <v>#REF!</v>
      </c>
      <c r="L32" s="38" t="e">
        <f t="shared" si="13"/>
        <v>#REF!</v>
      </c>
      <c r="M32" s="38" t="e">
        <f t="shared" si="13"/>
        <v>#REF!</v>
      </c>
      <c r="N32" s="38" t="e">
        <f t="shared" si="13"/>
        <v>#REF!</v>
      </c>
      <c r="O32" s="38" t="e">
        <f t="shared" si="13"/>
        <v>#REF!</v>
      </c>
      <c r="P32" s="38" t="e">
        <f t="shared" si="13"/>
        <v>#REF!</v>
      </c>
      <c r="Q32" s="38" t="e">
        <f t="shared" si="13"/>
        <v>#REF!</v>
      </c>
      <c r="R32" s="38" t="e">
        <f t="shared" si="13"/>
        <v>#REF!</v>
      </c>
      <c r="S32" s="38" t="e">
        <f t="shared" si="13"/>
        <v>#REF!</v>
      </c>
      <c r="T32" s="38" t="e">
        <f t="shared" si="13"/>
        <v>#REF!</v>
      </c>
      <c r="U32" s="38" t="e">
        <f t="shared" si="13"/>
        <v>#REF!</v>
      </c>
      <c r="V32" s="38" t="e">
        <f t="shared" si="13"/>
        <v>#REF!</v>
      </c>
      <c r="W32" s="38" t="e">
        <f t="shared" si="13"/>
        <v>#REF!</v>
      </c>
      <c r="X32" s="38" t="e">
        <f t="shared" si="13"/>
        <v>#REF!</v>
      </c>
      <c r="Y32" s="38" t="e">
        <f t="shared" si="13"/>
        <v>#REF!</v>
      </c>
      <c r="Z32" s="38" t="e">
        <f t="shared" si="13"/>
        <v>#REF!</v>
      </c>
      <c r="AA32" s="38" t="e">
        <f t="shared" si="13"/>
        <v>#REF!</v>
      </c>
      <c r="AB32" s="38" t="e">
        <f t="shared" si="13"/>
        <v>#REF!</v>
      </c>
      <c r="AC32" s="38" t="e">
        <f t="shared" si="13"/>
        <v>#REF!</v>
      </c>
      <c r="AD32" s="38" t="e">
        <f t="shared" si="13"/>
        <v>#REF!</v>
      </c>
      <c r="AE32" s="38" t="e">
        <f t="shared" si="13"/>
        <v>#REF!</v>
      </c>
      <c r="AF32" s="38" t="e">
        <f t="shared" si="13"/>
        <v>#REF!</v>
      </c>
      <c r="AG32" s="37" t="e">
        <f t="shared" si="8"/>
        <v>#REF!</v>
      </c>
    </row>
    <row r="33" spans="1:33" x14ac:dyDescent="0.2">
      <c r="A33" s="4"/>
      <c r="B33" s="5" t="s">
        <v>331</v>
      </c>
      <c r="C33" s="5"/>
      <c r="D33" s="5"/>
      <c r="E33" s="5"/>
      <c r="F33" s="74">
        <v>0</v>
      </c>
      <c r="G33" s="35">
        <f>SUM(G30:G32)</f>
        <v>12213.961666666666</v>
      </c>
      <c r="H33" s="35">
        <f t="shared" ref="H33:W33" si="14">SUM(H30:H32)</f>
        <v>11472.969233333333</v>
      </c>
      <c r="I33" s="35">
        <f t="shared" si="14"/>
        <v>10777.023617999999</v>
      </c>
      <c r="J33" s="35" t="e">
        <f t="shared" si="14"/>
        <v>#REF!</v>
      </c>
      <c r="K33" s="35" t="e">
        <f t="shared" si="14"/>
        <v>#REF!</v>
      </c>
      <c r="L33" s="35" t="e">
        <f t="shared" si="14"/>
        <v>#REF!</v>
      </c>
      <c r="M33" s="35" t="e">
        <f t="shared" si="14"/>
        <v>#REF!</v>
      </c>
      <c r="N33" s="35" t="e">
        <f t="shared" si="14"/>
        <v>#REF!</v>
      </c>
      <c r="O33" s="35" t="e">
        <f t="shared" si="14"/>
        <v>#REF!</v>
      </c>
      <c r="P33" s="35" t="e">
        <f t="shared" si="14"/>
        <v>#REF!</v>
      </c>
      <c r="Q33" s="35" t="e">
        <f t="shared" si="14"/>
        <v>#REF!</v>
      </c>
      <c r="R33" s="35" t="e">
        <f t="shared" si="14"/>
        <v>#REF!</v>
      </c>
      <c r="S33" s="35" t="e">
        <f t="shared" si="14"/>
        <v>#REF!</v>
      </c>
      <c r="T33" s="35" t="e">
        <f t="shared" si="14"/>
        <v>#REF!</v>
      </c>
      <c r="U33" s="35" t="e">
        <f t="shared" si="14"/>
        <v>#REF!</v>
      </c>
      <c r="V33" s="35" t="e">
        <f t="shared" si="14"/>
        <v>#REF!</v>
      </c>
      <c r="W33" s="35" t="e">
        <f t="shared" si="14"/>
        <v>#REF!</v>
      </c>
      <c r="X33" s="35" t="e">
        <f t="shared" ref="X33:AF33" si="15">SUM(X30:X32)</f>
        <v>#REF!</v>
      </c>
      <c r="Y33" s="35" t="e">
        <f t="shared" si="15"/>
        <v>#REF!</v>
      </c>
      <c r="Z33" s="35" t="e">
        <f t="shared" si="15"/>
        <v>#REF!</v>
      </c>
      <c r="AA33" s="35" t="e">
        <f t="shared" si="15"/>
        <v>#REF!</v>
      </c>
      <c r="AB33" s="35" t="e">
        <f t="shared" si="15"/>
        <v>#REF!</v>
      </c>
      <c r="AC33" s="35" t="e">
        <f t="shared" si="15"/>
        <v>#REF!</v>
      </c>
      <c r="AD33" s="35" t="e">
        <f t="shared" si="15"/>
        <v>#REF!</v>
      </c>
      <c r="AE33" s="35" t="e">
        <f t="shared" si="15"/>
        <v>#REF!</v>
      </c>
      <c r="AF33" s="35" t="e">
        <f t="shared" si="15"/>
        <v>#REF!</v>
      </c>
      <c r="AG33" s="37" t="e">
        <f t="shared" si="8"/>
        <v>#REF!</v>
      </c>
    </row>
    <row r="34" spans="1:33" x14ac:dyDescent="0.2">
      <c r="A34" s="4"/>
      <c r="B34" s="5"/>
      <c r="C34" s="5"/>
      <c r="D34" s="5"/>
      <c r="E34" s="5"/>
      <c r="F34" s="74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7" t="s">
        <v>6</v>
      </c>
    </row>
    <row r="35" spans="1:33" x14ac:dyDescent="0.2">
      <c r="A35" s="4" t="s">
        <v>332</v>
      </c>
      <c r="B35" s="5"/>
      <c r="C35" s="5"/>
      <c r="D35" s="5"/>
      <c r="E35" s="5"/>
      <c r="F35" s="76">
        <v>0</v>
      </c>
      <c r="G35" s="39">
        <f>G33+G27</f>
        <v>12213.961666666666</v>
      </c>
      <c r="H35" s="39">
        <f t="shared" ref="H35:W35" si="16">H33+H27</f>
        <v>11472.969233333333</v>
      </c>
      <c r="I35" s="39">
        <f t="shared" si="16"/>
        <v>10777.023617999999</v>
      </c>
      <c r="J35" s="39" t="e">
        <f t="shared" si="16"/>
        <v>#REF!</v>
      </c>
      <c r="K35" s="39" t="e">
        <f t="shared" si="16"/>
        <v>#REF!</v>
      </c>
      <c r="L35" s="39" t="e">
        <f t="shared" si="16"/>
        <v>#REF!</v>
      </c>
      <c r="M35" s="39" t="e">
        <f t="shared" si="16"/>
        <v>#REF!</v>
      </c>
      <c r="N35" s="39" t="e">
        <f t="shared" si="16"/>
        <v>#REF!</v>
      </c>
      <c r="O35" s="39" t="e">
        <f t="shared" si="16"/>
        <v>#REF!</v>
      </c>
      <c r="P35" s="39" t="e">
        <f t="shared" si="16"/>
        <v>#REF!</v>
      </c>
      <c r="Q35" s="39" t="e">
        <f t="shared" si="16"/>
        <v>#REF!</v>
      </c>
      <c r="R35" s="39" t="e">
        <f t="shared" si="16"/>
        <v>#REF!</v>
      </c>
      <c r="S35" s="39" t="e">
        <f t="shared" si="16"/>
        <v>#REF!</v>
      </c>
      <c r="T35" s="39" t="e">
        <f t="shared" si="16"/>
        <v>#REF!</v>
      </c>
      <c r="U35" s="39" t="e">
        <f t="shared" si="16"/>
        <v>#REF!</v>
      </c>
      <c r="V35" s="39" t="e">
        <f t="shared" si="16"/>
        <v>#REF!</v>
      </c>
      <c r="W35" s="39" t="e">
        <f t="shared" si="16"/>
        <v>#REF!</v>
      </c>
      <c r="X35" s="39" t="e">
        <f t="shared" ref="X35:AF35" si="17">X33+X27</f>
        <v>#REF!</v>
      </c>
      <c r="Y35" s="39" t="e">
        <f t="shared" si="17"/>
        <v>#REF!</v>
      </c>
      <c r="Z35" s="39" t="e">
        <f t="shared" si="17"/>
        <v>#REF!</v>
      </c>
      <c r="AA35" s="39" t="e">
        <f t="shared" si="17"/>
        <v>#REF!</v>
      </c>
      <c r="AB35" s="39" t="e">
        <f t="shared" si="17"/>
        <v>#REF!</v>
      </c>
      <c r="AC35" s="39" t="e">
        <f t="shared" si="17"/>
        <v>#REF!</v>
      </c>
      <c r="AD35" s="39" t="e">
        <f t="shared" si="17"/>
        <v>#REF!</v>
      </c>
      <c r="AE35" s="39" t="e">
        <f t="shared" si="17"/>
        <v>#REF!</v>
      </c>
      <c r="AF35" s="39" t="e">
        <f t="shared" si="17"/>
        <v>#REF!</v>
      </c>
      <c r="AG35" s="37" t="e">
        <f t="shared" si="8"/>
        <v>#REF!</v>
      </c>
    </row>
    <row r="36" spans="1:33" x14ac:dyDescent="0.2">
      <c r="A36" s="4"/>
      <c r="B36" s="5"/>
      <c r="C36" s="5"/>
      <c r="D36" s="5"/>
      <c r="E36" s="5"/>
      <c r="F36" s="7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7" t="s">
        <v>6</v>
      </c>
    </row>
    <row r="37" spans="1:33" x14ac:dyDescent="0.2">
      <c r="A37" s="12" t="s">
        <v>333</v>
      </c>
      <c r="B37" s="13"/>
      <c r="C37" s="13"/>
      <c r="D37" s="13"/>
      <c r="E37" s="13"/>
      <c r="F37" s="77">
        <v>0</v>
      </c>
      <c r="G37" s="40">
        <f t="shared" ref="G37:AF37" si="18">G19-G35</f>
        <v>329.89798245614111</v>
      </c>
      <c r="H37" s="40">
        <f t="shared" si="18"/>
        <v>614.75006491228123</v>
      </c>
      <c r="I37" s="40">
        <f t="shared" si="18"/>
        <v>854.55532936842246</v>
      </c>
      <c r="J37" s="40" t="e">
        <f t="shared" si="18"/>
        <v>#REF!</v>
      </c>
      <c r="K37" s="40" t="e">
        <f t="shared" si="18"/>
        <v>#REF!</v>
      </c>
      <c r="L37" s="40" t="e">
        <f t="shared" si="18"/>
        <v>#REF!</v>
      </c>
      <c r="M37" s="40" t="e">
        <f t="shared" si="18"/>
        <v>#REF!</v>
      </c>
      <c r="N37" s="40" t="e">
        <f t="shared" si="18"/>
        <v>#REF!</v>
      </c>
      <c r="O37" s="40" t="e">
        <f t="shared" si="18"/>
        <v>#REF!</v>
      </c>
      <c r="P37" s="40" t="e">
        <f t="shared" si="18"/>
        <v>#REF!</v>
      </c>
      <c r="Q37" s="40" t="e">
        <f t="shared" si="18"/>
        <v>#REF!</v>
      </c>
      <c r="R37" s="40" t="e">
        <f t="shared" si="18"/>
        <v>#REF!</v>
      </c>
      <c r="S37" s="40" t="e">
        <f t="shared" si="18"/>
        <v>#REF!</v>
      </c>
      <c r="T37" s="40" t="e">
        <f t="shared" si="18"/>
        <v>#REF!</v>
      </c>
      <c r="U37" s="40" t="e">
        <f t="shared" si="18"/>
        <v>#REF!</v>
      </c>
      <c r="V37" s="40" t="e">
        <f t="shared" si="18"/>
        <v>#REF!</v>
      </c>
      <c r="W37" s="40" t="e">
        <f t="shared" si="18"/>
        <v>#REF!</v>
      </c>
      <c r="X37" s="40" t="e">
        <f t="shared" si="18"/>
        <v>#REF!</v>
      </c>
      <c r="Y37" s="40" t="e">
        <f t="shared" si="18"/>
        <v>#REF!</v>
      </c>
      <c r="Z37" s="40" t="e">
        <f t="shared" si="18"/>
        <v>#REF!</v>
      </c>
      <c r="AA37" s="40" t="e">
        <f t="shared" si="18"/>
        <v>#REF!</v>
      </c>
      <c r="AB37" s="40" t="e">
        <f t="shared" si="18"/>
        <v>#REF!</v>
      </c>
      <c r="AC37" s="40" t="e">
        <f t="shared" si="18"/>
        <v>#REF!</v>
      </c>
      <c r="AD37" s="40" t="e">
        <f t="shared" si="18"/>
        <v>#REF!</v>
      </c>
      <c r="AE37" s="40" t="e">
        <f t="shared" si="18"/>
        <v>#REF!</v>
      </c>
      <c r="AF37" s="40" t="e">
        <f t="shared" si="18"/>
        <v>#REF!</v>
      </c>
      <c r="AG37" s="41" t="e">
        <f t="shared" si="8"/>
        <v>#REF!</v>
      </c>
    </row>
    <row r="40" spans="1:33" ht="15.75" x14ac:dyDescent="0.25">
      <c r="A40" s="292" t="s">
        <v>334</v>
      </c>
      <c r="B40" s="293"/>
      <c r="C40" s="294"/>
    </row>
    <row r="41" spans="1:33" x14ac:dyDescent="0.2">
      <c r="G41" s="33">
        <f t="shared" ref="G41:AF41" si="19">G5</f>
        <v>1</v>
      </c>
      <c r="H41" s="33">
        <f t="shared" si="19"/>
        <v>2</v>
      </c>
      <c r="I41" s="33">
        <f t="shared" si="19"/>
        <v>3</v>
      </c>
      <c r="J41" s="33">
        <f t="shared" si="19"/>
        <v>4</v>
      </c>
      <c r="K41" s="33">
        <f t="shared" si="19"/>
        <v>5</v>
      </c>
      <c r="L41" s="33">
        <f t="shared" si="19"/>
        <v>6</v>
      </c>
      <c r="M41" s="33">
        <f t="shared" si="19"/>
        <v>7</v>
      </c>
      <c r="N41" s="33">
        <f t="shared" si="19"/>
        <v>8</v>
      </c>
      <c r="O41" s="33">
        <f t="shared" si="19"/>
        <v>9</v>
      </c>
      <c r="P41" s="33">
        <f t="shared" si="19"/>
        <v>10</v>
      </c>
      <c r="Q41" s="33">
        <f t="shared" si="19"/>
        <v>11</v>
      </c>
      <c r="R41" s="33">
        <f t="shared" si="19"/>
        <v>12</v>
      </c>
      <c r="S41" s="33">
        <f t="shared" si="19"/>
        <v>13</v>
      </c>
      <c r="T41" s="33">
        <f t="shared" si="19"/>
        <v>14</v>
      </c>
      <c r="U41" s="33">
        <f t="shared" si="19"/>
        <v>15</v>
      </c>
      <c r="V41" s="33">
        <f t="shared" si="19"/>
        <v>16</v>
      </c>
      <c r="W41" s="33">
        <f t="shared" si="19"/>
        <v>17</v>
      </c>
      <c r="X41" s="33">
        <f t="shared" si="19"/>
        <v>18</v>
      </c>
      <c r="Y41" s="33">
        <f t="shared" si="19"/>
        <v>19</v>
      </c>
      <c r="Z41" s="33">
        <f t="shared" si="19"/>
        <v>20</v>
      </c>
      <c r="AA41" s="33">
        <f t="shared" si="19"/>
        <v>21</v>
      </c>
      <c r="AB41" s="33">
        <f t="shared" si="19"/>
        <v>22</v>
      </c>
      <c r="AC41" s="33">
        <f t="shared" si="19"/>
        <v>23</v>
      </c>
      <c r="AD41" s="33">
        <f t="shared" si="19"/>
        <v>24</v>
      </c>
      <c r="AE41" s="33">
        <f t="shared" si="19"/>
        <v>25</v>
      </c>
      <c r="AF41" s="33">
        <f t="shared" si="19"/>
        <v>26</v>
      </c>
      <c r="AG41" s="21"/>
    </row>
    <row r="42" spans="1:33" x14ac:dyDescent="0.2">
      <c r="G42" s="33">
        <f t="shared" ref="G42:AF42" si="20">G6</f>
        <v>2001</v>
      </c>
      <c r="H42" s="33">
        <f t="shared" si="20"/>
        <v>2002</v>
      </c>
      <c r="I42" s="33">
        <f t="shared" si="20"/>
        <v>2003</v>
      </c>
      <c r="J42" s="33">
        <f t="shared" si="20"/>
        <v>2004</v>
      </c>
      <c r="K42" s="33">
        <f t="shared" si="20"/>
        <v>2005</v>
      </c>
      <c r="L42" s="33">
        <f t="shared" si="20"/>
        <v>2006</v>
      </c>
      <c r="M42" s="33">
        <f t="shared" si="20"/>
        <v>2007</v>
      </c>
      <c r="N42" s="33">
        <f t="shared" si="20"/>
        <v>2008</v>
      </c>
      <c r="O42" s="33">
        <f t="shared" si="20"/>
        <v>2009</v>
      </c>
      <c r="P42" s="33">
        <f t="shared" si="20"/>
        <v>2010</v>
      </c>
      <c r="Q42" s="33">
        <f t="shared" si="20"/>
        <v>2011</v>
      </c>
      <c r="R42" s="33">
        <f t="shared" si="20"/>
        <v>2012</v>
      </c>
      <c r="S42" s="33">
        <f t="shared" si="20"/>
        <v>2013</v>
      </c>
      <c r="T42" s="33">
        <f t="shared" si="20"/>
        <v>2014</v>
      </c>
      <c r="U42" s="33">
        <f t="shared" si="20"/>
        <v>2015</v>
      </c>
      <c r="V42" s="33">
        <f t="shared" si="20"/>
        <v>2016</v>
      </c>
      <c r="W42" s="33">
        <f t="shared" si="20"/>
        <v>2017</v>
      </c>
      <c r="X42" s="33">
        <f t="shared" si="20"/>
        <v>2018</v>
      </c>
      <c r="Y42" s="33">
        <f t="shared" si="20"/>
        <v>2019</v>
      </c>
      <c r="Z42" s="33">
        <f t="shared" si="20"/>
        <v>2020</v>
      </c>
      <c r="AA42" s="33">
        <f t="shared" si="20"/>
        <v>2021</v>
      </c>
      <c r="AB42" s="33">
        <f t="shared" si="20"/>
        <v>2022</v>
      </c>
      <c r="AC42" s="33">
        <f t="shared" si="20"/>
        <v>2023</v>
      </c>
      <c r="AD42" s="33">
        <f t="shared" si="20"/>
        <v>2024</v>
      </c>
      <c r="AE42" s="33">
        <f t="shared" si="20"/>
        <v>2025</v>
      </c>
      <c r="AF42" s="33">
        <f t="shared" si="20"/>
        <v>2026</v>
      </c>
      <c r="AG42" s="42" t="s">
        <v>167</v>
      </c>
    </row>
    <row r="43" spans="1:33" x14ac:dyDescent="0.2">
      <c r="A43" s="14" t="s">
        <v>389</v>
      </c>
      <c r="B43" s="2"/>
      <c r="C43" s="2"/>
      <c r="D43" s="2"/>
      <c r="E43" s="2"/>
      <c r="F43" s="407"/>
      <c r="G43" s="407">
        <f>CF!D20</f>
        <v>7100</v>
      </c>
      <c r="H43" s="46">
        <f>CF!E20</f>
        <v>6200</v>
      </c>
      <c r="I43" s="46">
        <f>CF!F20</f>
        <v>5300</v>
      </c>
      <c r="J43" s="46" t="e">
        <f>CF!#REF!</f>
        <v>#REF!</v>
      </c>
      <c r="K43" s="46" t="e">
        <f>CF!#REF!</f>
        <v>#REF!</v>
      </c>
      <c r="L43" s="46" t="e">
        <f>CF!#REF!</f>
        <v>#REF!</v>
      </c>
      <c r="M43" s="46" t="e">
        <f>CF!#REF!</f>
        <v>#REF!</v>
      </c>
      <c r="N43" s="46" t="e">
        <f>CF!#REF!</f>
        <v>#REF!</v>
      </c>
      <c r="O43" s="46" t="e">
        <f>CF!#REF!</f>
        <v>#REF!</v>
      </c>
      <c r="P43" s="46" t="e">
        <f>CF!#REF!</f>
        <v>#REF!</v>
      </c>
      <c r="Q43" s="46" t="e">
        <f>CF!#REF!</f>
        <v>#REF!</v>
      </c>
      <c r="R43" s="46" t="e">
        <f>CF!#REF!</f>
        <v>#REF!</v>
      </c>
      <c r="S43" s="46" t="e">
        <f>CF!#REF!</f>
        <v>#REF!</v>
      </c>
      <c r="T43" s="46" t="e">
        <f>CF!#REF!</f>
        <v>#REF!</v>
      </c>
      <c r="U43" s="46" t="e">
        <f>CF!#REF!</f>
        <v>#REF!</v>
      </c>
      <c r="V43" s="46" t="e">
        <f>CF!#REF!</f>
        <v>#REF!</v>
      </c>
      <c r="W43" s="46" t="e">
        <f>CF!#REF!</f>
        <v>#REF!</v>
      </c>
      <c r="X43" s="46" t="e">
        <f>CF!#REF!</f>
        <v>#REF!</v>
      </c>
      <c r="Y43" s="46" t="e">
        <f>CF!#REF!</f>
        <v>#REF!</v>
      </c>
      <c r="Z43" s="46" t="e">
        <f>CF!#REF!</f>
        <v>#REF!</v>
      </c>
      <c r="AA43" s="46" t="e">
        <f>CF!#REF!</f>
        <v>#REF!</v>
      </c>
      <c r="AB43" s="46" t="e">
        <f>CF!#REF!</f>
        <v>#REF!</v>
      </c>
      <c r="AC43" s="46" t="e">
        <f>CF!#REF!</f>
        <v>#REF!</v>
      </c>
      <c r="AD43" s="46" t="e">
        <f>CF!#REF!</f>
        <v>#REF!</v>
      </c>
      <c r="AE43" s="46" t="e">
        <f>CF!#REF!</f>
        <v>#REF!</v>
      </c>
      <c r="AF43" s="46" t="e">
        <f>CF!#REF!</f>
        <v>#REF!</v>
      </c>
      <c r="AG43" s="78" t="e">
        <f>SUM(G43:AF43)</f>
        <v>#REF!</v>
      </c>
    </row>
    <row r="44" spans="1:33" x14ac:dyDescent="0.2">
      <c r="A44" s="4"/>
      <c r="B44" s="5"/>
      <c r="C44" s="5"/>
      <c r="D44" s="5"/>
      <c r="E44" s="5"/>
      <c r="F44" s="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7" t="s">
        <v>6</v>
      </c>
    </row>
    <row r="45" spans="1:33" x14ac:dyDescent="0.2">
      <c r="A45" s="4" t="s">
        <v>335</v>
      </c>
      <c r="B45" s="5"/>
      <c r="C45" s="5"/>
      <c r="D45" s="5"/>
      <c r="E45" s="5"/>
      <c r="F45" s="5"/>
      <c r="G45" s="35">
        <f>CF!D39</f>
        <v>45.9</v>
      </c>
      <c r="H45" s="35">
        <f>CF!E39</f>
        <v>46.818000000000005</v>
      </c>
      <c r="I45" s="35">
        <f>CF!F39</f>
        <v>47.754359999999998</v>
      </c>
      <c r="J45" s="35" t="e">
        <f>CF!#REF!</f>
        <v>#REF!</v>
      </c>
      <c r="K45" s="35" t="e">
        <f>CF!#REF!</f>
        <v>#REF!</v>
      </c>
      <c r="L45" s="35" t="e">
        <f>CF!#REF!</f>
        <v>#REF!</v>
      </c>
      <c r="M45" s="35" t="e">
        <f>CF!#REF!</f>
        <v>#REF!</v>
      </c>
      <c r="N45" s="35" t="e">
        <f>CF!#REF!</f>
        <v>#REF!</v>
      </c>
      <c r="O45" s="35" t="e">
        <f>CF!#REF!</f>
        <v>#REF!</v>
      </c>
      <c r="P45" s="35" t="e">
        <f>CF!#REF!</f>
        <v>#REF!</v>
      </c>
      <c r="Q45" s="35" t="e">
        <f>CF!#REF!</f>
        <v>#REF!</v>
      </c>
      <c r="R45" s="35" t="e">
        <f>CF!#REF!</f>
        <v>#REF!</v>
      </c>
      <c r="S45" s="35" t="e">
        <f>CF!#REF!</f>
        <v>#REF!</v>
      </c>
      <c r="T45" s="35" t="e">
        <f>CF!#REF!</f>
        <v>#REF!</v>
      </c>
      <c r="U45" s="35" t="e">
        <f>CF!#REF!</f>
        <v>#REF!</v>
      </c>
      <c r="V45" s="35" t="e">
        <f>CF!#REF!</f>
        <v>#REF!</v>
      </c>
      <c r="W45" s="35" t="e">
        <f>CF!#REF!</f>
        <v>#REF!</v>
      </c>
      <c r="X45" s="35" t="e">
        <f>CF!#REF!</f>
        <v>#REF!</v>
      </c>
      <c r="Y45" s="35" t="e">
        <f>CF!#REF!</f>
        <v>#REF!</v>
      </c>
      <c r="Z45" s="35" t="e">
        <f>CF!#REF!</f>
        <v>#REF!</v>
      </c>
      <c r="AA45" s="35" t="e">
        <f>CF!#REF!</f>
        <v>#REF!</v>
      </c>
      <c r="AB45" s="35" t="e">
        <f>CF!#REF!</f>
        <v>#REF!</v>
      </c>
      <c r="AC45" s="35" t="e">
        <f>CF!#REF!</f>
        <v>#REF!</v>
      </c>
      <c r="AD45" s="35" t="e">
        <f>CF!#REF!</f>
        <v>#REF!</v>
      </c>
      <c r="AE45" s="35" t="e">
        <f>CF!#REF!</f>
        <v>#REF!</v>
      </c>
      <c r="AF45" s="35" t="e">
        <f>CF!#REF!</f>
        <v>#REF!</v>
      </c>
      <c r="AG45" s="37" t="e">
        <f>SUM(G45:AF45)</f>
        <v>#REF!</v>
      </c>
    </row>
    <row r="46" spans="1:33" x14ac:dyDescent="0.2">
      <c r="A46" s="4" t="s">
        <v>80</v>
      </c>
      <c r="B46" s="5"/>
      <c r="C46" s="5"/>
      <c r="D46" s="5"/>
      <c r="E46" s="5"/>
      <c r="F46" s="5"/>
      <c r="G46" s="35">
        <f>CF!D45</f>
        <v>0</v>
      </c>
      <c r="H46" s="35">
        <f>CF!E45</f>
        <v>0</v>
      </c>
      <c r="I46" s="35">
        <f>CF!F45</f>
        <v>0</v>
      </c>
      <c r="J46" s="35" t="e">
        <f>CF!#REF!</f>
        <v>#REF!</v>
      </c>
      <c r="K46" s="35" t="e">
        <f>CF!#REF!</f>
        <v>#REF!</v>
      </c>
      <c r="L46" s="35" t="e">
        <f>CF!#REF!</f>
        <v>#REF!</v>
      </c>
      <c r="M46" s="35" t="e">
        <f>CF!#REF!</f>
        <v>#REF!</v>
      </c>
      <c r="N46" s="35" t="e">
        <f>CF!#REF!</f>
        <v>#REF!</v>
      </c>
      <c r="O46" s="35" t="e">
        <f>CF!#REF!</f>
        <v>#REF!</v>
      </c>
      <c r="P46" s="35" t="e">
        <f>CF!#REF!</f>
        <v>#REF!</v>
      </c>
      <c r="Q46" s="35" t="e">
        <f>CF!#REF!</f>
        <v>#REF!</v>
      </c>
      <c r="R46" s="35" t="e">
        <f>CF!#REF!</f>
        <v>#REF!</v>
      </c>
      <c r="S46" s="35" t="e">
        <f>CF!#REF!</f>
        <v>#REF!</v>
      </c>
      <c r="T46" s="35" t="e">
        <f>CF!#REF!</f>
        <v>#REF!</v>
      </c>
      <c r="U46" s="35" t="e">
        <f>CF!#REF!</f>
        <v>#REF!</v>
      </c>
      <c r="V46" s="35" t="e">
        <f>CF!#REF!</f>
        <v>#REF!</v>
      </c>
      <c r="W46" s="35" t="e">
        <f>CF!#REF!</f>
        <v>#REF!</v>
      </c>
      <c r="X46" s="35" t="e">
        <f>CF!#REF!</f>
        <v>#REF!</v>
      </c>
      <c r="Y46" s="35" t="e">
        <f>CF!#REF!</f>
        <v>#REF!</v>
      </c>
      <c r="Z46" s="35" t="e">
        <f>CF!#REF!</f>
        <v>#REF!</v>
      </c>
      <c r="AA46" s="35" t="e">
        <f>CF!#REF!</f>
        <v>#REF!</v>
      </c>
      <c r="AB46" s="35" t="e">
        <f>CF!#REF!</f>
        <v>#REF!</v>
      </c>
      <c r="AC46" s="35" t="e">
        <f>CF!#REF!</f>
        <v>#REF!</v>
      </c>
      <c r="AD46" s="35" t="e">
        <f>CF!#REF!</f>
        <v>#REF!</v>
      </c>
      <c r="AE46" s="35" t="e">
        <f>CF!#REF!</f>
        <v>#REF!</v>
      </c>
      <c r="AF46" s="35" t="e">
        <f>CF!#REF!</f>
        <v>#REF!</v>
      </c>
      <c r="AG46" s="37" t="e">
        <f>SUM(G46:AF46)</f>
        <v>#REF!</v>
      </c>
    </row>
    <row r="47" spans="1:33" x14ac:dyDescent="0.2">
      <c r="A47" s="4" t="s">
        <v>1</v>
      </c>
      <c r="B47" s="5"/>
      <c r="C47" s="5"/>
      <c r="D47" s="5"/>
      <c r="E47" s="5"/>
      <c r="F47" s="5"/>
      <c r="G47" s="35">
        <f>DEPR!F29</f>
        <v>456.14035087719299</v>
      </c>
      <c r="H47" s="35">
        <f>DEPR!G29</f>
        <v>456.14035087719299</v>
      </c>
      <c r="I47" s="35">
        <f>DEPR!H29</f>
        <v>456.14035087719299</v>
      </c>
      <c r="J47" s="35">
        <f>DEPR!I29</f>
        <v>456.14035087719299</v>
      </c>
      <c r="K47" s="35">
        <f>DEPR!J29</f>
        <v>456.14035087719299</v>
      </c>
      <c r="L47" s="35">
        <f>DEPR!K29</f>
        <v>456.14035087719299</v>
      </c>
      <c r="M47" s="35">
        <f>DEPR!L29</f>
        <v>456.14035087719299</v>
      </c>
      <c r="N47" s="35">
        <f>DEPR!M29</f>
        <v>456.14035087719299</v>
      </c>
      <c r="O47" s="35">
        <f>DEPR!N29</f>
        <v>456.14035087719299</v>
      </c>
      <c r="P47" s="35">
        <f>DEPR!O29</f>
        <v>456.14035087719299</v>
      </c>
      <c r="Q47" s="35">
        <f>DEPR!P29</f>
        <v>456.14035087719299</v>
      </c>
      <c r="R47" s="35">
        <f>DEPR!Q29</f>
        <v>456.14035087719299</v>
      </c>
      <c r="S47" s="35">
        <f>DEPR!R29</f>
        <v>456.14035087719299</v>
      </c>
      <c r="T47" s="35">
        <f>DEPR!S29</f>
        <v>456.14035087719299</v>
      </c>
      <c r="U47" s="35">
        <f>DEPR!T29</f>
        <v>456.14035087719299</v>
      </c>
      <c r="V47" s="35">
        <f>DEPR!U29</f>
        <v>456.14035087719299</v>
      </c>
      <c r="W47" s="35">
        <f>DEPR!V29</f>
        <v>456.14035087719299</v>
      </c>
      <c r="X47" s="35">
        <f>DEPR!W29</f>
        <v>456.14035087719299</v>
      </c>
      <c r="Y47" s="35">
        <f>DEPR!X29</f>
        <v>456.14035087719299</v>
      </c>
      <c r="Z47" s="35">
        <f>DEPR!Y29</f>
        <v>456.14035087719299</v>
      </c>
      <c r="AA47" s="35">
        <f>DEPR!Z29</f>
        <v>456.14035087719299</v>
      </c>
      <c r="AB47" s="35">
        <f>DEPR!AA29</f>
        <v>456.14035087719299</v>
      </c>
      <c r="AC47" s="35">
        <f>DEPR!AB29</f>
        <v>456.14035087719299</v>
      </c>
      <c r="AD47" s="35">
        <f>DEPR!AC29</f>
        <v>456.14035087719299</v>
      </c>
      <c r="AE47" s="35">
        <f>DEPR!AD29</f>
        <v>456.14035087719299</v>
      </c>
      <c r="AF47" s="35">
        <f>DEPR!AE29</f>
        <v>456.14035087719299</v>
      </c>
      <c r="AG47" s="37">
        <f>SUM(G47:AF47)</f>
        <v>11859.649122807014</v>
      </c>
    </row>
    <row r="48" spans="1:33" x14ac:dyDescent="0.2">
      <c r="A48" s="4" t="s">
        <v>336</v>
      </c>
      <c r="B48" s="5"/>
      <c r="C48" s="5"/>
      <c r="D48" s="5"/>
      <c r="E48" s="5"/>
      <c r="F48" s="5"/>
      <c r="G48" s="38">
        <f>FIN!D10</f>
        <v>0</v>
      </c>
      <c r="H48" s="38">
        <f>FIN!E10</f>
        <v>0</v>
      </c>
      <c r="I48" s="38">
        <f>FIN!F10</f>
        <v>0</v>
      </c>
      <c r="J48" s="38">
        <f>FIN!G10</f>
        <v>0</v>
      </c>
      <c r="K48" s="38">
        <f>FIN!H10</f>
        <v>0</v>
      </c>
      <c r="L48" s="38">
        <f>FIN!I10</f>
        <v>0</v>
      </c>
      <c r="M48" s="38">
        <f>FIN!J10</f>
        <v>0</v>
      </c>
      <c r="N48" s="38">
        <f>FIN!K10</f>
        <v>0</v>
      </c>
      <c r="O48" s="38">
        <f>FIN!L10</f>
        <v>0</v>
      </c>
      <c r="P48" s="38">
        <f>FIN!M10</f>
        <v>0</v>
      </c>
      <c r="Q48" s="38">
        <f>FIN!N10</f>
        <v>0</v>
      </c>
      <c r="R48" s="38">
        <f>FIN!O10</f>
        <v>0</v>
      </c>
      <c r="S48" s="38">
        <f>FIN!P10</f>
        <v>0</v>
      </c>
      <c r="T48" s="38">
        <f>FIN!Q10</f>
        <v>0</v>
      </c>
      <c r="U48" s="38">
        <f>FIN!R10</f>
        <v>0</v>
      </c>
      <c r="V48" s="38">
        <f>FIN!S10</f>
        <v>0</v>
      </c>
      <c r="W48" s="38">
        <f>FIN!T10</f>
        <v>0</v>
      </c>
      <c r="X48" s="38">
        <f>FIN!U10</f>
        <v>0</v>
      </c>
      <c r="Y48" s="38">
        <f>FIN!V10</f>
        <v>0</v>
      </c>
      <c r="Z48" s="38">
        <f>FIN!W10</f>
        <v>0</v>
      </c>
      <c r="AA48" s="38">
        <f>FIN!X10</f>
        <v>0</v>
      </c>
      <c r="AB48" s="38">
        <f>FIN!Y10</f>
        <v>0</v>
      </c>
      <c r="AC48" s="38">
        <f>FIN!Z10</f>
        <v>0</v>
      </c>
      <c r="AD48" s="38">
        <f>FIN!AA10</f>
        <v>0</v>
      </c>
      <c r="AE48" s="38">
        <f>FIN!AB10</f>
        <v>0</v>
      </c>
      <c r="AF48" s="38">
        <f>FIN!AC10</f>
        <v>0</v>
      </c>
      <c r="AG48" s="43">
        <f>SUM(G48:AF48)</f>
        <v>0</v>
      </c>
    </row>
    <row r="49" spans="1:41" x14ac:dyDescent="0.2">
      <c r="A49" s="4" t="s">
        <v>337</v>
      </c>
      <c r="B49" s="5"/>
      <c r="C49" s="5"/>
      <c r="D49" s="5"/>
      <c r="E49" s="5"/>
      <c r="F49" s="5"/>
      <c r="G49" s="35">
        <f>SUM(G45:G48)</f>
        <v>502.04035087719296</v>
      </c>
      <c r="H49" s="35">
        <f t="shared" ref="H49:W49" si="21">SUM(H45:H48)</f>
        <v>502.95835087719297</v>
      </c>
      <c r="I49" s="35">
        <f t="shared" si="21"/>
        <v>503.89471087719301</v>
      </c>
      <c r="J49" s="35" t="e">
        <f t="shared" si="21"/>
        <v>#REF!</v>
      </c>
      <c r="K49" s="35" t="e">
        <f t="shared" si="21"/>
        <v>#REF!</v>
      </c>
      <c r="L49" s="35" t="e">
        <f t="shared" si="21"/>
        <v>#REF!</v>
      </c>
      <c r="M49" s="35" t="e">
        <f t="shared" si="21"/>
        <v>#REF!</v>
      </c>
      <c r="N49" s="35" t="e">
        <f t="shared" si="21"/>
        <v>#REF!</v>
      </c>
      <c r="O49" s="35" t="e">
        <f t="shared" si="21"/>
        <v>#REF!</v>
      </c>
      <c r="P49" s="35" t="e">
        <f t="shared" si="21"/>
        <v>#REF!</v>
      </c>
      <c r="Q49" s="35" t="e">
        <f t="shared" si="21"/>
        <v>#REF!</v>
      </c>
      <c r="R49" s="35" t="e">
        <f t="shared" si="21"/>
        <v>#REF!</v>
      </c>
      <c r="S49" s="35" t="e">
        <f t="shared" si="21"/>
        <v>#REF!</v>
      </c>
      <c r="T49" s="35" t="e">
        <f t="shared" si="21"/>
        <v>#REF!</v>
      </c>
      <c r="U49" s="35" t="e">
        <f t="shared" si="21"/>
        <v>#REF!</v>
      </c>
      <c r="V49" s="35" t="e">
        <f t="shared" si="21"/>
        <v>#REF!</v>
      </c>
      <c r="W49" s="35" t="e">
        <f t="shared" si="21"/>
        <v>#REF!</v>
      </c>
      <c r="X49" s="35" t="e">
        <f t="shared" ref="X49:AF49" si="22">SUM(X45:X48)</f>
        <v>#REF!</v>
      </c>
      <c r="Y49" s="35" t="e">
        <f t="shared" si="22"/>
        <v>#REF!</v>
      </c>
      <c r="Z49" s="35" t="e">
        <f t="shared" si="22"/>
        <v>#REF!</v>
      </c>
      <c r="AA49" s="35" t="e">
        <f t="shared" si="22"/>
        <v>#REF!</v>
      </c>
      <c r="AB49" s="35" t="e">
        <f t="shared" si="22"/>
        <v>#REF!</v>
      </c>
      <c r="AC49" s="35" t="e">
        <f t="shared" si="22"/>
        <v>#REF!</v>
      </c>
      <c r="AD49" s="35" t="e">
        <f t="shared" si="22"/>
        <v>#REF!</v>
      </c>
      <c r="AE49" s="35" t="e">
        <f t="shared" si="22"/>
        <v>#REF!</v>
      </c>
      <c r="AF49" s="35" t="e">
        <f t="shared" si="22"/>
        <v>#REF!</v>
      </c>
      <c r="AG49" s="37" t="e">
        <f>SUM(G45:AG48)</f>
        <v>#REF!</v>
      </c>
    </row>
    <row r="50" spans="1:41" x14ac:dyDescent="0.2">
      <c r="A50" s="4"/>
      <c r="B50" s="5"/>
      <c r="C50" s="5"/>
      <c r="D50" s="5"/>
      <c r="E50" s="5"/>
      <c r="F50" s="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7" t="s">
        <v>6</v>
      </c>
    </row>
    <row r="51" spans="1:41" x14ac:dyDescent="0.2">
      <c r="A51" s="4" t="s">
        <v>338</v>
      </c>
      <c r="B51" s="5"/>
      <c r="C51" s="5"/>
      <c r="D51" s="5"/>
      <c r="E51" s="5" t="s">
        <v>6</v>
      </c>
      <c r="F51" s="5"/>
      <c r="G51" s="35">
        <f t="shared" ref="G51:AF51" si="23">G43-G49</f>
        <v>6597.9596491228067</v>
      </c>
      <c r="H51" s="35">
        <f t="shared" si="23"/>
        <v>5697.041649122807</v>
      </c>
      <c r="I51" s="35">
        <f t="shared" si="23"/>
        <v>4796.1052891228073</v>
      </c>
      <c r="J51" s="35" t="e">
        <f t="shared" si="23"/>
        <v>#REF!</v>
      </c>
      <c r="K51" s="35" t="e">
        <f t="shared" si="23"/>
        <v>#REF!</v>
      </c>
      <c r="L51" s="35" t="e">
        <f t="shared" si="23"/>
        <v>#REF!</v>
      </c>
      <c r="M51" s="35" t="e">
        <f t="shared" si="23"/>
        <v>#REF!</v>
      </c>
      <c r="N51" s="35" t="e">
        <f t="shared" si="23"/>
        <v>#REF!</v>
      </c>
      <c r="O51" s="35" t="e">
        <f t="shared" si="23"/>
        <v>#REF!</v>
      </c>
      <c r="P51" s="35" t="e">
        <f t="shared" si="23"/>
        <v>#REF!</v>
      </c>
      <c r="Q51" s="35" t="e">
        <f t="shared" si="23"/>
        <v>#REF!</v>
      </c>
      <c r="R51" s="35" t="e">
        <f t="shared" si="23"/>
        <v>#REF!</v>
      </c>
      <c r="S51" s="35" t="e">
        <f t="shared" si="23"/>
        <v>#REF!</v>
      </c>
      <c r="T51" s="35" t="e">
        <f t="shared" si="23"/>
        <v>#REF!</v>
      </c>
      <c r="U51" s="35" t="e">
        <f t="shared" si="23"/>
        <v>#REF!</v>
      </c>
      <c r="V51" s="35" t="e">
        <f t="shared" si="23"/>
        <v>#REF!</v>
      </c>
      <c r="W51" s="35" t="e">
        <f t="shared" si="23"/>
        <v>#REF!</v>
      </c>
      <c r="X51" s="35" t="e">
        <f t="shared" si="23"/>
        <v>#REF!</v>
      </c>
      <c r="Y51" s="35" t="e">
        <f t="shared" si="23"/>
        <v>#REF!</v>
      </c>
      <c r="Z51" s="35" t="e">
        <f t="shared" si="23"/>
        <v>#REF!</v>
      </c>
      <c r="AA51" s="35" t="e">
        <f t="shared" si="23"/>
        <v>#REF!</v>
      </c>
      <c r="AB51" s="35" t="e">
        <f t="shared" si="23"/>
        <v>#REF!</v>
      </c>
      <c r="AC51" s="35" t="e">
        <f t="shared" si="23"/>
        <v>#REF!</v>
      </c>
      <c r="AD51" s="35" t="e">
        <f t="shared" si="23"/>
        <v>#REF!</v>
      </c>
      <c r="AE51" s="35" t="e">
        <f t="shared" si="23"/>
        <v>#REF!</v>
      </c>
      <c r="AF51" s="35" t="e">
        <f t="shared" si="23"/>
        <v>#REF!</v>
      </c>
      <c r="AG51" s="37" t="e">
        <f>SUM(G51:AF51)</f>
        <v>#REF!</v>
      </c>
    </row>
    <row r="52" spans="1:41" x14ac:dyDescent="0.2">
      <c r="A52" s="4" t="s">
        <v>339</v>
      </c>
      <c r="B52" s="5"/>
      <c r="C52" s="5"/>
      <c r="D52" s="5"/>
      <c r="E52" s="5" t="s">
        <v>6</v>
      </c>
      <c r="F52" s="5"/>
      <c r="G52" s="35">
        <f>IF(G51&lt;0,0,G51*ASS!$I$9)</f>
        <v>329.89798245614037</v>
      </c>
      <c r="H52" s="35">
        <f>IF(H51&lt;0,0,H51*ASS!$I$9)</f>
        <v>284.85208245614035</v>
      </c>
      <c r="I52" s="35">
        <f>IF(I51&lt;0,0,I51*ASS!$I$9)</f>
        <v>239.80526445614038</v>
      </c>
      <c r="J52" s="35" t="e">
        <f>IF(J51&lt;0,0,J51*ASS!$I$9)</f>
        <v>#REF!</v>
      </c>
      <c r="K52" s="35" t="e">
        <f>IF(K51&lt;0,0,K51*ASS!$I$9)</f>
        <v>#REF!</v>
      </c>
      <c r="L52" s="35" t="e">
        <f>IF(L51&lt;0,0,L51*ASS!$I$9)</f>
        <v>#REF!</v>
      </c>
      <c r="M52" s="35" t="e">
        <f>IF(M51&lt;0,0,M51*ASS!$I$9)</f>
        <v>#REF!</v>
      </c>
      <c r="N52" s="35" t="e">
        <f>IF(N51&lt;0,0,N51*ASS!$I$9)</f>
        <v>#REF!</v>
      </c>
      <c r="O52" s="35" t="e">
        <f>IF(O51&lt;0,0,O51*ASS!$I$9)</f>
        <v>#REF!</v>
      </c>
      <c r="P52" s="35" t="e">
        <f>IF(P51&lt;0,0,P51*ASS!$I$9)</f>
        <v>#REF!</v>
      </c>
      <c r="Q52" s="35" t="e">
        <f>IF(Q51&lt;0,0,Q51*ASS!$I$9)</f>
        <v>#REF!</v>
      </c>
      <c r="R52" s="35" t="e">
        <f>IF(R51&lt;0,0,R51*ASS!$I$9)</f>
        <v>#REF!</v>
      </c>
      <c r="S52" s="35" t="e">
        <f>IF(S51&lt;0,0,S51*ASS!$I$9)</f>
        <v>#REF!</v>
      </c>
      <c r="T52" s="35" t="e">
        <f>IF(T51&lt;0,0,T51*ASS!$I$9)</f>
        <v>#REF!</v>
      </c>
      <c r="U52" s="35" t="e">
        <f>IF(U51&lt;0,0,U51*ASS!$I$9)</f>
        <v>#REF!</v>
      </c>
      <c r="V52" s="35" t="e">
        <f>IF(V51&lt;0,0,V51*ASS!$I$9)</f>
        <v>#REF!</v>
      </c>
      <c r="W52" s="35" t="e">
        <f>IF(W51&lt;0,0,W51*ASS!$I$9)</f>
        <v>#REF!</v>
      </c>
      <c r="X52" s="35" t="e">
        <f>IF(X51&lt;0,0,X51*ASS!$I$9)</f>
        <v>#REF!</v>
      </c>
      <c r="Y52" s="35" t="e">
        <f>IF(Y51&lt;0,0,Y51*ASS!$I$9)</f>
        <v>#REF!</v>
      </c>
      <c r="Z52" s="35" t="e">
        <f>IF(Z51&lt;0,0,Z51*ASS!$I$9)</f>
        <v>#REF!</v>
      </c>
      <c r="AA52" s="35" t="e">
        <f>IF(AA51&lt;0,0,AA51*ASS!$I$9)</f>
        <v>#REF!</v>
      </c>
      <c r="AB52" s="35" t="e">
        <f>IF(AB51&lt;0,0,AB51*ASS!$I$9)</f>
        <v>#REF!</v>
      </c>
      <c r="AC52" s="35" t="e">
        <f>IF(AC51&lt;0,0,AC51*ASS!$I$9)</f>
        <v>#REF!</v>
      </c>
      <c r="AD52" s="35" t="e">
        <f>IF(AD51&lt;0,0,AD51*ASS!$I$9)</f>
        <v>#REF!</v>
      </c>
      <c r="AE52" s="35" t="e">
        <f>IF(AE51&lt;0,0,AE51*ASS!$I$9)</f>
        <v>#REF!</v>
      </c>
      <c r="AF52" s="35" t="e">
        <f>IF(AF51&lt;0,0,AF51*ASS!$I$9)</f>
        <v>#REF!</v>
      </c>
      <c r="AG52" s="37" t="e">
        <f>SUM(G52:AF52)</f>
        <v>#REF!</v>
      </c>
    </row>
    <row r="53" spans="1:41" x14ac:dyDescent="0.2">
      <c r="A53" s="4"/>
      <c r="B53" s="5"/>
      <c r="C53" s="5"/>
      <c r="D53" s="5"/>
      <c r="E53" s="5" t="s">
        <v>6</v>
      </c>
      <c r="F53" s="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7">
        <f>SUM(G53:AA53)</f>
        <v>0</v>
      </c>
    </row>
    <row r="54" spans="1:41" x14ac:dyDescent="0.2">
      <c r="A54" s="4" t="s">
        <v>340</v>
      </c>
      <c r="B54" s="5"/>
      <c r="C54" s="5"/>
      <c r="D54" s="5"/>
      <c r="E54" s="5" t="s">
        <v>6</v>
      </c>
      <c r="F54" s="5"/>
      <c r="G54" s="39">
        <f>G51-G52</f>
        <v>6268.0616666666665</v>
      </c>
      <c r="H54" s="39">
        <f t="shared" ref="H54:AF54" si="24">H51-H52</f>
        <v>5412.1895666666669</v>
      </c>
      <c r="I54" s="39">
        <f t="shared" si="24"/>
        <v>4556.300024666667</v>
      </c>
      <c r="J54" s="39" t="e">
        <f t="shared" si="24"/>
        <v>#REF!</v>
      </c>
      <c r="K54" s="39" t="e">
        <f t="shared" si="24"/>
        <v>#REF!</v>
      </c>
      <c r="L54" s="39" t="e">
        <f t="shared" si="24"/>
        <v>#REF!</v>
      </c>
      <c r="M54" s="39" t="e">
        <f t="shared" si="24"/>
        <v>#REF!</v>
      </c>
      <c r="N54" s="39" t="e">
        <f t="shared" si="24"/>
        <v>#REF!</v>
      </c>
      <c r="O54" s="39" t="e">
        <f t="shared" si="24"/>
        <v>#REF!</v>
      </c>
      <c r="P54" s="39" t="e">
        <f t="shared" si="24"/>
        <v>#REF!</v>
      </c>
      <c r="Q54" s="39" t="e">
        <f t="shared" si="24"/>
        <v>#REF!</v>
      </c>
      <c r="R54" s="39" t="e">
        <f t="shared" si="24"/>
        <v>#REF!</v>
      </c>
      <c r="S54" s="39" t="e">
        <f t="shared" si="24"/>
        <v>#REF!</v>
      </c>
      <c r="T54" s="39" t="e">
        <f t="shared" si="24"/>
        <v>#REF!</v>
      </c>
      <c r="U54" s="39" t="e">
        <f t="shared" si="24"/>
        <v>#REF!</v>
      </c>
      <c r="V54" s="39" t="e">
        <f t="shared" si="24"/>
        <v>#REF!</v>
      </c>
      <c r="W54" s="39" t="e">
        <f t="shared" si="24"/>
        <v>#REF!</v>
      </c>
      <c r="X54" s="39" t="e">
        <f t="shared" si="24"/>
        <v>#REF!</v>
      </c>
      <c r="Y54" s="39" t="e">
        <f t="shared" si="24"/>
        <v>#REF!</v>
      </c>
      <c r="Z54" s="39" t="e">
        <f t="shared" si="24"/>
        <v>#REF!</v>
      </c>
      <c r="AA54" s="39" t="e">
        <f t="shared" si="24"/>
        <v>#REF!</v>
      </c>
      <c r="AB54" s="39" t="e">
        <f t="shared" si="24"/>
        <v>#REF!</v>
      </c>
      <c r="AC54" s="39" t="e">
        <f t="shared" si="24"/>
        <v>#REF!</v>
      </c>
      <c r="AD54" s="39" t="e">
        <f t="shared" si="24"/>
        <v>#REF!</v>
      </c>
      <c r="AE54" s="39" t="e">
        <f t="shared" si="24"/>
        <v>#REF!</v>
      </c>
      <c r="AF54" s="39" t="e">
        <f t="shared" si="24"/>
        <v>#REF!</v>
      </c>
      <c r="AG54" s="39" t="e">
        <f>Y51-Y52-#REF!</f>
        <v>#REF!</v>
      </c>
      <c r="AH54" s="39" t="e">
        <f>Z51-Z52-#REF!</f>
        <v>#REF!</v>
      </c>
      <c r="AI54" s="39" t="e">
        <f>AA51-AA52-#REF!</f>
        <v>#REF!</v>
      </c>
      <c r="AJ54" s="39" t="e">
        <f>AB51-AB52-#REF!</f>
        <v>#REF!</v>
      </c>
      <c r="AK54" s="39" t="e">
        <f>AC51-AC52-#REF!</f>
        <v>#REF!</v>
      </c>
      <c r="AL54" s="39" t="e">
        <f>AD51-AD52-#REF!</f>
        <v>#REF!</v>
      </c>
      <c r="AM54" s="39" t="e">
        <f>AE51-AE52-#REF!</f>
        <v>#REF!</v>
      </c>
      <c r="AN54" s="39" t="e">
        <f>AF51-AF52-#REF!</f>
        <v>#REF!</v>
      </c>
      <c r="AO54" s="37" t="e">
        <f>AG51-AG52+#REF!</f>
        <v>#REF!</v>
      </c>
    </row>
    <row r="55" spans="1:41" x14ac:dyDescent="0.2">
      <c r="A55" s="6"/>
      <c r="B55" s="7"/>
      <c r="C55" s="7"/>
      <c r="D55" s="7"/>
      <c r="E55" s="7"/>
      <c r="F55" s="7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5"/>
    </row>
    <row r="58" spans="1:41" ht="15.75" x14ac:dyDescent="0.25">
      <c r="A58" s="292" t="s">
        <v>341</v>
      </c>
      <c r="B58" s="293"/>
      <c r="C58" s="293"/>
      <c r="D58" s="294"/>
    </row>
    <row r="59" spans="1:41" x14ac:dyDescent="0.2">
      <c r="G59" s="33">
        <f t="shared" ref="G59:AF59" si="25">G5</f>
        <v>1</v>
      </c>
      <c r="H59" s="33">
        <f t="shared" si="25"/>
        <v>2</v>
      </c>
      <c r="I59" s="33">
        <f t="shared" si="25"/>
        <v>3</v>
      </c>
      <c r="J59" s="33">
        <f t="shared" si="25"/>
        <v>4</v>
      </c>
      <c r="K59" s="33">
        <f t="shared" si="25"/>
        <v>5</v>
      </c>
      <c r="L59" s="33">
        <f t="shared" si="25"/>
        <v>6</v>
      </c>
      <c r="M59" s="33">
        <f t="shared" si="25"/>
        <v>7</v>
      </c>
      <c r="N59" s="33">
        <f t="shared" si="25"/>
        <v>8</v>
      </c>
      <c r="O59" s="33">
        <f t="shared" si="25"/>
        <v>9</v>
      </c>
      <c r="P59" s="33">
        <f t="shared" si="25"/>
        <v>10</v>
      </c>
      <c r="Q59" s="33">
        <f t="shared" si="25"/>
        <v>11</v>
      </c>
      <c r="R59" s="33">
        <f t="shared" si="25"/>
        <v>12</v>
      </c>
      <c r="S59" s="33">
        <f t="shared" si="25"/>
        <v>13</v>
      </c>
      <c r="T59" s="33">
        <f t="shared" si="25"/>
        <v>14</v>
      </c>
      <c r="U59" s="33">
        <f t="shared" si="25"/>
        <v>15</v>
      </c>
      <c r="V59" s="33">
        <f t="shared" si="25"/>
        <v>16</v>
      </c>
      <c r="W59" s="33">
        <f t="shared" si="25"/>
        <v>17</v>
      </c>
      <c r="X59" s="33">
        <f t="shared" si="25"/>
        <v>18</v>
      </c>
      <c r="Y59" s="33">
        <f t="shared" si="25"/>
        <v>19</v>
      </c>
      <c r="Z59" s="33">
        <f t="shared" si="25"/>
        <v>20</v>
      </c>
      <c r="AA59" s="33">
        <f t="shared" si="25"/>
        <v>21</v>
      </c>
      <c r="AB59" s="33">
        <f t="shared" si="25"/>
        <v>22</v>
      </c>
      <c r="AC59" s="33">
        <f t="shared" si="25"/>
        <v>23</v>
      </c>
      <c r="AD59" s="33">
        <f t="shared" si="25"/>
        <v>24</v>
      </c>
      <c r="AE59" s="33">
        <f t="shared" si="25"/>
        <v>25</v>
      </c>
      <c r="AF59" s="33">
        <f t="shared" si="25"/>
        <v>26</v>
      </c>
      <c r="AG59" s="21"/>
    </row>
    <row r="60" spans="1:41" x14ac:dyDescent="0.2">
      <c r="G60" s="33">
        <f t="shared" ref="G60:AF60" si="26">G6</f>
        <v>2001</v>
      </c>
      <c r="H60" s="33">
        <f t="shared" si="26"/>
        <v>2002</v>
      </c>
      <c r="I60" s="33">
        <f t="shared" si="26"/>
        <v>2003</v>
      </c>
      <c r="J60" s="33">
        <f t="shared" si="26"/>
        <v>2004</v>
      </c>
      <c r="K60" s="33">
        <f t="shared" si="26"/>
        <v>2005</v>
      </c>
      <c r="L60" s="33">
        <f t="shared" si="26"/>
        <v>2006</v>
      </c>
      <c r="M60" s="33">
        <f t="shared" si="26"/>
        <v>2007</v>
      </c>
      <c r="N60" s="33">
        <f t="shared" si="26"/>
        <v>2008</v>
      </c>
      <c r="O60" s="33">
        <f t="shared" si="26"/>
        <v>2009</v>
      </c>
      <c r="P60" s="33">
        <f t="shared" si="26"/>
        <v>2010</v>
      </c>
      <c r="Q60" s="33">
        <f t="shared" si="26"/>
        <v>2011</v>
      </c>
      <c r="R60" s="33">
        <f t="shared" si="26"/>
        <v>2012</v>
      </c>
      <c r="S60" s="33">
        <f t="shared" si="26"/>
        <v>2013</v>
      </c>
      <c r="T60" s="33">
        <f t="shared" si="26"/>
        <v>2014</v>
      </c>
      <c r="U60" s="33">
        <f t="shared" si="26"/>
        <v>2015</v>
      </c>
      <c r="V60" s="33">
        <f t="shared" si="26"/>
        <v>2016</v>
      </c>
      <c r="W60" s="33">
        <f t="shared" si="26"/>
        <v>2017</v>
      </c>
      <c r="X60" s="33">
        <f t="shared" si="26"/>
        <v>2018</v>
      </c>
      <c r="Y60" s="33">
        <f t="shared" si="26"/>
        <v>2019</v>
      </c>
      <c r="Z60" s="33">
        <f t="shared" si="26"/>
        <v>2020</v>
      </c>
      <c r="AA60" s="33">
        <f t="shared" si="26"/>
        <v>2021</v>
      </c>
      <c r="AB60" s="33">
        <f t="shared" si="26"/>
        <v>2022</v>
      </c>
      <c r="AC60" s="33">
        <f t="shared" si="26"/>
        <v>2023</v>
      </c>
      <c r="AD60" s="33">
        <f t="shared" si="26"/>
        <v>2024</v>
      </c>
      <c r="AE60" s="33">
        <f t="shared" si="26"/>
        <v>2025</v>
      </c>
      <c r="AF60" s="33">
        <f t="shared" si="26"/>
        <v>2026</v>
      </c>
      <c r="AG60" s="42" t="s">
        <v>167</v>
      </c>
    </row>
    <row r="61" spans="1:41" x14ac:dyDescent="0.2">
      <c r="A61" s="14" t="s">
        <v>342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1"/>
    </row>
    <row r="62" spans="1:41" x14ac:dyDescent="0.2">
      <c r="A62" s="4"/>
      <c r="B62" s="5" t="s">
        <v>343</v>
      </c>
      <c r="C62" s="5"/>
      <c r="D62" s="5"/>
      <c r="E62" s="5"/>
      <c r="F62" s="344"/>
      <c r="G62" s="344">
        <f>CF!D20</f>
        <v>7100</v>
      </c>
      <c r="H62" s="35">
        <f>CF!E20</f>
        <v>6200</v>
      </c>
      <c r="I62" s="35">
        <f>CF!F20</f>
        <v>5300</v>
      </c>
      <c r="J62" s="35" t="e">
        <f>CF!#REF!</f>
        <v>#REF!</v>
      </c>
      <c r="K62" s="35" t="e">
        <f>CF!#REF!</f>
        <v>#REF!</v>
      </c>
      <c r="L62" s="35" t="e">
        <f>CF!#REF!</f>
        <v>#REF!</v>
      </c>
      <c r="M62" s="35" t="e">
        <f>CF!#REF!</f>
        <v>#REF!</v>
      </c>
      <c r="N62" s="35" t="e">
        <f>CF!#REF!</f>
        <v>#REF!</v>
      </c>
      <c r="O62" s="35" t="e">
        <f>CF!#REF!</f>
        <v>#REF!</v>
      </c>
      <c r="P62" s="35" t="e">
        <f>CF!#REF!</f>
        <v>#REF!</v>
      </c>
      <c r="Q62" s="35" t="e">
        <f>CF!#REF!</f>
        <v>#REF!</v>
      </c>
      <c r="R62" s="35" t="e">
        <f>CF!#REF!</f>
        <v>#REF!</v>
      </c>
      <c r="S62" s="35" t="e">
        <f>CF!#REF!</f>
        <v>#REF!</v>
      </c>
      <c r="T62" s="35" t="e">
        <f>CF!#REF!</f>
        <v>#REF!</v>
      </c>
      <c r="U62" s="35" t="e">
        <f>CF!#REF!</f>
        <v>#REF!</v>
      </c>
      <c r="V62" s="35" t="e">
        <f>CF!#REF!</f>
        <v>#REF!</v>
      </c>
      <c r="W62" s="35" t="e">
        <f>CF!#REF!</f>
        <v>#REF!</v>
      </c>
      <c r="X62" s="35" t="e">
        <f>CF!#REF!</f>
        <v>#REF!</v>
      </c>
      <c r="Y62" s="35" t="e">
        <f>CF!#REF!</f>
        <v>#REF!</v>
      </c>
      <c r="Z62" s="35" t="e">
        <f>CF!#REF!</f>
        <v>#REF!</v>
      </c>
      <c r="AA62" s="35" t="e">
        <f>CF!#REF!</f>
        <v>#REF!</v>
      </c>
      <c r="AB62" s="35" t="e">
        <f>CF!#REF!</f>
        <v>#REF!</v>
      </c>
      <c r="AC62" s="35" t="e">
        <f>CF!#REF!</f>
        <v>#REF!</v>
      </c>
      <c r="AD62" s="35" t="e">
        <f>CF!#REF!</f>
        <v>#REF!</v>
      </c>
      <c r="AE62" s="35" t="e">
        <f>CF!#REF!</f>
        <v>#REF!</v>
      </c>
      <c r="AF62" s="35" t="e">
        <f>CF!#REF!</f>
        <v>#REF!</v>
      </c>
      <c r="AG62" s="37" t="e">
        <f t="shared" ref="AG62:AG68" si="27">SUM(G62:AF62)</f>
        <v>#REF!</v>
      </c>
    </row>
    <row r="63" spans="1:41" x14ac:dyDescent="0.2">
      <c r="A63" s="4"/>
      <c r="B63" s="5" t="s">
        <v>344</v>
      </c>
      <c r="C63" s="5"/>
      <c r="D63" s="5"/>
      <c r="E63" s="5"/>
      <c r="F63" s="5"/>
      <c r="G63" s="35">
        <f>-CF!D49</f>
        <v>-45.9</v>
      </c>
      <c r="H63" s="35">
        <f>-CF!E49</f>
        <v>-46.818000000000005</v>
      </c>
      <c r="I63" s="35">
        <f>-CF!F49</f>
        <v>-47.754359999999998</v>
      </c>
      <c r="J63" s="35" t="e">
        <f>-CF!#REF!</f>
        <v>#REF!</v>
      </c>
      <c r="K63" s="35" t="e">
        <f>-CF!#REF!</f>
        <v>#REF!</v>
      </c>
      <c r="L63" s="35" t="e">
        <f>-CF!#REF!</f>
        <v>#REF!</v>
      </c>
      <c r="M63" s="35" t="e">
        <f>-CF!#REF!</f>
        <v>#REF!</v>
      </c>
      <c r="N63" s="35" t="e">
        <f>-CF!#REF!</f>
        <v>#REF!</v>
      </c>
      <c r="O63" s="35" t="e">
        <f>-CF!#REF!</f>
        <v>#REF!</v>
      </c>
      <c r="P63" s="35" t="e">
        <f>-CF!#REF!</f>
        <v>#REF!</v>
      </c>
      <c r="Q63" s="35" t="e">
        <f>-CF!#REF!</f>
        <v>#REF!</v>
      </c>
      <c r="R63" s="35" t="e">
        <f>-CF!#REF!</f>
        <v>#REF!</v>
      </c>
      <c r="S63" s="35" t="e">
        <f>-CF!#REF!</f>
        <v>#REF!</v>
      </c>
      <c r="T63" s="35" t="e">
        <f>-CF!#REF!</f>
        <v>#REF!</v>
      </c>
      <c r="U63" s="35" t="e">
        <f>-CF!#REF!</f>
        <v>#REF!</v>
      </c>
      <c r="V63" s="35" t="e">
        <f>-CF!#REF!</f>
        <v>#REF!</v>
      </c>
      <c r="W63" s="35" t="e">
        <f>-CF!#REF!</f>
        <v>#REF!</v>
      </c>
      <c r="X63" s="35" t="e">
        <f>-CF!#REF!</f>
        <v>#REF!</v>
      </c>
      <c r="Y63" s="35" t="e">
        <f>-CF!#REF!</f>
        <v>#REF!</v>
      </c>
      <c r="Z63" s="35" t="e">
        <f>-CF!#REF!</f>
        <v>#REF!</v>
      </c>
      <c r="AA63" s="35" t="e">
        <f>-CF!#REF!</f>
        <v>#REF!</v>
      </c>
      <c r="AB63" s="35" t="e">
        <f>-CF!#REF!</f>
        <v>#REF!</v>
      </c>
      <c r="AC63" s="35" t="e">
        <f>-CF!#REF!</f>
        <v>#REF!</v>
      </c>
      <c r="AD63" s="35" t="e">
        <f>-CF!#REF!</f>
        <v>#REF!</v>
      </c>
      <c r="AE63" s="35" t="e">
        <f>-CF!#REF!</f>
        <v>#REF!</v>
      </c>
      <c r="AF63" s="35" t="e">
        <f>-CF!#REF!</f>
        <v>#REF!</v>
      </c>
      <c r="AG63" s="37" t="e">
        <f t="shared" si="27"/>
        <v>#REF!</v>
      </c>
    </row>
    <row r="64" spans="1:41" x14ac:dyDescent="0.2">
      <c r="A64" s="4"/>
      <c r="B64" s="5" t="s">
        <v>345</v>
      </c>
      <c r="C64" s="5"/>
      <c r="D64" s="5"/>
      <c r="E64" s="5"/>
      <c r="F64" s="5"/>
      <c r="G64" s="35">
        <f>CF!D62</f>
        <v>0</v>
      </c>
      <c r="H64" s="35">
        <f>CF!E62</f>
        <v>0</v>
      </c>
      <c r="I64" s="35">
        <f>CF!F62</f>
        <v>0</v>
      </c>
      <c r="J64" s="35" t="e">
        <f>CF!#REF!</f>
        <v>#REF!</v>
      </c>
      <c r="K64" s="35" t="e">
        <f>CF!#REF!</f>
        <v>#REF!</v>
      </c>
      <c r="L64" s="35" t="e">
        <f>CF!#REF!</f>
        <v>#REF!</v>
      </c>
      <c r="M64" s="35" t="e">
        <f>CF!#REF!</f>
        <v>#REF!</v>
      </c>
      <c r="N64" s="35" t="e">
        <f>CF!#REF!</f>
        <v>#REF!</v>
      </c>
      <c r="O64" s="35" t="e">
        <f>CF!#REF!</f>
        <v>#REF!</v>
      </c>
      <c r="P64" s="35" t="e">
        <f>CF!#REF!</f>
        <v>#REF!</v>
      </c>
      <c r="Q64" s="35" t="e">
        <f>CF!#REF!</f>
        <v>#REF!</v>
      </c>
      <c r="R64" s="35" t="e">
        <f>CF!#REF!</f>
        <v>#REF!</v>
      </c>
      <c r="S64" s="35" t="e">
        <f>CF!#REF!</f>
        <v>#REF!</v>
      </c>
      <c r="T64" s="35" t="e">
        <f>CF!#REF!</f>
        <v>#REF!</v>
      </c>
      <c r="U64" s="35" t="e">
        <f>CF!#REF!</f>
        <v>#REF!</v>
      </c>
      <c r="V64" s="35" t="e">
        <f>CF!#REF!</f>
        <v>#REF!</v>
      </c>
      <c r="W64" s="35" t="e">
        <f>CF!#REF!</f>
        <v>#REF!</v>
      </c>
      <c r="X64" s="35" t="e">
        <f>CF!#REF!</f>
        <v>#REF!</v>
      </c>
      <c r="Y64" s="35" t="e">
        <f>CF!#REF!</f>
        <v>#REF!</v>
      </c>
      <c r="Z64" s="35" t="e">
        <f>CF!#REF!</f>
        <v>#REF!</v>
      </c>
      <c r="AA64" s="35" t="e">
        <f>CF!#REF!</f>
        <v>#REF!</v>
      </c>
      <c r="AB64" s="35" t="e">
        <f>CF!#REF!</f>
        <v>#REF!</v>
      </c>
      <c r="AC64" s="35" t="e">
        <f>CF!#REF!</f>
        <v>#REF!</v>
      </c>
      <c r="AD64" s="35" t="e">
        <f>CF!#REF!</f>
        <v>#REF!</v>
      </c>
      <c r="AE64" s="35" t="e">
        <f>CF!#REF!</f>
        <v>#REF!</v>
      </c>
      <c r="AF64" s="35" t="e">
        <f>CF!#REF!</f>
        <v>#REF!</v>
      </c>
      <c r="AG64" s="37" t="e">
        <f t="shared" si="27"/>
        <v>#REF!</v>
      </c>
    </row>
    <row r="65" spans="1:33" x14ac:dyDescent="0.2">
      <c r="A65" s="4"/>
      <c r="B65" s="5" t="s">
        <v>384</v>
      </c>
      <c r="C65" s="5"/>
      <c r="D65" s="5"/>
      <c r="E65" s="5"/>
      <c r="F65" s="5"/>
      <c r="G65" s="35">
        <f>CF!D65+CF!D66</f>
        <v>0</v>
      </c>
      <c r="H65" s="35">
        <f>CF!E65+CF!E66</f>
        <v>0</v>
      </c>
      <c r="I65" s="35">
        <f>CF!F65+CF!F66</f>
        <v>0</v>
      </c>
      <c r="J65" s="35" t="e">
        <f>CF!#REF!+CF!#REF!</f>
        <v>#REF!</v>
      </c>
      <c r="K65" s="35" t="e">
        <f>CF!#REF!+CF!#REF!</f>
        <v>#REF!</v>
      </c>
      <c r="L65" s="35" t="e">
        <f>CF!#REF!+CF!#REF!</f>
        <v>#REF!</v>
      </c>
      <c r="M65" s="35" t="e">
        <f>CF!#REF!+CF!#REF!</f>
        <v>#REF!</v>
      </c>
      <c r="N65" s="35" t="e">
        <f>CF!#REF!+CF!#REF!</f>
        <v>#REF!</v>
      </c>
      <c r="O65" s="35" t="e">
        <f>CF!#REF!+CF!#REF!</f>
        <v>#REF!</v>
      </c>
      <c r="P65" s="35" t="e">
        <f>CF!#REF!+CF!#REF!</f>
        <v>#REF!</v>
      </c>
      <c r="Q65" s="35" t="e">
        <f>CF!#REF!+CF!#REF!</f>
        <v>#REF!</v>
      </c>
      <c r="R65" s="35" t="e">
        <f>CF!#REF!+CF!#REF!</f>
        <v>#REF!</v>
      </c>
      <c r="S65" s="35" t="e">
        <f>CF!#REF!+CF!#REF!</f>
        <v>#REF!</v>
      </c>
      <c r="T65" s="35" t="e">
        <f>CF!#REF!+CF!#REF!</f>
        <v>#REF!</v>
      </c>
      <c r="U65" s="35" t="e">
        <f>CF!#REF!+CF!#REF!</f>
        <v>#REF!</v>
      </c>
      <c r="V65" s="35" t="e">
        <f>CF!#REF!+CF!#REF!</f>
        <v>#REF!</v>
      </c>
      <c r="W65" s="35" t="e">
        <f>CF!#REF!+CF!#REF!</f>
        <v>#REF!</v>
      </c>
      <c r="X65" s="35" t="e">
        <f>CF!#REF!+CF!#REF!</f>
        <v>#REF!</v>
      </c>
      <c r="Y65" s="35" t="e">
        <f>CF!#REF!+CF!#REF!</f>
        <v>#REF!</v>
      </c>
      <c r="Z65" s="35" t="e">
        <f>CF!#REF!+CF!#REF!</f>
        <v>#REF!</v>
      </c>
      <c r="AA65" s="35" t="e">
        <f>CF!#REF!+CF!#REF!</f>
        <v>#REF!</v>
      </c>
      <c r="AB65" s="35" t="e">
        <f>CF!#REF!+CF!#REF!</f>
        <v>#REF!</v>
      </c>
      <c r="AC65" s="35" t="e">
        <f>CF!#REF!+CF!#REF!</f>
        <v>#REF!</v>
      </c>
      <c r="AD65" s="35" t="e">
        <f>CF!#REF!+CF!#REF!</f>
        <v>#REF!</v>
      </c>
      <c r="AE65" s="35" t="e">
        <f>CF!#REF!+CF!#REF!</f>
        <v>#REF!</v>
      </c>
      <c r="AF65" s="35" t="e">
        <f>CF!#REF!+CF!#REF!</f>
        <v>#REF!</v>
      </c>
      <c r="AG65" s="37"/>
    </row>
    <row r="66" spans="1:33" x14ac:dyDescent="0.2">
      <c r="A66" s="4"/>
      <c r="B66" s="5" t="s">
        <v>346</v>
      </c>
      <c r="C66" s="5"/>
      <c r="D66" s="5"/>
      <c r="E66" s="5"/>
      <c r="F66" s="5"/>
      <c r="G66" s="35">
        <f>-FIN!D10</f>
        <v>0</v>
      </c>
      <c r="H66" s="35">
        <f>-FIN!E10</f>
        <v>0</v>
      </c>
      <c r="I66" s="35">
        <f>-FIN!F10</f>
        <v>0</v>
      </c>
      <c r="J66" s="35">
        <f>-FIN!G10</f>
        <v>0</v>
      </c>
      <c r="K66" s="35">
        <f>-FIN!H10</f>
        <v>0</v>
      </c>
      <c r="L66" s="35">
        <f>-FIN!I10</f>
        <v>0</v>
      </c>
      <c r="M66" s="35">
        <f>-FIN!J10</f>
        <v>0</v>
      </c>
      <c r="N66" s="35">
        <f>-FIN!K10</f>
        <v>0</v>
      </c>
      <c r="O66" s="35">
        <f>-FIN!L10</f>
        <v>0</v>
      </c>
      <c r="P66" s="35">
        <f>-FIN!M10</f>
        <v>0</v>
      </c>
      <c r="Q66" s="35">
        <f>-FIN!N10</f>
        <v>0</v>
      </c>
      <c r="R66" s="35">
        <f>-FIN!O10</f>
        <v>0</v>
      </c>
      <c r="S66" s="35">
        <f>-FIN!P10</f>
        <v>0</v>
      </c>
      <c r="T66" s="35">
        <f>-FIN!Q10</f>
        <v>0</v>
      </c>
      <c r="U66" s="35">
        <f>-FIN!R10</f>
        <v>0</v>
      </c>
      <c r="V66" s="35">
        <f>-FIN!S10</f>
        <v>0</v>
      </c>
      <c r="W66" s="35">
        <f>-FIN!T10</f>
        <v>0</v>
      </c>
      <c r="X66" s="35">
        <f>-FIN!U10</f>
        <v>0</v>
      </c>
      <c r="Y66" s="35">
        <f>-FIN!V10</f>
        <v>0</v>
      </c>
      <c r="Z66" s="35">
        <f>-FIN!W10</f>
        <v>0</v>
      </c>
      <c r="AA66" s="35">
        <f>-FIN!X10</f>
        <v>0</v>
      </c>
      <c r="AB66" s="35">
        <f>-FIN!Y10</f>
        <v>0</v>
      </c>
      <c r="AC66" s="35">
        <f>-FIN!Z10</f>
        <v>0</v>
      </c>
      <c r="AD66" s="35">
        <f>-FIN!AA10</f>
        <v>0</v>
      </c>
      <c r="AE66" s="35">
        <f>-FIN!AB10</f>
        <v>0</v>
      </c>
      <c r="AF66" s="35">
        <f>-FIN!AC10</f>
        <v>0</v>
      </c>
      <c r="AG66" s="37">
        <f t="shared" si="27"/>
        <v>0</v>
      </c>
    </row>
    <row r="67" spans="1:33" x14ac:dyDescent="0.2">
      <c r="A67" s="4"/>
      <c r="B67" s="5" t="s">
        <v>347</v>
      </c>
      <c r="C67" s="5"/>
      <c r="D67" s="5"/>
      <c r="E67" s="5"/>
      <c r="F67" s="5"/>
      <c r="G67" s="38">
        <f>CF!D67</f>
        <v>0</v>
      </c>
      <c r="H67" s="38">
        <f>CF!E67</f>
        <v>0</v>
      </c>
      <c r="I67" s="38">
        <f>CF!F67</f>
        <v>0</v>
      </c>
      <c r="J67" s="38" t="e">
        <f>CF!#REF!</f>
        <v>#REF!</v>
      </c>
      <c r="K67" s="38" t="e">
        <f>CF!#REF!</f>
        <v>#REF!</v>
      </c>
      <c r="L67" s="38" t="e">
        <f>CF!#REF!</f>
        <v>#REF!</v>
      </c>
      <c r="M67" s="38" t="e">
        <f>CF!#REF!</f>
        <v>#REF!</v>
      </c>
      <c r="N67" s="38" t="e">
        <f>CF!#REF!</f>
        <v>#REF!</v>
      </c>
      <c r="O67" s="38" t="e">
        <f>CF!#REF!</f>
        <v>#REF!</v>
      </c>
      <c r="P67" s="38" t="e">
        <f>CF!#REF!</f>
        <v>#REF!</v>
      </c>
      <c r="Q67" s="38" t="e">
        <f>CF!#REF!</f>
        <v>#REF!</v>
      </c>
      <c r="R67" s="38" t="e">
        <f>CF!#REF!</f>
        <v>#REF!</v>
      </c>
      <c r="S67" s="38" t="e">
        <f>CF!#REF!</f>
        <v>#REF!</v>
      </c>
      <c r="T67" s="38" t="e">
        <f>CF!#REF!</f>
        <v>#REF!</v>
      </c>
      <c r="U67" s="38" t="e">
        <f>CF!#REF!</f>
        <v>#REF!</v>
      </c>
      <c r="V67" s="38" t="e">
        <f>CF!#REF!</f>
        <v>#REF!</v>
      </c>
      <c r="W67" s="38" t="e">
        <f>CF!#REF!</f>
        <v>#REF!</v>
      </c>
      <c r="X67" s="38" t="e">
        <f>CF!#REF!</f>
        <v>#REF!</v>
      </c>
      <c r="Y67" s="38" t="e">
        <f>CF!#REF!</f>
        <v>#REF!</v>
      </c>
      <c r="Z67" s="38" t="e">
        <f>CF!#REF!</f>
        <v>#REF!</v>
      </c>
      <c r="AA67" s="38" t="e">
        <f>CF!#REF!</f>
        <v>#REF!</v>
      </c>
      <c r="AB67" s="38" t="e">
        <f>CF!#REF!</f>
        <v>#REF!</v>
      </c>
      <c r="AC67" s="38" t="e">
        <f>CF!#REF!</f>
        <v>#REF!</v>
      </c>
      <c r="AD67" s="38" t="e">
        <f>CF!#REF!</f>
        <v>#REF!</v>
      </c>
      <c r="AE67" s="38" t="e">
        <f>CF!#REF!</f>
        <v>#REF!</v>
      </c>
      <c r="AF67" s="38" t="e">
        <f>CF!#REF!</f>
        <v>#REF!</v>
      </c>
      <c r="AG67" s="185" t="e">
        <f t="shared" si="27"/>
        <v>#REF!</v>
      </c>
    </row>
    <row r="68" spans="1:33" x14ac:dyDescent="0.2">
      <c r="A68" s="4"/>
      <c r="B68" s="5"/>
      <c r="C68" s="5" t="s">
        <v>348</v>
      </c>
      <c r="D68" s="5"/>
      <c r="E68" s="5"/>
      <c r="F68" s="5"/>
      <c r="G68" s="35">
        <f>SUM(G62:G67)</f>
        <v>7054.1</v>
      </c>
      <c r="H68" s="35">
        <f t="shared" ref="H68:W68" si="28">SUM(H62:H67)</f>
        <v>6153.1819999999998</v>
      </c>
      <c r="I68" s="35">
        <f t="shared" si="28"/>
        <v>5252.2456400000001</v>
      </c>
      <c r="J68" s="35" t="e">
        <f t="shared" si="28"/>
        <v>#REF!</v>
      </c>
      <c r="K68" s="35" t="e">
        <f t="shared" si="28"/>
        <v>#REF!</v>
      </c>
      <c r="L68" s="35" t="e">
        <f t="shared" si="28"/>
        <v>#REF!</v>
      </c>
      <c r="M68" s="35" t="e">
        <f t="shared" si="28"/>
        <v>#REF!</v>
      </c>
      <c r="N68" s="35" t="e">
        <f t="shared" si="28"/>
        <v>#REF!</v>
      </c>
      <c r="O68" s="35" t="e">
        <f t="shared" si="28"/>
        <v>#REF!</v>
      </c>
      <c r="P68" s="35" t="e">
        <f t="shared" si="28"/>
        <v>#REF!</v>
      </c>
      <c r="Q68" s="35" t="e">
        <f t="shared" si="28"/>
        <v>#REF!</v>
      </c>
      <c r="R68" s="35" t="e">
        <f t="shared" si="28"/>
        <v>#REF!</v>
      </c>
      <c r="S68" s="35" t="e">
        <f t="shared" si="28"/>
        <v>#REF!</v>
      </c>
      <c r="T68" s="35" t="e">
        <f t="shared" si="28"/>
        <v>#REF!</v>
      </c>
      <c r="U68" s="35" t="e">
        <f t="shared" si="28"/>
        <v>#REF!</v>
      </c>
      <c r="V68" s="35" t="e">
        <f t="shared" si="28"/>
        <v>#REF!</v>
      </c>
      <c r="W68" s="35" t="e">
        <f t="shared" si="28"/>
        <v>#REF!</v>
      </c>
      <c r="X68" s="35" t="e">
        <f t="shared" ref="X68:AF68" si="29">SUM(X62:X67)</f>
        <v>#REF!</v>
      </c>
      <c r="Y68" s="35" t="e">
        <f t="shared" si="29"/>
        <v>#REF!</v>
      </c>
      <c r="Z68" s="35" t="e">
        <f t="shared" si="29"/>
        <v>#REF!</v>
      </c>
      <c r="AA68" s="35" t="e">
        <f t="shared" si="29"/>
        <v>#REF!</v>
      </c>
      <c r="AB68" s="35" t="e">
        <f t="shared" si="29"/>
        <v>#REF!</v>
      </c>
      <c r="AC68" s="35" t="e">
        <f t="shared" si="29"/>
        <v>#REF!</v>
      </c>
      <c r="AD68" s="35" t="e">
        <f t="shared" si="29"/>
        <v>#REF!</v>
      </c>
      <c r="AE68" s="35" t="e">
        <f t="shared" si="29"/>
        <v>#REF!</v>
      </c>
      <c r="AF68" s="35" t="e">
        <f t="shared" si="29"/>
        <v>#REF!</v>
      </c>
      <c r="AG68" s="37" t="e">
        <f t="shared" si="27"/>
        <v>#REF!</v>
      </c>
    </row>
    <row r="69" spans="1:33" x14ac:dyDescent="0.2">
      <c r="A69" s="4"/>
      <c r="B69" s="5"/>
      <c r="C69" s="5"/>
      <c r="D69" s="5"/>
      <c r="E69" s="5"/>
      <c r="F69" s="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7"/>
    </row>
    <row r="70" spans="1:33" x14ac:dyDescent="0.2">
      <c r="A70" s="4" t="s">
        <v>349</v>
      </c>
      <c r="B70" s="5"/>
      <c r="C70" s="5"/>
      <c r="D70" s="5"/>
      <c r="E70" s="5"/>
      <c r="F70" s="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7"/>
    </row>
    <row r="71" spans="1:33" x14ac:dyDescent="0.2">
      <c r="A71" s="4"/>
      <c r="B71" s="5" t="s">
        <v>350</v>
      </c>
      <c r="C71" s="5"/>
      <c r="D71" s="5"/>
      <c r="E71" s="5"/>
      <c r="F71" s="5"/>
      <c r="G71" s="35">
        <f>-FIN!D11</f>
        <v>0</v>
      </c>
      <c r="H71" s="35">
        <f>-FIN!E11</f>
        <v>0</v>
      </c>
      <c r="I71" s="35">
        <f>-FIN!F11</f>
        <v>0</v>
      </c>
      <c r="J71" s="35">
        <f>-FIN!G11</f>
        <v>0</v>
      </c>
      <c r="K71" s="35">
        <f>-FIN!H11</f>
        <v>0</v>
      </c>
      <c r="L71" s="35">
        <f>-FIN!I11</f>
        <v>0</v>
      </c>
      <c r="M71" s="35">
        <f>-FIN!J11</f>
        <v>0</v>
      </c>
      <c r="N71" s="35">
        <f>-FIN!K11</f>
        <v>0</v>
      </c>
      <c r="O71" s="35">
        <f>-FIN!L11</f>
        <v>0</v>
      </c>
      <c r="P71" s="35">
        <f>-FIN!M11</f>
        <v>0</v>
      </c>
      <c r="Q71" s="35">
        <f>-FIN!N11</f>
        <v>0</v>
      </c>
      <c r="R71" s="35">
        <f>-FIN!O11</f>
        <v>0</v>
      </c>
      <c r="S71" s="35">
        <f>-FIN!P11</f>
        <v>0</v>
      </c>
      <c r="T71" s="35">
        <f>-FIN!Q11</f>
        <v>0</v>
      </c>
      <c r="U71" s="35">
        <f>-FIN!R11</f>
        <v>0</v>
      </c>
      <c r="V71" s="35">
        <f>-FIN!S11</f>
        <v>0</v>
      </c>
      <c r="W71" s="35">
        <f>-FIN!T11</f>
        <v>0</v>
      </c>
      <c r="X71" s="35">
        <f>-FIN!U11</f>
        <v>0</v>
      </c>
      <c r="Y71" s="35">
        <f>-FIN!V11</f>
        <v>0</v>
      </c>
      <c r="Z71" s="35">
        <f>-FIN!W11</f>
        <v>0</v>
      </c>
      <c r="AA71" s="35">
        <f>-FIN!X11</f>
        <v>0</v>
      </c>
      <c r="AB71" s="35">
        <f>-FIN!Y11</f>
        <v>0</v>
      </c>
      <c r="AC71" s="35">
        <f>-FIN!Z11</f>
        <v>0</v>
      </c>
      <c r="AD71" s="35">
        <f>-FIN!AA11</f>
        <v>0</v>
      </c>
      <c r="AE71" s="35">
        <f>-FIN!AB11</f>
        <v>0</v>
      </c>
      <c r="AF71" s="35">
        <f>-FIN!AC11</f>
        <v>0</v>
      </c>
      <c r="AG71" s="37">
        <f>SUM(G71:AA71)</f>
        <v>0</v>
      </c>
    </row>
    <row r="72" spans="1:33" x14ac:dyDescent="0.2">
      <c r="A72" s="4"/>
      <c r="B72" s="5" t="s">
        <v>351</v>
      </c>
      <c r="C72" s="5"/>
      <c r="D72" s="5"/>
      <c r="E72" s="5"/>
      <c r="F72" s="5"/>
      <c r="G72" s="35">
        <f>COST*DEBTPERC</f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7">
        <f>SUM(G72:AA72)</f>
        <v>0</v>
      </c>
    </row>
    <row r="73" spans="1:33" x14ac:dyDescent="0.2">
      <c r="A73" s="4"/>
      <c r="B73" s="5" t="s">
        <v>352</v>
      </c>
      <c r="C73" s="5"/>
      <c r="D73" s="5"/>
      <c r="E73" s="5"/>
      <c r="F73" s="5"/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7">
        <f t="shared" ref="AG73:AG81" si="30">SUM(G73:AA73)</f>
        <v>0</v>
      </c>
    </row>
    <row r="74" spans="1:33" x14ac:dyDescent="0.2">
      <c r="A74" s="4"/>
      <c r="B74" s="5" t="s">
        <v>353</v>
      </c>
      <c r="C74" s="5"/>
      <c r="D74" s="5"/>
      <c r="E74" s="5"/>
      <c r="F74" s="5"/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7">
        <f t="shared" si="30"/>
        <v>0</v>
      </c>
    </row>
    <row r="75" spans="1:33" x14ac:dyDescent="0.2">
      <c r="A75" s="4"/>
      <c r="B75" s="5" t="s">
        <v>354</v>
      </c>
      <c r="C75" s="5"/>
      <c r="D75" s="5"/>
      <c r="E75" s="5"/>
      <c r="F75" s="5"/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7">
        <f t="shared" si="30"/>
        <v>0</v>
      </c>
    </row>
    <row r="76" spans="1:33" x14ac:dyDescent="0.2">
      <c r="A76" s="4"/>
      <c r="B76" s="5" t="s">
        <v>355</v>
      </c>
      <c r="C76" s="5"/>
      <c r="D76" s="5"/>
      <c r="E76" s="5"/>
      <c r="F76" s="5"/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7">
        <f t="shared" si="30"/>
        <v>0</v>
      </c>
    </row>
    <row r="77" spans="1:33" x14ac:dyDescent="0.2">
      <c r="A77" s="4"/>
      <c r="B77" s="5" t="s">
        <v>356</v>
      </c>
      <c r="C77" s="5"/>
      <c r="D77" s="5"/>
      <c r="E77" s="5"/>
      <c r="F77" s="5"/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7">
        <f t="shared" si="30"/>
        <v>0</v>
      </c>
    </row>
    <row r="78" spans="1:33" x14ac:dyDescent="0.2">
      <c r="A78" s="4"/>
      <c r="B78" s="5" t="s">
        <v>357</v>
      </c>
      <c r="C78" s="5"/>
      <c r="D78" s="5"/>
      <c r="E78" s="5"/>
      <c r="F78" s="5"/>
      <c r="G78" s="35">
        <f>COST*equityperc</f>
        <v>13000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7">
        <f t="shared" si="30"/>
        <v>13000</v>
      </c>
    </row>
    <row r="79" spans="1:33" x14ac:dyDescent="0.2">
      <c r="A79" s="4"/>
      <c r="B79" s="5" t="s">
        <v>314</v>
      </c>
      <c r="C79" s="5"/>
      <c r="D79" s="5"/>
      <c r="E79" s="5"/>
      <c r="F79" s="35"/>
      <c r="G79" s="35">
        <f>-(G72+G78-WCAP)</f>
        <v>-13000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7">
        <f t="shared" si="30"/>
        <v>-13000</v>
      </c>
    </row>
    <row r="80" spans="1:33" x14ac:dyDescent="0.2">
      <c r="A80" s="4"/>
      <c r="B80" s="5" t="s">
        <v>358</v>
      </c>
      <c r="C80" s="5"/>
      <c r="D80" s="5"/>
      <c r="E80" s="5"/>
      <c r="F80" s="5"/>
      <c r="G80" s="35">
        <f>-CF!D69</f>
        <v>-7054.1</v>
      </c>
      <c r="H80" s="35">
        <f>-CF!E69</f>
        <v>-6153.1819999999998</v>
      </c>
      <c r="I80" s="35">
        <f>-CF!F69</f>
        <v>-5252.2456400000001</v>
      </c>
      <c r="J80" s="35" t="e">
        <f>-CF!#REF!</f>
        <v>#REF!</v>
      </c>
      <c r="K80" s="35" t="e">
        <f>-CF!#REF!</f>
        <v>#REF!</v>
      </c>
      <c r="L80" s="35" t="e">
        <f>-CF!#REF!</f>
        <v>#REF!</v>
      </c>
      <c r="M80" s="35" t="e">
        <f>-CF!#REF!</f>
        <v>#REF!</v>
      </c>
      <c r="N80" s="35" t="e">
        <f>-CF!#REF!</f>
        <v>#REF!</v>
      </c>
      <c r="O80" s="35" t="e">
        <f>-CF!#REF!</f>
        <v>#REF!</v>
      </c>
      <c r="P80" s="35" t="e">
        <f>-CF!#REF!</f>
        <v>#REF!</v>
      </c>
      <c r="Q80" s="35" t="e">
        <f>-CF!#REF!</f>
        <v>#REF!</v>
      </c>
      <c r="R80" s="35" t="e">
        <f>-CF!#REF!</f>
        <v>#REF!</v>
      </c>
      <c r="S80" s="35" t="e">
        <f>-CF!#REF!</f>
        <v>#REF!</v>
      </c>
      <c r="T80" s="35" t="e">
        <f>-CF!#REF!</f>
        <v>#REF!</v>
      </c>
      <c r="U80" s="35" t="e">
        <f>-CF!#REF!</f>
        <v>#REF!</v>
      </c>
      <c r="V80" s="35" t="e">
        <f>-CF!#REF!</f>
        <v>#REF!</v>
      </c>
      <c r="W80" s="35" t="e">
        <f>-CF!#REF!</f>
        <v>#REF!</v>
      </c>
      <c r="X80" s="35" t="e">
        <f>-CF!#REF!</f>
        <v>#REF!</v>
      </c>
      <c r="Y80" s="35" t="e">
        <f>-CF!#REF!</f>
        <v>#REF!</v>
      </c>
      <c r="Z80" s="35" t="e">
        <f>-CF!#REF!</f>
        <v>#REF!</v>
      </c>
      <c r="AA80" s="35" t="e">
        <f>-CF!#REF!</f>
        <v>#REF!</v>
      </c>
      <c r="AB80" s="35" t="e">
        <f>-CF!#REF!</f>
        <v>#REF!</v>
      </c>
      <c r="AC80" s="35" t="e">
        <f>-CF!#REF!</f>
        <v>#REF!</v>
      </c>
      <c r="AD80" s="35" t="e">
        <f>-CF!#REF!</f>
        <v>#REF!</v>
      </c>
      <c r="AE80" s="35" t="e">
        <f>-CF!#REF!</f>
        <v>#REF!</v>
      </c>
      <c r="AF80" s="35" t="e">
        <f>-CF!#REF!</f>
        <v>#REF!</v>
      </c>
      <c r="AG80" s="37" t="e">
        <f t="shared" si="30"/>
        <v>#REF!</v>
      </c>
    </row>
    <row r="81" spans="1:33" x14ac:dyDescent="0.2">
      <c r="A81" s="4"/>
      <c r="B81" s="5"/>
      <c r="C81" s="5" t="s">
        <v>359</v>
      </c>
      <c r="D81" s="5"/>
      <c r="E81" s="5"/>
      <c r="F81" s="5"/>
      <c r="G81" s="38">
        <f>SUM(G71:G80)</f>
        <v>-7054.1</v>
      </c>
      <c r="H81" s="38">
        <f t="shared" ref="H81:W81" si="31">SUM(H71:H80)</f>
        <v>-6153.1819999999998</v>
      </c>
      <c r="I81" s="38">
        <f t="shared" si="31"/>
        <v>-5252.2456400000001</v>
      </c>
      <c r="J81" s="38" t="e">
        <f t="shared" si="31"/>
        <v>#REF!</v>
      </c>
      <c r="K81" s="38" t="e">
        <f t="shared" si="31"/>
        <v>#REF!</v>
      </c>
      <c r="L81" s="38" t="e">
        <f t="shared" si="31"/>
        <v>#REF!</v>
      </c>
      <c r="M81" s="38" t="e">
        <f t="shared" si="31"/>
        <v>#REF!</v>
      </c>
      <c r="N81" s="38" t="e">
        <f t="shared" si="31"/>
        <v>#REF!</v>
      </c>
      <c r="O81" s="38" t="e">
        <f t="shared" si="31"/>
        <v>#REF!</v>
      </c>
      <c r="P81" s="38" t="e">
        <f t="shared" si="31"/>
        <v>#REF!</v>
      </c>
      <c r="Q81" s="38" t="e">
        <f t="shared" si="31"/>
        <v>#REF!</v>
      </c>
      <c r="R81" s="38" t="e">
        <f t="shared" si="31"/>
        <v>#REF!</v>
      </c>
      <c r="S81" s="38" t="e">
        <f t="shared" si="31"/>
        <v>#REF!</v>
      </c>
      <c r="T81" s="38" t="e">
        <f t="shared" si="31"/>
        <v>#REF!</v>
      </c>
      <c r="U81" s="38" t="e">
        <f t="shared" si="31"/>
        <v>#REF!</v>
      </c>
      <c r="V81" s="38" t="e">
        <f t="shared" si="31"/>
        <v>#REF!</v>
      </c>
      <c r="W81" s="38" t="e">
        <f t="shared" si="31"/>
        <v>#REF!</v>
      </c>
      <c r="X81" s="38" t="e">
        <f t="shared" ref="X81:AF81" si="32">SUM(X71:X80)</f>
        <v>#REF!</v>
      </c>
      <c r="Y81" s="38" t="e">
        <f t="shared" si="32"/>
        <v>#REF!</v>
      </c>
      <c r="Z81" s="38" t="e">
        <f t="shared" si="32"/>
        <v>#REF!</v>
      </c>
      <c r="AA81" s="38" t="e">
        <f t="shared" si="32"/>
        <v>#REF!</v>
      </c>
      <c r="AB81" s="38" t="e">
        <f t="shared" si="32"/>
        <v>#REF!</v>
      </c>
      <c r="AC81" s="38" t="e">
        <f t="shared" si="32"/>
        <v>#REF!</v>
      </c>
      <c r="AD81" s="38" t="e">
        <f t="shared" si="32"/>
        <v>#REF!</v>
      </c>
      <c r="AE81" s="38" t="e">
        <f t="shared" si="32"/>
        <v>#REF!</v>
      </c>
      <c r="AF81" s="38" t="e">
        <f t="shared" si="32"/>
        <v>#REF!</v>
      </c>
      <c r="AG81" s="185" t="e">
        <f t="shared" si="30"/>
        <v>#REF!</v>
      </c>
    </row>
    <row r="82" spans="1:33" x14ac:dyDescent="0.2">
      <c r="A82" s="4"/>
      <c r="B82" s="5"/>
      <c r="C82" s="5"/>
      <c r="D82" s="5"/>
      <c r="E82" s="5"/>
      <c r="F82" s="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7" t="s">
        <v>6</v>
      </c>
    </row>
    <row r="83" spans="1:33" x14ac:dyDescent="0.2">
      <c r="A83" s="4" t="s">
        <v>360</v>
      </c>
      <c r="B83" s="5"/>
      <c r="C83" s="5"/>
      <c r="D83" s="5"/>
      <c r="E83" s="5"/>
      <c r="F83" s="5"/>
      <c r="G83" s="35">
        <f>G68+G81</f>
        <v>0</v>
      </c>
      <c r="H83" s="35">
        <f>H68+H81</f>
        <v>0</v>
      </c>
      <c r="I83" s="35">
        <f t="shared" ref="I83:X83" si="33">I68+I81</f>
        <v>0</v>
      </c>
      <c r="J83" s="35" t="e">
        <f t="shared" si="33"/>
        <v>#REF!</v>
      </c>
      <c r="K83" s="35" t="e">
        <f t="shared" si="33"/>
        <v>#REF!</v>
      </c>
      <c r="L83" s="35" t="e">
        <f t="shared" si="33"/>
        <v>#REF!</v>
      </c>
      <c r="M83" s="35" t="e">
        <f t="shared" si="33"/>
        <v>#REF!</v>
      </c>
      <c r="N83" s="35" t="e">
        <f t="shared" si="33"/>
        <v>#REF!</v>
      </c>
      <c r="O83" s="35" t="e">
        <f t="shared" si="33"/>
        <v>#REF!</v>
      </c>
      <c r="P83" s="35" t="e">
        <f t="shared" si="33"/>
        <v>#REF!</v>
      </c>
      <c r="Q83" s="35" t="e">
        <f t="shared" si="33"/>
        <v>#REF!</v>
      </c>
      <c r="R83" s="35" t="e">
        <f t="shared" si="33"/>
        <v>#REF!</v>
      </c>
      <c r="S83" s="35" t="e">
        <f t="shared" si="33"/>
        <v>#REF!</v>
      </c>
      <c r="T83" s="35" t="e">
        <f t="shared" si="33"/>
        <v>#REF!</v>
      </c>
      <c r="U83" s="35" t="e">
        <f t="shared" si="33"/>
        <v>#REF!</v>
      </c>
      <c r="V83" s="35" t="e">
        <f t="shared" si="33"/>
        <v>#REF!</v>
      </c>
      <c r="W83" s="35" t="e">
        <f t="shared" si="33"/>
        <v>#REF!</v>
      </c>
      <c r="X83" s="35" t="e">
        <f t="shared" si="33"/>
        <v>#REF!</v>
      </c>
      <c r="Y83" s="35" t="e">
        <f t="shared" ref="Y83:AF83" si="34">Y68+Y81</f>
        <v>#REF!</v>
      </c>
      <c r="Z83" s="35" t="e">
        <f t="shared" si="34"/>
        <v>#REF!</v>
      </c>
      <c r="AA83" s="35" t="e">
        <f t="shared" si="34"/>
        <v>#REF!</v>
      </c>
      <c r="AB83" s="35" t="e">
        <f t="shared" si="34"/>
        <v>#REF!</v>
      </c>
      <c r="AC83" s="35" t="e">
        <f t="shared" si="34"/>
        <v>#REF!</v>
      </c>
      <c r="AD83" s="35" t="e">
        <f t="shared" si="34"/>
        <v>#REF!</v>
      </c>
      <c r="AE83" s="35" t="e">
        <f t="shared" si="34"/>
        <v>#REF!</v>
      </c>
      <c r="AF83" s="35" t="e">
        <f t="shared" si="34"/>
        <v>#REF!</v>
      </c>
      <c r="AG83" s="37" t="e">
        <f>SUM(G83:AF83)</f>
        <v>#REF!</v>
      </c>
    </row>
    <row r="84" spans="1:33" x14ac:dyDescent="0.2">
      <c r="A84" s="4"/>
      <c r="B84" s="5"/>
      <c r="C84" s="5"/>
      <c r="D84" s="5"/>
      <c r="E84" s="5"/>
      <c r="F84" s="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7" t="s">
        <v>6</v>
      </c>
    </row>
    <row r="85" spans="1:33" x14ac:dyDescent="0.2">
      <c r="A85" s="4" t="s">
        <v>361</v>
      </c>
      <c r="B85" s="5"/>
      <c r="C85" s="5"/>
      <c r="D85" s="5"/>
      <c r="E85" s="5"/>
      <c r="F85" s="5"/>
      <c r="G85" s="35">
        <v>0</v>
      </c>
      <c r="H85" s="35">
        <f t="shared" ref="H85:AF85" si="35">G87</f>
        <v>0</v>
      </c>
      <c r="I85" s="35">
        <f t="shared" si="35"/>
        <v>0</v>
      </c>
      <c r="J85" s="35">
        <f t="shared" si="35"/>
        <v>0</v>
      </c>
      <c r="K85" s="35" t="e">
        <f t="shared" si="35"/>
        <v>#REF!</v>
      </c>
      <c r="L85" s="35" t="e">
        <f t="shared" si="35"/>
        <v>#REF!</v>
      </c>
      <c r="M85" s="35" t="e">
        <f t="shared" si="35"/>
        <v>#REF!</v>
      </c>
      <c r="N85" s="35" t="e">
        <f t="shared" si="35"/>
        <v>#REF!</v>
      </c>
      <c r="O85" s="35" t="e">
        <f t="shared" si="35"/>
        <v>#REF!</v>
      </c>
      <c r="P85" s="35" t="e">
        <f t="shared" si="35"/>
        <v>#REF!</v>
      </c>
      <c r="Q85" s="35" t="e">
        <f t="shared" si="35"/>
        <v>#REF!</v>
      </c>
      <c r="R85" s="35" t="e">
        <f t="shared" si="35"/>
        <v>#REF!</v>
      </c>
      <c r="S85" s="35" t="e">
        <f t="shared" si="35"/>
        <v>#REF!</v>
      </c>
      <c r="T85" s="35" t="e">
        <f t="shared" si="35"/>
        <v>#REF!</v>
      </c>
      <c r="U85" s="35" t="e">
        <f t="shared" si="35"/>
        <v>#REF!</v>
      </c>
      <c r="V85" s="35" t="e">
        <f t="shared" si="35"/>
        <v>#REF!</v>
      </c>
      <c r="W85" s="35" t="e">
        <f t="shared" si="35"/>
        <v>#REF!</v>
      </c>
      <c r="X85" s="35" t="e">
        <f t="shared" si="35"/>
        <v>#REF!</v>
      </c>
      <c r="Y85" s="35" t="e">
        <f t="shared" si="35"/>
        <v>#REF!</v>
      </c>
      <c r="Z85" s="35" t="e">
        <f t="shared" si="35"/>
        <v>#REF!</v>
      </c>
      <c r="AA85" s="35" t="e">
        <f t="shared" si="35"/>
        <v>#REF!</v>
      </c>
      <c r="AB85" s="35" t="e">
        <f t="shared" si="35"/>
        <v>#REF!</v>
      </c>
      <c r="AC85" s="35" t="e">
        <f t="shared" si="35"/>
        <v>#REF!</v>
      </c>
      <c r="AD85" s="35" t="e">
        <f t="shared" si="35"/>
        <v>#REF!</v>
      </c>
      <c r="AE85" s="35" t="e">
        <f t="shared" si="35"/>
        <v>#REF!</v>
      </c>
      <c r="AF85" s="35" t="e">
        <f t="shared" si="35"/>
        <v>#REF!</v>
      </c>
      <c r="AG85" s="37" t="e">
        <f>SUM(G85:AF85)</f>
        <v>#REF!</v>
      </c>
    </row>
    <row r="86" spans="1:33" x14ac:dyDescent="0.2">
      <c r="A86" s="4"/>
      <c r="B86" s="5"/>
      <c r="C86" s="5"/>
      <c r="D86" s="5"/>
      <c r="E86" s="5"/>
      <c r="F86" s="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7" t="s">
        <v>6</v>
      </c>
    </row>
    <row r="87" spans="1:33" x14ac:dyDescent="0.2">
      <c r="A87" s="6" t="s">
        <v>362</v>
      </c>
      <c r="B87" s="7"/>
      <c r="C87" s="7"/>
      <c r="D87" s="7"/>
      <c r="E87" s="7"/>
      <c r="F87" s="7"/>
      <c r="G87" s="44">
        <f>G83+G85</f>
        <v>0</v>
      </c>
      <c r="H87" s="44">
        <f t="shared" ref="H87:W87" si="36">H83+H85</f>
        <v>0</v>
      </c>
      <c r="I87" s="44">
        <f t="shared" si="36"/>
        <v>0</v>
      </c>
      <c r="J87" s="44" t="e">
        <f t="shared" si="36"/>
        <v>#REF!</v>
      </c>
      <c r="K87" s="44" t="e">
        <f t="shared" si="36"/>
        <v>#REF!</v>
      </c>
      <c r="L87" s="44" t="e">
        <f t="shared" si="36"/>
        <v>#REF!</v>
      </c>
      <c r="M87" s="44" t="e">
        <f t="shared" si="36"/>
        <v>#REF!</v>
      </c>
      <c r="N87" s="44" t="e">
        <f t="shared" si="36"/>
        <v>#REF!</v>
      </c>
      <c r="O87" s="44" t="e">
        <f t="shared" si="36"/>
        <v>#REF!</v>
      </c>
      <c r="P87" s="44" t="e">
        <f t="shared" si="36"/>
        <v>#REF!</v>
      </c>
      <c r="Q87" s="44" t="e">
        <f t="shared" si="36"/>
        <v>#REF!</v>
      </c>
      <c r="R87" s="44" t="e">
        <f t="shared" si="36"/>
        <v>#REF!</v>
      </c>
      <c r="S87" s="44" t="e">
        <f t="shared" si="36"/>
        <v>#REF!</v>
      </c>
      <c r="T87" s="44" t="e">
        <f t="shared" si="36"/>
        <v>#REF!</v>
      </c>
      <c r="U87" s="44" t="e">
        <f t="shared" si="36"/>
        <v>#REF!</v>
      </c>
      <c r="V87" s="44" t="e">
        <f t="shared" si="36"/>
        <v>#REF!</v>
      </c>
      <c r="W87" s="44" t="e">
        <f t="shared" si="36"/>
        <v>#REF!</v>
      </c>
      <c r="X87" s="44" t="e">
        <f t="shared" ref="X87:AF87" si="37">X83+X85</f>
        <v>#REF!</v>
      </c>
      <c r="Y87" s="44" t="e">
        <f t="shared" si="37"/>
        <v>#REF!</v>
      </c>
      <c r="Z87" s="44" t="e">
        <f t="shared" si="37"/>
        <v>#REF!</v>
      </c>
      <c r="AA87" s="44" t="e">
        <f t="shared" si="37"/>
        <v>#REF!</v>
      </c>
      <c r="AB87" s="44" t="e">
        <f t="shared" si="37"/>
        <v>#REF!</v>
      </c>
      <c r="AC87" s="44" t="e">
        <f t="shared" si="37"/>
        <v>#REF!</v>
      </c>
      <c r="AD87" s="44" t="e">
        <f t="shared" si="37"/>
        <v>#REF!</v>
      </c>
      <c r="AE87" s="44" t="e">
        <f t="shared" si="37"/>
        <v>#REF!</v>
      </c>
      <c r="AF87" s="44" t="e">
        <f t="shared" si="37"/>
        <v>#REF!</v>
      </c>
      <c r="AG87" s="45" t="e">
        <f>SUM(G87:AF87)</f>
        <v>#REF!</v>
      </c>
    </row>
  </sheetData>
  <printOptions horizontalCentered="1"/>
  <pageMargins left="0.5" right="1" top="0.75" bottom="0.75" header="0.5" footer="0.5"/>
  <pageSetup scale="3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97</vt:i4>
      </vt:variant>
    </vt:vector>
  </HeadingPairs>
  <TitlesOfParts>
    <vt:vector size="106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INT1</vt:lpstr>
      <vt:lpstr>INT2</vt:lpstr>
      <vt:lpstr>INT3</vt:lpstr>
      <vt:lpstr>INT4</vt:lpstr>
      <vt:lpstr>INT5</vt:lpstr>
      <vt:lpstr>INT6</vt:lpstr>
      <vt:lpstr>IR1A</vt:lpstr>
      <vt:lpstr>IR1B</vt:lpstr>
      <vt:lpstr>IR1TEMP</vt:lpstr>
      <vt:lpstr>IR2A</vt:lpstr>
      <vt:lpstr>IR2B</vt:lpstr>
      <vt:lpstr>IR2TEMP</vt:lpstr>
      <vt:lpstr>IR3A</vt:lpstr>
      <vt:lpstr>IR3B</vt:lpstr>
      <vt:lpstr>IR3TEMP</vt:lpstr>
      <vt:lpstr>IR4A</vt:lpstr>
      <vt:lpstr>IR4B</vt:lpstr>
      <vt:lpstr>IR4TEMP</vt:lpstr>
      <vt:lpstr>IR5A</vt:lpstr>
      <vt:lpstr>IR5B</vt:lpstr>
      <vt:lpstr>IR5TEMP</vt:lpstr>
      <vt:lpstr>IR6A</vt:lpstr>
      <vt:lpstr>IR6B</vt:lpstr>
      <vt:lpstr>IR6TEMP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2000-09-05T17:18:54Z</cp:lastPrinted>
  <dcterms:created xsi:type="dcterms:W3CDTF">1997-10-01T15:48:53Z</dcterms:created>
  <dcterms:modified xsi:type="dcterms:W3CDTF">2023-09-13T21:30:39Z</dcterms:modified>
</cp:coreProperties>
</file>