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7AFEBAF-B39B-40B8-905E-BB7620826DC1}" xr6:coauthVersionLast="47" xr6:coauthVersionMax="47" xr10:uidLastSave="{00000000-0000-0000-0000-000000000000}"/>
  <bookViews>
    <workbookView xWindow="-120" yWindow="-120" windowWidth="38640" windowHeight="15720" tabRatio="592" firstSheet="4" activeTab="5"/>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B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BL183" i="12"/>
  <c r="BP183" i="12"/>
  <c r="BR183"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<sst xmlns="http://schemas.openxmlformats.org/spreadsheetml/2006/main" count="1957" uniqueCount="567">
  <si>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</si>
  <si>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</si>
  <si>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</si>
  <si>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</si>
  <si>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</si>
  <si>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</si>
  <si>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</si>
  <si>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</si>
  <si>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</si>
  <si>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</si>
  <si>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</si>
  <si>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</si>
  <si>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</si>
  <si>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</si>
  <si>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</si>
  <si>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</si>
  <si>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</si>
  <si>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</si>
  <si>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</si>
  <si>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</si>
  <si>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</si>
  <si>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</si>
  <si>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</si>
  <si>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</si>
  <si>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</si>
  <si>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</si>
  <si>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</si>
  <si>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</si>
  <si>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</si>
  <si>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</si>
  <si>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</si>
  <si>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</si>
  <si>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</si>
  <si>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</si>
  <si>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</si>
  <si>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</si>
  <si>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</si>
  <si>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</si>
  <si>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</si>
  <si>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</si>
  <si>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</si>
  <si>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</si>
  <si>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</si>
  <si>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</si>
  <si>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</si>
  <si>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</si>
  <si>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</si>
  <si>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</si>
  <si>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</si>
  <si>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</si>
  <si>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</si>
  <si>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</si>
  <si>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</si>
  <si>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</si>
  <si>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</si>
  <si>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</si>
  <si>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</si>
  <si>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</si>
  <si>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</si>
  <si>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</si>
  <si>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</si>
  <si>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</si>
  <si>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</si>
  <si>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</si>
  <si>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</si>
  <si>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</si>
  <si>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</si>
  <si>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</si>
  <si>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</si>
  <si>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</si>
  <si>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</si>
  <si>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</si>
  <si>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</si>
  <si>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</si>
  <si>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</si>
  <si>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</si>
  <si>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</si>
  <si>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</si>
  <si>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</si>
  <si>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</si>
  <si>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</si>
  <si>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</si>
  <si>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</si>
  <si>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</si>
  <si>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</si>
  <si>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</si>
  <si>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</si>
  <si>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</si>
  <si>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</si>
  <si>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</si>
  <si>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</si>
  <si>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</si>
  <si>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</si>
  <si>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</si>
  <si>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</si>
  <si>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</si>
  <si>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</si>
  <si>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</si>
  <si>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</si>
  <si>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</si>
  <si>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</si>
  <si>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</si>
  <si>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</si>
  <si>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</si>
  <si>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</si>
  <si>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</si>
  <si>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</si>
  <si>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</si>
  <si>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</si>
  <si>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</si>
  <si>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</si>
  <si>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</si>
  <si>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</si>
  <si>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</si>
  <si>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</si>
  <si>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</si>
  <si>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</si>
  <si>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</si>
  <si>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</si>
  <si>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</si>
  <si>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</si>
  <si>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</si>
  <si>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</si>
  <si>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</si>
  <si>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</si>
  <si>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</si>
  <si>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</si>
  <si>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</si>
  <si>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</si>
  <si>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</si>
  <si>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</si>
  <si>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</si>
  <si>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</si>
  <si>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</si>
  <si>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</si>
  <si>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</si>
  <si>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</si>
  <si>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</si>
  <si>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</si>
  <si>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</si>
  <si>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</si>
  <si>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</si>
  <si>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</si>
  <si>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</si>
  <si>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</si>
  <si>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</si>
  <si>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</si>
  <si>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</si>
  <si>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</si>
  <si>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</si>
  <si>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</si>
  <si>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</si>
  <si>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</si>
  <si>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</si>
  <si>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</si>
  <si>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</si>
  <si>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</si>
  <si>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</si>
  <si>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</si>
  <si>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</si>
  <si>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</si>
  <si>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</si>
  <si>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</si>
  <si>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</si>
  <si>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</si>
  <si>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</si>
  <si>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</si>
  <si>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</si>
  <si>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</si>
  <si>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</si>
  <si>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</si>
  <si>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</si>
  <si>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</si>
  <si>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</si>
  <si>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</si>
  <si>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</si>
  <si>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</si>
  <si>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</si>
  <si>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</si>
  <si>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</si>
  <si>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</si>
  <si>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</si>
  <si>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</si>
  <si>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</si>
  <si>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</si>
  <si>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</si>
  <si>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</si>
  <si>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</si>
  <si>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</si>
  <si>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</si>
  <si>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</si>
  <si>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</si>
  <si>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</si>
  <si>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</si>
  <si>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</si>
  <si>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</si>
  <si>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</si>
  <si>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</si>
  <si>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</si>
  <si>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</si>
  <si>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</si>
  <si>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</si>
  <si>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</si>
  <si>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</si>
  <si>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</si>
  <si>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</si>
  <si>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</si>
  <si>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</si>
  <si>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</si>
  <si>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</si>
  <si>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</si>
  <si>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</si>
  <si>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</si>
  <si>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</si>
  <si>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</si>
  <si>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</si>
  <si>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</si>
  <si>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</si>
  <si>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</si>
  <si>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</si>
  <si>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</si>
  <si>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</si>
  <si>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</si>
  <si>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</si>
  <si>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</si>
  <si>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</si>
  <si>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</si>
  <si>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</si>
  <si>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</si>
  <si>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</si>
  <si>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</si>
  <si>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</si>
  <si>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</si>
  <si>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</si>
  <si>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</si>
  <si>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</si>
  <si>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</si>
  <si>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</si>
  <si>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</si>
  <si>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</si>
  <si>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</si>
  <si>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</si>
  <si>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</si>
  <si>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</si>
  <si>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</si>
  <si>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</si>
  <si>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</si>
  <si>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</si>
  <si>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</si>
  <si>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</si>
  <si>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</si>
  <si>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</si>
  <si>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</si>
  <si>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</si>
  <si>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</si>
  <si>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</si>
  <si>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</si>
  <si>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</si>
  <si>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</si>
  <si>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</si>
  <si>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</si>
  <si>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</si>
  <si>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</si>
  <si>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</si>
  <si>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</si>
  <si>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</si>
  <si>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</si>
  <si>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</si>
  <si>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</si>
  <si>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</si>
  <si>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</si>
  <si>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</si>
  <si>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</si>
  <si>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</si>
  <si>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</si>
  <si>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</si>
  <si>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</si>
  <si>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</si>
  <si>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</si>
  <si>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</si>
  <si>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</si>
  <si>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</si>
  <si>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</si>
  <si>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</si>
  <si>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</si>
  <si>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</si>
  <si>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</si>
  <si>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</si>
  <si>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</si>
  <si>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</si>
  <si>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</si>
  <si>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</si>
  <si>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</si>
  <si>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</si>
  <si>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</si>
  <si>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</si>
  <si>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</si>
  <si>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</si>
  <si>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</si>
  <si>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</si>
  <si>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</si>
  <si>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</si>
  <si>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</si>
  <si>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</si>
  <si>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</si>
  <si>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</si>
  <si>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</si>
  <si>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</si>
  <si>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</si>
  <si>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</si>
  <si>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</si>
  <si>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</si>
  <si>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</si>
  <si>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</si>
  <si>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</si>
  <si>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</si>
  <si>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</si>
  <si>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</si>
  <si>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</si>
  <si>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</si>
  <si>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</si>
  <si>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</si>
  <si>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</si>
  <si>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</si>
  <si>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</si>
  <si>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</si>
  <si>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</si>
  <si>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</si>
  <si>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</si>
  <si>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</si>
  <si>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</si>
  <si>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</si>
  <si>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</si>
  <si>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</si>
  <si>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</si>
  <si>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</si>
  <si>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</si>
  <si>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</si>
  <si>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</si>
  <si>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</si>
  <si>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</si>
  <si>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</si>
  <si>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</si>
  <si>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</si>
  <si>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</si>
  <si>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</si>
  <si>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</si>
  <si>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</si>
  <si>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</si>
  <si>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</si>
  <si>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</si>
  <si>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</si>
  <si>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</si>
  <si>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</si>
  <si>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</si>
  <si>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</si>
  <si>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</si>
  <si>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</si>
  <si>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</si>
  <si>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</si>
  <si>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</si>
  <si>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</si>
  <si>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</si>
  <si>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</si>
  <si>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</si>
  <si>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</si>
  <si>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</si>
  <si>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</si>
  <si>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</si>
  <si>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</si>
  <si>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</si>
  <si>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</si>
  <si>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</si>
  <si>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</si>
  <si>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</si>
  <si>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</si>
  <si>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</si>
  <si>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</si>
  <si>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</si>
  <si>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</si>
  <si>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</si>
  <si>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</si>
  <si>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</si>
  <si>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</si>
  <si>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</si>
  <si>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</si>
  <si>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</si>
  <si>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</si>
  <si>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</si>
  <si>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</si>
  <si>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</si>
  <si>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</si>
  <si>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</si>
  <si>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</si>
  <si>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</si>
  <si>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</si>
  <si>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</si>
  <si>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</si>
  <si>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</si>
  <si>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</si>
  <si>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</si>
  <si>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</si>
  <si>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</si>
  <si>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</si>
  <si>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</si>
  <si>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</si>
  <si>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</si>
  <si>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</si>
  <si>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</si>
  <si>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</si>
  <si>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</si>
  <si>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</si>
  <si>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</si>
  <si>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</si>
  <si>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</si>
  <si>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</si>
  <si>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</si>
  <si>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</si>
  <si>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</si>
  <si>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</si>
  <si>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</si>
  <si>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</si>
  <si>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</si>
  <si>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</si>
  <si>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</si>
  <si>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</si>
  <si>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</si>
  <si>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</si>
  <si>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</si>
  <si>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</si>
  <si>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</si>
  <si>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</si>
  <si>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</si>
  <si>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</si>
  <si>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</si>
  <si>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</si>
  <si>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</si>
  <si>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</si>
  <si>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</si>
  <si>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</si>
  <si>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</si>
  <si>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</si>
  <si>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</si>
  <si>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</si>
  <si>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</si>
  <si>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</si>
  <si>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</si>
  <si>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</si>
  <si>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</si>
  <si>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</si>
  <si>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</si>
  <si>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</si>
  <si>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</si>
  <si>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</si>
  <si>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</si>
  <si>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</si>
  <si>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</si>
  <si>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</si>
  <si>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</si>
  <si>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</si>
  <si>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</si>
  <si>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</si>
  <si>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</si>
  <si>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</si>
  <si>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</si>
  <si>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</si>
  <si>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</si>
  <si>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</si>
  <si>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</si>
  <si>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</si>
  <si>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</si>
  <si>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</si>
  <si>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</si>
  <si>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</si>
  <si>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</si>
  <si>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</si>
  <si>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</si>
  <si>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</si>
  <si>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</si>
  <si>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</si>
  <si>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</si>
  <si>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</si>
  <si>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</si>
  <si>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</si>
  <si>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</si>
  <si>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</si>
  <si>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</si>
  <si>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</si>
  <si>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</si>
  <si>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</si>
  <si>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</si>
  <si>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</si>
  <si>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</si>
  <si>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</si>
  <si>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</si>
  <si>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</si>
  <si>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</si>
  <si>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</si>
  <si>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</si>
  <si>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</si>
  <si>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</si>
  <si>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</si>
  <si>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</si>
  <si>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</si>
  <si>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</si>
  <si>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</si>
  <si>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</si>
  <si>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</si>
  <si>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</si>
  <si>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</si>
  <si>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</si>
  <si>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</si>
  <si>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</si>
  <si>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</si>
  <si>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</si>
  <si>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</si>
  <si>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</si>
  <si>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</si>
  <si>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</si>
  <si>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</si>
  <si>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</si>
  <si>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</si>
  <si>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</si>
  <si>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</si>
  <si>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</si>
  <si>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</si>
  <si>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</si>
  <si>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</si>
  <si>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</si>
  <si>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</si>
  <si>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</si>
  <si>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</si>
  <si>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</si>
  <si>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</si>
  <si>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</si>
  <si>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</si>
  <si>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</si>
  <si>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</si>
  <si>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</si>
  <si>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</si>
  <si>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</si>
  <si>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</si>
  <si>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</si>
  <si>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</si>
  <si>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</si>
  <si>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</si>
  <si>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</si>
  <si>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</si>
  <si>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</si>
  <si>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</si>
  <si>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</si>
  <si>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</si>
  <si>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</si>
  <si>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</si>
  <si>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</si>
  <si>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</si>
  <si>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</si>
  <si>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</si>
  <si>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</si>
  <si>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</si>
  <si>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</si>
  <si>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Revision # 56</t>
  </si>
  <si>
    <r>
      <t xml:space="preserve">SWAG - Acceleration Trend calculations- </t>
    </r>
    <r>
      <rPr>
        <sz val="10"/>
        <color indexed="10"/>
        <rFont val="Arial"/>
        <family val="2"/>
      </rPr>
      <t>not approved</t>
    </r>
  </si>
  <si>
    <t>As of 5/31/00</t>
  </si>
  <si>
    <t xml:space="preserve"> As of 5/31/00</t>
  </si>
  <si>
    <t>Electrical Interconnect - Not TVA</t>
  </si>
  <si>
    <t>Property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</si>
</sst>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5D366A80-E09B-E5B3-3A10-3FB65394842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E463E8C9-E31B-920F-9C77-4A17DBB4221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6264EF2C-51A5-EB9D-918E-5DF9A8C55AC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 val="Wilton Turbines Only"/>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T39">
            <v>1330970.160947216</v>
          </cell>
          <cell r="Y39">
            <v>12405916.601571627</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10993160.937312059</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720660.56077082257</v>
          </cell>
          <cell r="Y39">
            <v>9614898.1697652675</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6" customWidth="1"/>
    <col min="14" max="14" width="15.28515625" style="376"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6.25">
      <c r="A4" s="257"/>
      <c r="B4" s="257" t="s">
        <v>338</v>
      </c>
      <c r="C4" s="255"/>
      <c r="D4" s="255"/>
      <c r="E4" s="255"/>
      <c r="F4" s="255"/>
      <c r="G4" s="255"/>
      <c r="H4" s="258"/>
      <c r="I4" s="258"/>
      <c r="J4" s="258"/>
      <c r="K4" s="258"/>
      <c r="L4" s="378"/>
      <c r="M4" s="378"/>
      <c r="N4" s="378"/>
      <c r="O4" s="255"/>
      <c r="P4" s="255"/>
      <c r="Q4" s="255"/>
    </row>
    <row r="5" spans="1:17" ht="20.25">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84" t="s">
        <v>340</v>
      </c>
      <c r="B7" s="487" t="s">
        <v>341</v>
      </c>
      <c r="C7" s="487" t="s">
        <v>342</v>
      </c>
      <c r="D7" s="487" t="s">
        <v>343</v>
      </c>
      <c r="E7" s="487" t="s">
        <v>344</v>
      </c>
      <c r="F7" s="487" t="s">
        <v>345</v>
      </c>
      <c r="G7" s="490" t="s">
        <v>346</v>
      </c>
      <c r="H7" s="490" t="s">
        <v>347</v>
      </c>
      <c r="I7" s="490" t="s">
        <v>348</v>
      </c>
      <c r="J7" s="490" t="s">
        <v>349</v>
      </c>
      <c r="K7" s="490" t="s">
        <v>350</v>
      </c>
      <c r="L7" s="379" t="s">
        <v>374</v>
      </c>
      <c r="M7" s="379"/>
      <c r="N7" s="379"/>
      <c r="O7" s="487" t="s">
        <v>351</v>
      </c>
      <c r="P7" s="493" t="s">
        <v>352</v>
      </c>
      <c r="Q7" s="260"/>
    </row>
    <row r="8" spans="1:17">
      <c r="A8" s="485"/>
      <c r="B8" s="488"/>
      <c r="C8" s="488"/>
      <c r="D8" s="488"/>
      <c r="E8" s="488"/>
      <c r="F8" s="488"/>
      <c r="G8" s="491"/>
      <c r="H8" s="491"/>
      <c r="I8" s="491"/>
      <c r="J8" s="491"/>
      <c r="K8" s="491"/>
      <c r="L8" s="380" t="s">
        <v>355</v>
      </c>
      <c r="M8" s="380" t="s">
        <v>502</v>
      </c>
      <c r="N8" s="380" t="s">
        <v>506</v>
      </c>
      <c r="O8" s="488"/>
      <c r="P8" s="494"/>
      <c r="Q8" s="261"/>
    </row>
    <row r="9" spans="1:17" ht="32.25" thickBot="1">
      <c r="A9" s="486"/>
      <c r="B9" s="489"/>
      <c r="C9" s="489"/>
      <c r="D9" s="489"/>
      <c r="E9" s="489"/>
      <c r="F9" s="489"/>
      <c r="G9" s="492"/>
      <c r="H9" s="492"/>
      <c r="I9" s="492"/>
      <c r="J9" s="492"/>
      <c r="K9" s="492"/>
      <c r="L9" s="381"/>
      <c r="M9" s="381" t="s">
        <v>505</v>
      </c>
      <c r="N9" s="381" t="s">
        <v>507</v>
      </c>
      <c r="O9" s="489"/>
      <c r="P9" s="495"/>
      <c r="Q9" s="262"/>
    </row>
    <row r="10" spans="1:17" ht="16.5"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10.25">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75">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94.5">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7.25">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78.75">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ht="31.5">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5"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7.25">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2.75">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2.75">
      <c r="A65" s="30"/>
      <c r="B65" s="30"/>
      <c r="L65"/>
      <c r="M65"/>
      <c r="N65"/>
    </row>
    <row r="66" spans="1:14" ht="12.75">
      <c r="A66" s="30"/>
      <c r="B66" s="30"/>
      <c r="L66"/>
      <c r="M66"/>
      <c r="N66"/>
    </row>
    <row r="67" spans="1:14" ht="18.75" thickBot="1">
      <c r="B67" s="438" t="s">
        <v>514</v>
      </c>
      <c r="C67" s="439"/>
      <c r="D67" s="439"/>
      <c r="E67" s="439"/>
      <c r="F67" s="439"/>
      <c r="G67" s="439"/>
      <c r="H67" s="451">
        <f>H64+L45</f>
        <v>12216266</v>
      </c>
      <c r="L67"/>
      <c r="M67"/>
      <c r="N67"/>
    </row>
    <row r="68" spans="1:14" ht="16.5"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9">
      <c r="A8" s="485"/>
      <c r="B8" s="488"/>
      <c r="C8" s="488"/>
      <c r="D8" s="488"/>
      <c r="E8" s="488"/>
      <c r="F8" s="488"/>
      <c r="G8" s="491"/>
      <c r="H8" s="491"/>
      <c r="I8" s="491"/>
      <c r="J8" s="491"/>
      <c r="K8" s="491"/>
      <c r="L8" s="488"/>
      <c r="M8" s="494"/>
      <c r="N8" s="261"/>
    </row>
    <row r="9" spans="1:19" ht="13.5" thickBot="1">
      <c r="A9" s="486"/>
      <c r="B9" s="489"/>
      <c r="C9" s="489"/>
      <c r="D9" s="489"/>
      <c r="E9" s="489"/>
      <c r="F9" s="489"/>
      <c r="G9" s="492"/>
      <c r="H9" s="492"/>
      <c r="I9" s="492"/>
      <c r="J9" s="492"/>
      <c r="K9" s="492"/>
      <c r="L9" s="489"/>
      <c r="M9" s="495"/>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110.25">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1.75">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75">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5"/>
      <c r="C18" s="278"/>
      <c r="D18" s="279"/>
      <c r="E18" s="279"/>
      <c r="F18" s="278"/>
      <c r="G18" s="280"/>
      <c r="H18" s="280"/>
      <c r="I18" s="281"/>
      <c r="J18" s="281"/>
      <c r="K18" s="281"/>
      <c r="L18" s="278"/>
      <c r="M18" s="282"/>
      <c r="N18" s="283"/>
    </row>
    <row r="19" spans="1:14" ht="15.75">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75" thickBot="1">
      <c r="B46" s="438" t="s">
        <v>514</v>
      </c>
      <c r="C46" s="439"/>
      <c r="D46" s="439"/>
      <c r="E46" s="439"/>
      <c r="F46" s="439"/>
      <c r="G46" s="439"/>
      <c r="H46" s="440">
        <f>H31+H43</f>
        <v>6992800</v>
      </c>
    </row>
    <row r="47" spans="1:8"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4">
      <c r="A8" s="485"/>
      <c r="B8" s="488"/>
      <c r="C8" s="488"/>
      <c r="D8" s="488"/>
      <c r="E8" s="488"/>
      <c r="F8" s="488"/>
      <c r="G8" s="491"/>
      <c r="H8" s="491"/>
      <c r="I8" s="491"/>
      <c r="J8" s="491"/>
      <c r="K8" s="491"/>
      <c r="L8" s="488"/>
      <c r="M8" s="494"/>
      <c r="N8" s="261"/>
    </row>
    <row r="9" spans="1:14" ht="13.5" thickBot="1">
      <c r="A9" s="486"/>
      <c r="B9" s="489"/>
      <c r="C9" s="489"/>
      <c r="D9" s="489"/>
      <c r="E9" s="489"/>
      <c r="F9" s="489"/>
      <c r="G9" s="492"/>
      <c r="H9" s="492"/>
      <c r="I9" s="492"/>
      <c r="J9" s="492"/>
      <c r="K9" s="492"/>
      <c r="L9" s="489"/>
      <c r="M9" s="495"/>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75">
      <c r="A15" s="277"/>
      <c r="B15" s="355"/>
      <c r="C15" s="278"/>
      <c r="D15" s="279"/>
      <c r="E15" s="279"/>
      <c r="F15" s="278"/>
      <c r="G15" s="280"/>
      <c r="H15" s="280"/>
      <c r="I15" s="281"/>
      <c r="J15" s="281"/>
      <c r="K15" s="281"/>
      <c r="L15" s="278"/>
      <c r="M15" s="282"/>
      <c r="N15" s="283"/>
    </row>
    <row r="16" spans="1:14" ht="15.75">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75">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75" thickBot="1">
      <c r="B43" s="438" t="s">
        <v>514</v>
      </c>
      <c r="C43" s="439"/>
      <c r="D43" s="439"/>
      <c r="E43" s="439"/>
      <c r="F43" s="439"/>
      <c r="G43" s="439"/>
      <c r="H43" s="440">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4">
        <v>19947.871999999999</v>
      </c>
      <c r="J45" s="20">
        <f>I45+10717.074</f>
        <v>30664.946</v>
      </c>
    </row>
    <row r="46" spans="1:79" ht="16.5"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opLeftCell="A49" zoomScale="90" zoomScaleNormal="90" zoomScaleSheetLayoutView="100" workbookViewId="0">
      <selection activeCell="A89" sqref="A89"/>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36682.702451504629</v>
      </c>
    </row>
    <row r="3" spans="1:74" ht="15.75">
      <c r="A3" s="178" t="s">
        <v>189</v>
      </c>
      <c r="G3" s="176"/>
      <c r="J3" s="177"/>
      <c r="O3" s="176"/>
      <c r="BV3" t="str">
        <f>Summary!A5</f>
        <v>Revision # 56</v>
      </c>
    </row>
    <row r="4" spans="1:74" ht="15.75">
      <c r="A4" s="174" t="s">
        <v>185</v>
      </c>
      <c r="J4" s="177" t="s">
        <v>125</v>
      </c>
      <c r="O4" s="98" t="s">
        <v>564</v>
      </c>
    </row>
    <row r="5" spans="1:74" ht="15.75">
      <c r="A5" s="178" t="s">
        <v>561</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5/31/00</v>
      </c>
      <c r="H9" s="182"/>
      <c r="I9" s="53" t="str">
        <f>+O4</f>
        <v xml:space="preserve"> As of 5/31/00</v>
      </c>
      <c r="J9" s="182"/>
      <c r="K9" s="90" t="str">
        <f>+O4</f>
        <v xml:space="preserve"> As of 5/31/00</v>
      </c>
      <c r="M9" s="28" t="s">
        <v>143</v>
      </c>
      <c r="O9" s="28" t="s">
        <v>46</v>
      </c>
    </row>
    <row r="10" spans="1:74">
      <c r="A10" s="180"/>
      <c r="C10" s="27"/>
      <c r="E10" s="180"/>
      <c r="G10" s="183"/>
      <c r="H10" s="182"/>
      <c r="I10" s="180"/>
      <c r="J10" s="182"/>
      <c r="K10" s="184"/>
      <c r="M10" s="180"/>
      <c r="O10" s="180"/>
    </row>
    <row r="11" spans="1:74">
      <c r="A11" s="185" t="s">
        <v>254</v>
      </c>
      <c r="C11" s="455">
        <v>608</v>
      </c>
      <c r="E11" s="187">
        <f>Wilton!R177/1000</f>
        <v>239675.46775000001</v>
      </c>
      <c r="F11" s="186"/>
      <c r="G11" s="188">
        <f>Wilton!BL177/1000</f>
        <v>247554.21681869202</v>
      </c>
      <c r="H11" s="182"/>
      <c r="I11" s="187">
        <f>K11-G11</f>
        <v>9582.549102879595</v>
      </c>
      <c r="J11" s="182"/>
      <c r="K11" s="189">
        <f>Wilton!BR177/1000</f>
        <v>257136.76592157161</v>
      </c>
      <c r="M11" s="187">
        <f>+E11-K11</f>
        <v>-17461.298171571601</v>
      </c>
      <c r="O11" s="190">
        <f>+G11/K11</f>
        <v>0.96273364849816023</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149251.33395487463</v>
      </c>
      <c r="H13" s="182"/>
      <c r="I13" s="187">
        <f>K13-G13</f>
        <v>25778.023262437433</v>
      </c>
      <c r="J13" s="182"/>
      <c r="K13" s="189">
        <f>Gleason!BT225/1000</f>
        <v>175029.35721731206</v>
      </c>
      <c r="M13" s="187">
        <f>+E13-K13</f>
        <v>-4454.3472173120535</v>
      </c>
      <c r="O13" s="190">
        <f>+G13/K13</f>
        <v>0.85272171667503704</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134398.99621794833</v>
      </c>
      <c r="H15" s="182"/>
      <c r="I15" s="187">
        <f>K15-G15</f>
        <v>25689.913881816901</v>
      </c>
      <c r="J15" s="182"/>
      <c r="K15" s="189">
        <f>Wheatland!BR176/1000</f>
        <v>160088.91009976523</v>
      </c>
      <c r="M15" s="187">
        <f>+E15-K15</f>
        <v>-1637.6619997652306</v>
      </c>
      <c r="O15" s="190">
        <f>+G15/K15</f>
        <v>0.83952721106160755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531204.54699151497</v>
      </c>
      <c r="H17" s="202"/>
      <c r="I17" s="201">
        <f>SUM(I11:I15)</f>
        <v>61050.486247133929</v>
      </c>
      <c r="J17" s="182"/>
      <c r="K17" s="204">
        <f>SUM(K11:K15)</f>
        <v>592255.0332386489</v>
      </c>
      <c r="L17" s="182"/>
      <c r="M17" s="201">
        <f>SUM(M10:M15)</f>
        <v>-23553.307388648886</v>
      </c>
      <c r="N17" s="182"/>
      <c r="O17" s="205">
        <f>+G17/K17</f>
        <v>0.89691858604680919</v>
      </c>
    </row>
    <row r="18" spans="1:29" ht="13.5" thickBot="1">
      <c r="A18" s="206" t="s">
        <v>50</v>
      </c>
      <c r="B18" s="200"/>
      <c r="C18" s="206"/>
      <c r="D18" s="182"/>
      <c r="E18" s="207">
        <f>E17/C17</f>
        <v>358.35017381852555</v>
      </c>
      <c r="F18" s="202"/>
      <c r="G18" s="208"/>
      <c r="H18" s="209"/>
      <c r="I18" s="210"/>
      <c r="J18" s="211"/>
      <c r="K18" s="212">
        <f>+K17/C17</f>
        <v>373.19157734004341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5/31/00</v>
      </c>
      <c r="H22" s="182"/>
      <c r="I22" s="53" t="str">
        <f>I9</f>
        <v xml:space="preserve"> As of 5/31/00</v>
      </c>
      <c r="J22" s="182"/>
      <c r="K22" s="90" t="str">
        <f>K9</f>
        <v xml:space="preserve"> As of 5/31/00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5/31/00</v>
      </c>
      <c r="H35" s="182"/>
      <c r="I35" s="53" t="str">
        <f>O4</f>
        <v xml:space="preserve"> As of 5/31/00</v>
      </c>
      <c r="J35" s="182"/>
      <c r="K35" s="90" t="str">
        <f>O4</f>
        <v xml:space="preserve"> As of 5/31/00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5" thickBot="1"/>
    <row r="45" spans="1:29" ht="13.5"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Wilton!BT88/1000-C73</f>
        <v>-10133.993999999999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-199.75228000000027</v>
      </c>
      <c r="E62" s="175" t="s">
        <v>443</v>
      </c>
    </row>
    <row r="63" spans="1:15">
      <c r="A63" s="182"/>
      <c r="C63" s="226">
        <f>Wilton!BT140/1000</f>
        <v>-200</v>
      </c>
      <c r="E63" s="175" t="s">
        <v>513</v>
      </c>
    </row>
    <row r="64" spans="1:15">
      <c r="A64" s="182"/>
      <c r="C64" s="226">
        <f>Wilton!BT170/1000</f>
        <v>402.20739842837304</v>
      </c>
      <c r="E64" s="175" t="s">
        <v>512</v>
      </c>
    </row>
    <row r="65" spans="1:12">
      <c r="A65" s="182"/>
      <c r="C65" s="226">
        <f>(Wilton!BT161-Wilton!BT160-Wilton!BT159)/1000</f>
        <v>-554.21935999999994</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-393.91972000000004</v>
      </c>
      <c r="D70" s="246"/>
      <c r="E70" s="246" t="s">
        <v>442</v>
      </c>
      <c r="F70" s="246"/>
      <c r="G70" s="246"/>
      <c r="H70" s="246"/>
      <c r="I70" s="246"/>
      <c r="J70" s="246"/>
      <c r="K70" s="246"/>
    </row>
    <row r="71" spans="1:12">
      <c r="A71" s="182"/>
      <c r="C71" s="479">
        <f>SUM(C57:C70)</f>
        <v>-17381.297921571626</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562</v>
      </c>
      <c r="L73" s="182"/>
    </row>
    <row r="74" spans="1:12" ht="13.5" thickBot="1">
      <c r="A74" s="182"/>
      <c r="C74" s="319">
        <f>SUM(C71:C73)</f>
        <v>-31381.297921571626</v>
      </c>
      <c r="D74" s="314"/>
      <c r="E74" s="315" t="s">
        <v>417</v>
      </c>
      <c r="F74" s="314"/>
      <c r="G74" s="316"/>
      <c r="H74" s="317"/>
      <c r="I74" s="318"/>
      <c r="J74" s="314"/>
      <c r="K74" s="314"/>
      <c r="L74" s="182"/>
    </row>
    <row r="75" spans="1:12" ht="13.5" thickTop="1">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-4967.5065599999989</v>
      </c>
      <c r="D78" s="182"/>
      <c r="E78" s="175" t="s">
        <v>415</v>
      </c>
      <c r="F78" s="215"/>
      <c r="G78" s="215"/>
      <c r="H78" s="215"/>
      <c r="I78" s="215"/>
      <c r="J78" s="182"/>
      <c r="K78" s="182"/>
    </row>
    <row r="79" spans="1:12">
      <c r="A79" s="225"/>
      <c r="C79" s="313">
        <f>Gleason!BV16/1000</f>
        <v>-1981.0440000000001</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346.88306268794088</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-241.81810000000007</v>
      </c>
      <c r="E86" s="175" t="s">
        <v>484</v>
      </c>
      <c r="F86" s="215"/>
      <c r="G86" s="215"/>
      <c r="H86" s="215"/>
      <c r="I86" s="215"/>
      <c r="J86" s="182"/>
      <c r="K86" s="182"/>
    </row>
    <row r="87" spans="1:15">
      <c r="A87" s="225"/>
      <c r="C87" s="313">
        <f>Gleason!BV200/1000</f>
        <v>-310.96911999999992</v>
      </c>
      <c r="E87" s="175" t="s">
        <v>527</v>
      </c>
      <c r="F87" s="215"/>
      <c r="G87" s="215"/>
      <c r="H87" s="215"/>
      <c r="I87" s="215"/>
      <c r="J87" s="182"/>
      <c r="K87" s="182"/>
    </row>
    <row r="88" spans="1:15">
      <c r="A88" s="225"/>
      <c r="C88" s="313">
        <f>Gleason!BV215/1000</f>
        <v>5423.4979999999996</v>
      </c>
      <c r="D88" s="182"/>
      <c r="E88" s="182" t="s">
        <v>324</v>
      </c>
      <c r="F88" s="215"/>
      <c r="G88" s="215"/>
      <c r="H88" s="215"/>
      <c r="I88" s="215"/>
      <c r="J88" s="182"/>
      <c r="K88" s="182"/>
    </row>
    <row r="89" spans="1:15" s="30" customFormat="1">
      <c r="A89" s="225"/>
      <c r="B89" s="182"/>
      <c r="C89" s="245">
        <f>Gleason!BV105/1000+1</f>
        <v>251</v>
      </c>
      <c r="D89" s="246"/>
      <c r="E89" s="366" t="s">
        <v>446</v>
      </c>
      <c r="F89" s="312"/>
      <c r="G89" s="312"/>
      <c r="H89" s="312"/>
      <c r="I89" s="312"/>
      <c r="J89" s="246"/>
      <c r="K89" s="246"/>
      <c r="L89" s="182"/>
      <c r="M89" s="182"/>
      <c r="N89" s="182"/>
      <c r="O89" s="182"/>
    </row>
    <row r="90" spans="1:15">
      <c r="A90" s="225"/>
      <c r="C90" s="452">
        <f>SUM(C77:C89)</f>
        <v>-4374.0111873120568</v>
      </c>
      <c r="D90" s="182"/>
      <c r="E90" s="320" t="s">
        <v>414</v>
      </c>
      <c r="F90" s="215"/>
      <c r="G90" s="215"/>
      <c r="H90" s="215"/>
      <c r="I90" s="215"/>
      <c r="J90" s="182"/>
      <c r="K90" s="182"/>
    </row>
    <row r="91" spans="1:15">
      <c r="A91" s="182"/>
      <c r="C91" s="226"/>
      <c r="E91" s="217"/>
      <c r="F91" s="217"/>
      <c r="G91" s="217"/>
      <c r="H91" s="217"/>
      <c r="I91" s="217"/>
    </row>
    <row r="92" spans="1:15">
      <c r="A92" s="182"/>
      <c r="C92" s="226">
        <f>Gleason!BT93/1000</f>
        <v>-3387.761</v>
      </c>
      <c r="E92" s="175" t="s">
        <v>528</v>
      </c>
    </row>
    <row r="93" spans="1:15" ht="13.5" thickBot="1">
      <c r="A93" s="182"/>
      <c r="C93" s="319">
        <f>SUM(C90:C92)</f>
        <v>-7761.7721873120572</v>
      </c>
      <c r="D93" s="314"/>
      <c r="E93" s="315" t="s">
        <v>417</v>
      </c>
      <c r="F93" s="314"/>
      <c r="G93" s="316"/>
      <c r="H93" s="317"/>
      <c r="I93" s="318"/>
      <c r="J93" s="314"/>
      <c r="K93" s="314"/>
    </row>
    <row r="94" spans="1:15" ht="13.5" thickTop="1">
      <c r="A94" s="182"/>
      <c r="C94" s="226"/>
      <c r="E94" s="217"/>
      <c r="F94" s="217"/>
      <c r="G94" s="217"/>
      <c r="H94" s="217"/>
      <c r="I94" s="217"/>
    </row>
    <row r="95" spans="1:15">
      <c r="A95" s="225" t="s">
        <v>194</v>
      </c>
      <c r="C95" s="226">
        <f>Wheatland!BT159/1000</f>
        <v>-168.35607999999999</v>
      </c>
      <c r="E95" s="217" t="s">
        <v>279</v>
      </c>
    </row>
    <row r="96" spans="1:15">
      <c r="C96" s="226">
        <f>Wheatland!BT91/1000</f>
        <v>-2735.05</v>
      </c>
      <c r="E96" s="175" t="s">
        <v>416</v>
      </c>
    </row>
    <row r="97" spans="1:15">
      <c r="A97" s="229"/>
      <c r="B97" s="230"/>
      <c r="C97" s="226">
        <f>Wheatland!BT12/1000</f>
        <v>-297.80099999999999</v>
      </c>
      <c r="D97" s="230"/>
      <c r="E97" s="175" t="s">
        <v>322</v>
      </c>
      <c r="F97" s="230"/>
      <c r="G97" s="230"/>
      <c r="H97" s="230"/>
      <c r="I97" s="230"/>
      <c r="J97" s="230"/>
      <c r="K97" s="230"/>
      <c r="L97" s="230"/>
      <c r="M97" s="230"/>
      <c r="N97" s="230"/>
    </row>
    <row r="98" spans="1:15">
      <c r="C98" s="226">
        <f>Wheatland!BT32/1000</f>
        <v>-428.48060000000055</v>
      </c>
      <c r="E98" s="175" t="s">
        <v>325</v>
      </c>
    </row>
    <row r="99" spans="1:15">
      <c r="C99" s="226">
        <f>Wheatland!BT130/1000</f>
        <v>-1142.8025700000001</v>
      </c>
      <c r="E99" s="175" t="s">
        <v>403</v>
      </c>
    </row>
    <row r="100" spans="1:15">
      <c r="C100" s="226">
        <f>Wheatland!BT157/1000</f>
        <v>-110.03763999999995</v>
      </c>
      <c r="E100" s="175" t="s">
        <v>527</v>
      </c>
    </row>
    <row r="101" spans="1:15">
      <c r="C101" s="226">
        <f>Wheatland!BT158/1000</f>
        <v>-195.04080999999999</v>
      </c>
      <c r="E101" s="175" t="s">
        <v>451</v>
      </c>
    </row>
    <row r="102" spans="1:15">
      <c r="C102" s="226">
        <f>Wheatland!BT167/1000</f>
        <v>-301.67212999999998</v>
      </c>
      <c r="E102" s="175" t="s">
        <v>450</v>
      </c>
    </row>
    <row r="103" spans="1:15">
      <c r="C103" s="226">
        <f>Wheatland!BT169/1000</f>
        <v>417.42683023473251</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SUM(C95:C104)</f>
        <v>-1637.6618997652677</v>
      </c>
      <c r="D105" s="182"/>
      <c r="E105" s="424" t="s">
        <v>417</v>
      </c>
      <c r="F105" s="182"/>
      <c r="G105" s="182"/>
      <c r="H105" s="182"/>
      <c r="I105" s="182"/>
      <c r="J105" s="182"/>
      <c r="K105" s="182"/>
    </row>
    <row r="107" spans="1:15">
      <c r="C107" s="226">
        <f>Wheatland!BR87/1000</f>
        <v>-3953.393</v>
      </c>
      <c r="E107" s="175" t="s">
        <v>528</v>
      </c>
    </row>
    <row r="108" spans="1:15" ht="13.5" thickBot="1">
      <c r="A108"/>
      <c r="B108"/>
      <c r="C108" s="319">
        <f>C105+C107</f>
        <v>-5591.0548997652677</v>
      </c>
      <c r="D108" s="314"/>
      <c r="E108" s="315" t="s">
        <v>417</v>
      </c>
      <c r="F108" s="314"/>
      <c r="G108" s="316"/>
      <c r="H108" s="317"/>
      <c r="I108" s="318"/>
      <c r="J108" s="314"/>
      <c r="K108" s="314"/>
      <c r="L108"/>
      <c r="M108"/>
      <c r="N108"/>
      <c r="O108"/>
    </row>
    <row r="109" spans="1:15" ht="13.5" thickTop="1">
      <c r="A109"/>
      <c r="B109"/>
      <c r="C109"/>
      <c r="D109"/>
      <c r="E109"/>
      <c r="F109"/>
      <c r="G109"/>
      <c r="H109"/>
      <c r="I109"/>
      <c r="J109"/>
      <c r="K109"/>
      <c r="L109"/>
      <c r="M109"/>
      <c r="N109"/>
      <c r="O109"/>
    </row>
    <row r="110" spans="1:15">
      <c r="B110" s="26"/>
      <c r="C110" s="177"/>
    </row>
    <row r="111" spans="1:15">
      <c r="A111" s="218" t="str">
        <f ca="1">CELL("FILENAME")</f>
        <v>O:\Fin_Ops\Engysvc\PowerPlants\2000 Plants\JE's\[Gas Purchases.xls]ECT_Form</v>
      </c>
      <c r="B111" s="177"/>
      <c r="C111"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tabSelected="1" zoomScale="80" zoomScaleNormal="66" workbookViewId="0">
      <pane xSplit="19" ySplit="8" topLeftCell="BP166" activePane="bottomRight" state="frozen"/>
      <selection activeCell="K27" sqref="K27"/>
      <selection pane="topRight" activeCell="K27" sqref="K27"/>
      <selection pane="bottomLeft" activeCell="K27" sqref="K27"/>
      <selection pane="bottomRight" activeCell="BR177" sqref="BR17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customWidth="1"/>
    <col min="18" max="18" width="21.28515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1.7109375" style="6" hidden="1" customWidth="1"/>
    <col min="47" max="47" width="6.42578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28515625"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t="s">
        <v>563</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Plants\JE's\[Gas Purchases.xls]ECT_Form</v>
      </c>
    </row>
    <row r="3" spans="1:74" s="18" customFormat="1" ht="15.75">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36682.702451504629</v>
      </c>
      <c r="BR3" s="23"/>
      <c r="BT3" s="78" t="str">
        <f>Summary!A5</f>
        <v>Revision # 56</v>
      </c>
      <c r="BV3" s="18" t="str">
        <f>Summary!A5</f>
        <v>Revision # 56</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c r="AJ7" s="82" t="str">
        <f>+Summary!$O$4</f>
        <v xml:space="preserve"> As of 5/31/00</v>
      </c>
      <c r="AK7"/>
      <c r="AL7" s="82" t="str">
        <f>+Summary!$O$4</f>
        <v xml:space="preserve"> As of 5/31/00</v>
      </c>
      <c r="AM7"/>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c r="BA7" s="82"/>
      <c r="BB7" s="82"/>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K15" s="6"/>
      <c r="BL15" s="6">
        <f>SUM(T15:BK15)</f>
        <v>6342648</v>
      </c>
      <c r="BM15" s="6"/>
      <c r="BN15" s="6">
        <f>5916048-5878600+220650+206600</f>
        <v>464698</v>
      </c>
      <c r="BO15" s="6"/>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E31" s="12"/>
      <c r="BF31" s="101">
        <f>SUM(BF14:BF30)</f>
        <v>0</v>
      </c>
      <c r="BG31" s="12"/>
      <c r="BH31" s="101">
        <f>SUM(BH14:BH30)</f>
        <v>0</v>
      </c>
      <c r="BI31" s="12"/>
      <c r="BJ31" s="101">
        <f>SUM(BJ14:BJ30)</f>
        <v>0</v>
      </c>
      <c r="BK31" s="6"/>
      <c r="BL31" s="101">
        <f>SUM(BL14:BL30)</f>
        <v>6342648</v>
      </c>
      <c r="BM31" s="6"/>
      <c r="BN31" s="101">
        <f>SUM(BN14:BN30)</f>
        <v>464698</v>
      </c>
      <c r="BO31" s="6"/>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s="115"/>
      <c r="BF33" s="115">
        <f>+BF31+BF12</f>
        <v>0</v>
      </c>
      <c r="BG33" s="115"/>
      <c r="BH33" s="115">
        <f>+BH31+BH12</f>
        <v>0</v>
      </c>
      <c r="BI33" s="115"/>
      <c r="BJ33" s="115">
        <f>+BJ31+BJ12</f>
        <v>0</v>
      </c>
      <c r="BK33" s="115"/>
      <c r="BL33" s="115">
        <f>+BL31+BL12</f>
        <v>148407588.44</v>
      </c>
      <c r="BM33" s="115"/>
      <c r="BN33" s="115">
        <f>+BN31+BN12</f>
        <v>2296698</v>
      </c>
      <c r="BO33" s="115"/>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77933.33</v>
      </c>
      <c r="BD91" s="6">
        <v>0</v>
      </c>
      <c r="BF91" s="6">
        <v>0</v>
      </c>
      <c r="BH91" s="6">
        <v>0</v>
      </c>
      <c r="BJ91" s="6">
        <v>0</v>
      </c>
      <c r="BK91" s="6"/>
      <c r="BL91" s="6">
        <f t="shared" ref="BL91:BL96" si="22">SUM(T91:BK91)</f>
        <v>862266.00333333318</v>
      </c>
      <c r="BM91" s="6"/>
      <c r="BN91" s="6">
        <v>5000</v>
      </c>
      <c r="BO91" s="6"/>
      <c r="BP91" s="6">
        <f t="shared" ref="BP91:BP97" si="23">IF(+R91-BL91+BN91&gt;0,R91-BL91+BN91,0)</f>
        <v>77933.996666666819</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235400</v>
      </c>
      <c r="BD92" s="6">
        <v>0</v>
      </c>
      <c r="BF92" s="6">
        <v>0</v>
      </c>
      <c r="BH92" s="6">
        <v>0</v>
      </c>
      <c r="BJ92" s="6">
        <v>0</v>
      </c>
      <c r="BK92" s="6"/>
      <c r="BL92" s="6">
        <f t="shared" si="22"/>
        <v>2589394</v>
      </c>
      <c r="BM92" s="6"/>
      <c r="BN92" s="6">
        <v>0</v>
      </c>
      <c r="BO92" s="6"/>
      <c r="BP92" s="6">
        <f t="shared" si="23"/>
        <v>235406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313333.33</v>
      </c>
      <c r="BC98" s="117"/>
      <c r="BD98" s="116">
        <f>SUM(BD91:BD97)</f>
        <v>0</v>
      </c>
      <c r="BE98" s="117"/>
      <c r="BF98" s="116">
        <f>SUM(BF91:BF97)</f>
        <v>0</v>
      </c>
      <c r="BG98" s="117"/>
      <c r="BH98" s="116">
        <f>SUM(BH91:BH97)</f>
        <v>0</v>
      </c>
      <c r="BI98" s="117"/>
      <c r="BJ98" s="116">
        <f>SUM(BJ91:BJ97)</f>
        <v>0</v>
      </c>
      <c r="BK98" s="115"/>
      <c r="BL98" s="116">
        <f>SUM(BL91:BL97)</f>
        <v>3451660.0033333329</v>
      </c>
      <c r="BM98" s="115"/>
      <c r="BN98" s="116">
        <f>SUM(BN91:BN97)</f>
        <v>5000</v>
      </c>
      <c r="BO98" s="115"/>
      <c r="BP98" s="116">
        <f>SUM(BP91:BP97)</f>
        <v>313339.99666666682</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37000</v>
      </c>
      <c r="BD113" s="6">
        <v>0</v>
      </c>
      <c r="BF113" s="6">
        <v>0</v>
      </c>
      <c r="BH113" s="6">
        <v>0</v>
      </c>
      <c r="BJ113" s="6">
        <v>0</v>
      </c>
      <c r="BK113" s="6"/>
      <c r="BL113" s="6">
        <f>SUM(T113:BK113)</f>
        <v>148000</v>
      </c>
      <c r="BM113" s="6"/>
      <c r="BN113" s="6">
        <v>0</v>
      </c>
      <c r="BO113" s="6"/>
      <c r="BP113" s="6">
        <f>IF(+R113-BL113+BN113&gt;0,R113-BL113+BN113,0)</f>
        <v>37000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194341.7</v>
      </c>
      <c r="BD114" s="6">
        <v>0</v>
      </c>
      <c r="BF114" s="6">
        <v>0</v>
      </c>
      <c r="BH114" s="6">
        <v>0</v>
      </c>
      <c r="BJ114" s="6">
        <v>0</v>
      </c>
      <c r="BK114" s="6"/>
      <c r="BL114" s="6">
        <f>SUM(T114:BK114)</f>
        <v>413705.53</v>
      </c>
      <c r="BM114" s="6"/>
      <c r="BN114" s="6">
        <v>0</v>
      </c>
      <c r="BO114" s="6"/>
      <c r="BP114" s="6">
        <f>+R114-BL114+BN114</f>
        <v>310080.46999999997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231341.7</v>
      </c>
      <c r="BC116" s="10"/>
      <c r="BD116" s="102">
        <f>SUM(BD113:BD115)</f>
        <v>0</v>
      </c>
      <c r="BE116" s="10"/>
      <c r="BF116" s="102">
        <f>SUM(BF113:BF115)</f>
        <v>0</v>
      </c>
      <c r="BG116" s="10"/>
      <c r="BH116" s="102">
        <f>SUM(BH113:BH115)</f>
        <v>0</v>
      </c>
      <c r="BI116" s="10"/>
      <c r="BJ116" s="102">
        <f>SUM(BJ113:BJ115)</f>
        <v>0</v>
      </c>
      <c r="BK116" s="9"/>
      <c r="BL116" s="102">
        <f>SUM(BL113:BL115)</f>
        <v>561705.53</v>
      </c>
      <c r="BM116" s="9"/>
      <c r="BN116" s="102">
        <f>SUM(BN113:BN115)</f>
        <v>0</v>
      </c>
      <c r="BO116" s="9"/>
      <c r="BP116" s="102">
        <f>SUM(BP113:BP115)</f>
        <v>347080.47</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6527.91</v>
      </c>
      <c r="BC120" s="9"/>
      <c r="BD120" s="9">
        <v>0</v>
      </c>
      <c r="BE120" s="9"/>
      <c r="BF120" s="9">
        <v>0</v>
      </c>
      <c r="BG120" s="9"/>
      <c r="BH120" s="9">
        <v>0</v>
      </c>
      <c r="BI120" s="9"/>
      <c r="BJ120" s="9">
        <v>0</v>
      </c>
      <c r="BK120" s="9"/>
      <c r="BL120" s="9">
        <f>SUM(T120:BK120)</f>
        <v>393919.72000000003</v>
      </c>
      <c r="BM120" s="9"/>
      <c r="BN120" s="9">
        <v>0</v>
      </c>
      <c r="BO120" s="9"/>
      <c r="BP120" s="6">
        <f>IF(+R120-BL120+BN120&gt;0,R120-BL120+BN120,0)</f>
        <v>0</v>
      </c>
      <c r="BQ120" s="9"/>
      <c r="BR120" s="9">
        <f>+BL120+BP120</f>
        <v>393919.72000000003</v>
      </c>
      <c r="BS120" s="9"/>
      <c r="BT120" s="9">
        <f>+R120-BR120</f>
        <v>-393919.72000000003</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1662</v>
      </c>
      <c r="BD129" s="6">
        <v>0</v>
      </c>
      <c r="BF129" s="6">
        <v>0</v>
      </c>
      <c r="BH129" s="6">
        <v>0</v>
      </c>
      <c r="BJ129" s="6">
        <v>0</v>
      </c>
      <c r="BK129" s="6"/>
      <c r="BL129" s="6">
        <f>SUM(T129:BK129)</f>
        <v>2445812.2800000003</v>
      </c>
      <c r="BM129" s="6"/>
      <c r="BN129" s="6">
        <v>25818</v>
      </c>
      <c r="BO129" s="6"/>
      <c r="BP129" s="6">
        <f>IF(+R129-BL129+BN129&gt;0,R129-BL129+BN129,0)</f>
        <v>0</v>
      </c>
      <c r="BR129" s="6">
        <f>+BL129+BP129</f>
        <v>2445812.2800000003</v>
      </c>
      <c r="BT129" s="6">
        <f>+R129-BR129</f>
        <v>-194312.28000000026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1662</v>
      </c>
      <c r="BC131" s="10"/>
      <c r="BD131" s="102">
        <f>SUM(BD127:BD130)</f>
        <v>0</v>
      </c>
      <c r="BE131" s="10"/>
      <c r="BF131" s="102">
        <f>SUM(BF127:BF130)</f>
        <v>0</v>
      </c>
      <c r="BG131" s="10"/>
      <c r="BH131" s="102">
        <f>SUM(BH127:BH130)</f>
        <v>0</v>
      </c>
      <c r="BI131" s="10"/>
      <c r="BJ131" s="102">
        <f>SUM(BJ127:BJ130)</f>
        <v>0</v>
      </c>
      <c r="BK131" s="9"/>
      <c r="BL131" s="102">
        <f>SUM(BL127:BL130)</f>
        <v>2474312.2800000003</v>
      </c>
      <c r="BM131" s="9"/>
      <c r="BN131" s="102">
        <f>SUM(BN127:BN130)</f>
        <v>25818</v>
      </c>
      <c r="BO131" s="9"/>
      <c r="BP131" s="102">
        <f>SUM(BP127:BP130)</f>
        <v>0</v>
      </c>
      <c r="BQ131" s="9"/>
      <c r="BR131" s="102">
        <f>SUM(BR127:BR130)</f>
        <v>2474312.2800000003</v>
      </c>
      <c r="BS131" s="9"/>
      <c r="BT131" s="102">
        <f>SUM(BT127:BT130)</f>
        <v>-194312.28000000026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-1595</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-1595</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4210113.22</v>
      </c>
      <c r="BC142" s="9"/>
      <c r="BD142" s="9">
        <v>0</v>
      </c>
      <c r="BE142" s="9"/>
      <c r="BF142" s="9">
        <v>0</v>
      </c>
      <c r="BG142" s="9"/>
      <c r="BH142" s="9">
        <v>0</v>
      </c>
      <c r="BI142" s="9"/>
      <c r="BJ142" s="9">
        <v>0</v>
      </c>
      <c r="BK142" s="9"/>
      <c r="BL142" s="9">
        <f>SUM(T142:BK142)</f>
        <v>4210113.22</v>
      </c>
      <c r="BM142" s="9"/>
      <c r="BN142" s="9">
        <f>4500000+2900000</f>
        <v>7400000</v>
      </c>
      <c r="BO142" s="9"/>
      <c r="BP142" s="6">
        <f>IF(+R142-BL142+BN142&gt;0,R142-BL142+BN142,0)</f>
        <v>6689886.7800000003</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310380</v>
      </c>
      <c r="BA146" s="22"/>
      <c r="BB146" s="22">
        <v>0</v>
      </c>
      <c r="BC146" s="22"/>
      <c r="BD146" s="22">
        <v>0</v>
      </c>
      <c r="BE146" s="22"/>
      <c r="BF146" s="22">
        <v>0</v>
      </c>
      <c r="BG146" s="22"/>
      <c r="BH146" s="22">
        <v>0</v>
      </c>
      <c r="BI146" s="22"/>
      <c r="BJ146" s="22">
        <v>0</v>
      </c>
      <c r="BK146" s="22"/>
      <c r="BL146" s="22">
        <f>SUM(T146:BK146)</f>
        <v>310380</v>
      </c>
      <c r="BM146" s="22"/>
      <c r="BN146" s="22">
        <v>0</v>
      </c>
      <c r="BO146" s="22"/>
      <c r="BP146" s="6">
        <f>IF(+R146-BL146+BN146&gt;0,R146-BL146+BN146,0)</f>
        <v>1189620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310380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310380</v>
      </c>
      <c r="BM148" s="16"/>
      <c r="BN148" s="108">
        <f>SUM(BN145:BN147)</f>
        <v>0</v>
      </c>
      <c r="BO148" s="16"/>
      <c r="BP148" s="108">
        <f>SUM(BP145:BP147)</f>
        <v>1189620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1428.68</v>
      </c>
      <c r="BC156" s="12"/>
      <c r="BD156" s="12">
        <v>0</v>
      </c>
      <c r="BE156" s="12"/>
      <c r="BF156" s="12">
        <v>0</v>
      </c>
      <c r="BG156" s="12"/>
      <c r="BH156" s="12">
        <v>0</v>
      </c>
      <c r="BI156" s="12"/>
      <c r="BJ156" s="12">
        <v>0</v>
      </c>
      <c r="BK156" s="12"/>
      <c r="BL156" s="80">
        <f t="shared" si="27"/>
        <v>78498.36</v>
      </c>
      <c r="BM156" s="12"/>
      <c r="BN156" s="12">
        <v>6683</v>
      </c>
      <c r="BO156" s="12"/>
      <c r="BP156" s="6">
        <f t="shared" si="28"/>
        <v>0</v>
      </c>
      <c r="BQ156" s="12"/>
      <c r="BR156" s="6">
        <f t="shared" si="29"/>
        <v>78498.36</v>
      </c>
      <c r="BS156" s="12"/>
      <c r="BT156" s="6">
        <f t="shared" si="30"/>
        <v>-33498.36</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57477.71</v>
      </c>
      <c r="BC158" s="12"/>
      <c r="BD158" s="12">
        <v>0</v>
      </c>
      <c r="BE158" s="12"/>
      <c r="BF158" s="12">
        <v>0</v>
      </c>
      <c r="BG158" s="12"/>
      <c r="BH158" s="12">
        <v>0</v>
      </c>
      <c r="BI158" s="12"/>
      <c r="BJ158" s="12">
        <v>0</v>
      </c>
      <c r="BK158" s="12"/>
      <c r="BL158" s="80">
        <f t="shared" si="27"/>
        <v>279784</v>
      </c>
      <c r="BM158" s="12"/>
      <c r="BN158" s="12">
        <v>106842</v>
      </c>
      <c r="BO158" s="12"/>
      <c r="BP158" s="6">
        <f t="shared" si="28"/>
        <v>0</v>
      </c>
      <c r="BQ158" s="12"/>
      <c r="BR158" s="6">
        <f t="shared" si="29"/>
        <v>279784</v>
      </c>
      <c r="BS158" s="12"/>
      <c r="BT158" s="6">
        <f t="shared" si="30"/>
        <v>-145191</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58906.39</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1166884.27</v>
      </c>
      <c r="BM161" s="102">
        <f t="shared" ref="BM161:BT161" si="33">SUM(BM155:BM160)</f>
        <v>0</v>
      </c>
      <c r="BN161" s="102">
        <f t="shared" si="33"/>
        <v>402684</v>
      </c>
      <c r="BO161" s="102">
        <f t="shared" si="33"/>
        <v>0</v>
      </c>
      <c r="BP161" s="102">
        <f t="shared" si="33"/>
        <v>0.97999999998137355</v>
      </c>
      <c r="BQ161" s="102">
        <f t="shared" si="33"/>
        <v>0</v>
      </c>
      <c r="BR161" s="102">
        <f t="shared" si="33"/>
        <v>1166885.25</v>
      </c>
      <c r="BS161" s="102">
        <f t="shared" si="33"/>
        <v>0</v>
      </c>
      <c r="BT161" s="102">
        <f t="shared" si="33"/>
        <v>-952292.25</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1292974</v>
      </c>
      <c r="BA170" s="10"/>
      <c r="BB170" s="10">
        <f>[2]Wilton!$T$39</f>
        <v>1330970.160947216</v>
      </c>
      <c r="BC170" s="10"/>
      <c r="BD170" s="10">
        <v>0</v>
      </c>
      <c r="BE170" s="10"/>
      <c r="BF170" s="10">
        <v>0</v>
      </c>
      <c r="BG170" s="10"/>
      <c r="BH170" s="10">
        <v>0</v>
      </c>
      <c r="BI170" s="10"/>
      <c r="BJ170" s="10">
        <v>0</v>
      </c>
      <c r="BK170" s="10"/>
      <c r="BL170" s="10">
        <f>SUM(T170:BK170)</f>
        <v>11022919.20535869</v>
      </c>
      <c r="BM170" s="10"/>
      <c r="BN170" s="10">
        <v>0</v>
      </c>
      <c r="BO170" s="10"/>
      <c r="BP170" s="6">
        <f>IF(+R170-BL170+BN170&gt;0,R170-BL170+BN170,0)-R170+[2]Wilton!$Y$39</f>
        <v>1382997.3962129373</v>
      </c>
      <c r="BQ170" s="10"/>
      <c r="BR170" s="9">
        <f>+BL170+BP170</f>
        <v>12405916.601571627</v>
      </c>
      <c r="BS170" s="10"/>
      <c r="BT170" s="9">
        <f>+R170-BR170</f>
        <v>402207.39842837304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 t="shared" ref="R172:AW172" si="34">R170+R161+R152+R150+R148+R142+R138+R131+R124+R122+R120+R183+R116+R168+R140</f>
        <v>24972135</v>
      </c>
      <c r="S172" s="120">
        <f t="shared" si="34"/>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ref="AX172:BT172" si="35">AX170+AX161+AX152+AX150+AX148+AX142+AX138+AX131+AX124+AX122+AX120+AX183+AX116+AX168+AX140</f>
        <v>1568800.3344909456</v>
      </c>
      <c r="AY172" s="120">
        <f t="shared" si="35"/>
        <v>0</v>
      </c>
      <c r="AZ172" s="120">
        <f t="shared" si="35"/>
        <v>1875329.53</v>
      </c>
      <c r="BA172" s="120">
        <f t="shared" si="35"/>
        <v>0</v>
      </c>
      <c r="BB172" s="120">
        <f t="shared" si="35"/>
        <v>5917926.3809472164</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21972207.375358693</v>
      </c>
      <c r="BM172" s="120">
        <f t="shared" si="35"/>
        <v>0</v>
      </c>
      <c r="BN172" s="120">
        <f t="shared" si="35"/>
        <v>8028502</v>
      </c>
      <c r="BO172" s="120">
        <f t="shared" si="35"/>
        <v>0</v>
      </c>
      <c r="BP172" s="120">
        <f t="shared" si="35"/>
        <v>12241165.106212938</v>
      </c>
      <c r="BQ172" s="120">
        <f t="shared" si="35"/>
        <v>0</v>
      </c>
      <c r="BR172" s="120">
        <f t="shared" si="35"/>
        <v>34213372.48157163</v>
      </c>
      <c r="BS172" s="120">
        <f t="shared" si="35"/>
        <v>0</v>
      </c>
      <c r="BT172" s="120">
        <f t="shared" si="35"/>
        <v>-9161237.4815716278</v>
      </c>
      <c r="BU172" s="120">
        <f>BU170+BU161+BU152+BU150+BU148+BU142+BU138+BU131+BU124+BU122+BU120+BU183+BU116+BU168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S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22126233.530000001</v>
      </c>
      <c r="BA177" s="168">
        <f t="shared" si="37"/>
        <v>0</v>
      </c>
      <c r="BB177" s="168">
        <f t="shared" si="37"/>
        <v>6822214.5109472163</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247554216.81869203</v>
      </c>
      <c r="BM177" s="168">
        <f t="shared" si="37"/>
        <v>2030320</v>
      </c>
      <c r="BN177" s="168">
        <f t="shared" si="37"/>
        <v>29809740</v>
      </c>
      <c r="BO177" s="168">
        <f t="shared" si="37"/>
        <v>2030320</v>
      </c>
      <c r="BP177" s="168">
        <f t="shared" si="37"/>
        <v>24767178.102879606</v>
      </c>
      <c r="BQ177" s="168">
        <f t="shared" si="37"/>
        <v>2030320</v>
      </c>
      <c r="BR177" s="168">
        <f t="shared" si="37"/>
        <v>257136765.92157161</v>
      </c>
      <c r="BS177" s="168">
        <f t="shared" si="37"/>
        <v>2030320</v>
      </c>
      <c r="BT177" s="168">
        <f>BT33+BT98+BT88+BT107+BT172+BT174</f>
        <v>-31381298.171571627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422922.31237100594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v>100</v>
      </c>
      <c r="BC182" s="10"/>
      <c r="BD182" s="10"/>
      <c r="BE182" s="10"/>
      <c r="BF182" s="10"/>
      <c r="BG182" s="10"/>
      <c r="BH182" s="10"/>
      <c r="BI182" s="10"/>
      <c r="BJ182" s="10"/>
      <c r="BK182" s="9"/>
      <c r="BL182" s="10">
        <f>SUM(T182:BK182)</f>
        <v>1289</v>
      </c>
      <c r="BM182" s="9"/>
      <c r="BN182" s="10">
        <v>0</v>
      </c>
      <c r="BO182" s="9"/>
      <c r="BP182" s="6">
        <f>IF(+R182-BL182+BN182&gt;0,R182-BL182+BN182,0)</f>
        <v>0</v>
      </c>
      <c r="BQ182" s="9"/>
      <c r="BR182" s="9">
        <f>+BL182+BP182</f>
        <v>1289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62" t="s">
        <v>566</v>
      </c>
      <c r="B183" s="58"/>
      <c r="J183" s="8" t="s">
        <v>0</v>
      </c>
      <c r="L183" s="143" t="s">
        <v>202</v>
      </c>
      <c r="M183" s="9"/>
      <c r="N183" s="9">
        <v>0</v>
      </c>
      <c r="O183" s="9"/>
      <c r="P183" s="9">
        <v>0</v>
      </c>
      <c r="Q183" s="9"/>
      <c r="R183" s="9">
        <v>0</v>
      </c>
      <c r="S183" s="9"/>
      <c r="T183" s="9">
        <v>0</v>
      </c>
      <c r="U183" s="9"/>
      <c r="V183" s="9">
        <v>0</v>
      </c>
      <c r="W183" s="9"/>
      <c r="X183" s="9">
        <v>0</v>
      </c>
      <c r="Y183" s="9"/>
      <c r="Z183" s="9">
        <v>0</v>
      </c>
      <c r="AA183" s="9"/>
      <c r="AB183" s="9">
        <v>0</v>
      </c>
      <c r="AC183" s="9"/>
      <c r="AD183" s="9">
        <v>0</v>
      </c>
      <c r="AE183" s="9"/>
      <c r="AF183" s="9">
        <v>0</v>
      </c>
      <c r="AG183" s="9"/>
      <c r="AH183" s="9">
        <v>0</v>
      </c>
      <c r="AI183"/>
      <c r="AJ183" s="9">
        <v>0</v>
      </c>
      <c r="AK183"/>
      <c r="AL183" s="9">
        <v>0</v>
      </c>
      <c r="AM183"/>
      <c r="AN183" s="9">
        <v>0</v>
      </c>
      <c r="AO183" s="9"/>
      <c r="AP183" s="9">
        <v>0</v>
      </c>
      <c r="AQ183" s="9"/>
      <c r="AR183" s="9">
        <v>0</v>
      </c>
      <c r="AS183" s="9"/>
      <c r="AT183" s="9">
        <v>0</v>
      </c>
      <c r="AU183" s="9"/>
      <c r="AV183" s="9">
        <v>0</v>
      </c>
      <c r="AW183" s="9"/>
      <c r="AX183" s="9">
        <v>0</v>
      </c>
      <c r="AY183" s="9"/>
      <c r="AZ183" s="9">
        <v>0</v>
      </c>
      <c r="BA183" s="9"/>
      <c r="BB183" s="9">
        <v>80000</v>
      </c>
      <c r="BC183" s="9"/>
      <c r="BD183" s="9">
        <v>0</v>
      </c>
      <c r="BE183" s="9"/>
      <c r="BF183" s="9">
        <v>0</v>
      </c>
      <c r="BG183" s="9"/>
      <c r="BH183" s="9">
        <v>0</v>
      </c>
      <c r="BI183" s="9"/>
      <c r="BJ183" s="9">
        <v>0</v>
      </c>
      <c r="BK183" s="9"/>
      <c r="BL183" s="9">
        <f>SUM(T183:BK183)</f>
        <v>80000</v>
      </c>
      <c r="BM183" s="9"/>
      <c r="BN183" s="9">
        <v>0</v>
      </c>
      <c r="BO183" s="9"/>
      <c r="BP183" s="6">
        <f>IF(+R183-BL183+BN183&gt;0,R183-BL183+BN183,0)</f>
        <v>0</v>
      </c>
      <c r="BQ183" s="9"/>
      <c r="BR183" s="9">
        <f>+BL183+BP183</f>
        <v>80000</v>
      </c>
      <c r="BS183" s="9"/>
      <c r="BT183" s="9"/>
      <c r="BU183" s="9"/>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K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22126233.530000001</v>
      </c>
      <c r="BA186" s="10">
        <f t="shared" si="38"/>
        <v>0</v>
      </c>
      <c r="BB186" s="10">
        <f t="shared" si="38"/>
        <v>6822314.5109472163</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BL177+BL180+BL182+BL184+BL183</f>
        <v>247479687.32869202</v>
      </c>
      <c r="BM186" s="10">
        <f t="shared" ref="BM186:BT186" si="39">BM177+BM180+BM182+BM184+BM183</f>
        <v>2030320</v>
      </c>
      <c r="BN186" s="10">
        <f t="shared" si="39"/>
        <v>29809740</v>
      </c>
      <c r="BO186" s="10">
        <f t="shared" si="39"/>
        <v>2030320</v>
      </c>
      <c r="BP186" s="10">
        <f t="shared" si="39"/>
        <v>24767178.102879606</v>
      </c>
      <c r="BQ186" s="10">
        <f t="shared" si="39"/>
        <v>2030320</v>
      </c>
      <c r="BR186" s="10">
        <f t="shared" si="39"/>
        <v>257062236.4315716</v>
      </c>
      <c r="BS186" s="10">
        <f t="shared" si="39"/>
        <v>2030320</v>
      </c>
      <c r="BT186" s="10">
        <f t="shared" si="39"/>
        <v>-31381298.171571627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40">SUM(T190:BK190)</f>
        <v>39986.36</v>
      </c>
      <c r="BM190" s="6"/>
      <c r="BN190" s="22"/>
      <c r="BO190" s="6"/>
      <c r="BP190" s="6">
        <f>IF(+R190-BL190+BN190&gt;0,R190-BL190+BN190,0)</f>
        <v>0</v>
      </c>
      <c r="BR190" s="9">
        <f t="shared" ref="BR190:BR195" si="41">+BP190+BL190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40"/>
        <v>118573.59</v>
      </c>
      <c r="BM191" s="6"/>
      <c r="BN191" s="22"/>
      <c r="BO191" s="6"/>
      <c r="BP191" s="6">
        <f>IF(+R191-BL191+BN191&gt;0,R191-BL191+BN191,0)</f>
        <v>0</v>
      </c>
      <c r="BR191" s="9">
        <f t="shared" si="41"/>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40"/>
        <v>53464.32</v>
      </c>
      <c r="BM192" s="6"/>
      <c r="BN192" s="22"/>
      <c r="BO192" s="6"/>
      <c r="BP192" s="6">
        <f>IF(+R192-BL192+BN192&gt;0,R192-BL192+BN192,0)</f>
        <v>0</v>
      </c>
      <c r="BR192" s="9">
        <f t="shared" si="41"/>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40"/>
        <v>102500</v>
      </c>
      <c r="BM193" s="6"/>
      <c r="BN193" s="22"/>
      <c r="BO193" s="6"/>
      <c r="BP193" s="6">
        <f>IF(+R193-BL193+BN193&gt;0,R193-BL193+BN193,0)</f>
        <v>0</v>
      </c>
      <c r="BR193" s="9">
        <f t="shared" si="41"/>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2">SUM(AF190:AF194)</f>
        <v>0</v>
      </c>
      <c r="AG195" s="121"/>
      <c r="AH195" s="121">
        <f t="shared" si="42"/>
        <v>5725.4500000000007</v>
      </c>
      <c r="AI195" s="121"/>
      <c r="AJ195" s="121">
        <f t="shared" si="42"/>
        <v>0</v>
      </c>
      <c r="AK195"/>
      <c r="AL195" s="121">
        <f t="shared" si="42"/>
        <v>591.45000000000005</v>
      </c>
      <c r="AM195"/>
      <c r="AN195" s="121">
        <f t="shared" si="42"/>
        <v>0</v>
      </c>
      <c r="AO195" s="121">
        <f t="shared" si="42"/>
        <v>0</v>
      </c>
      <c r="AP195" s="121">
        <f t="shared" si="42"/>
        <v>0</v>
      </c>
      <c r="AQ195" s="121">
        <f t="shared" si="42"/>
        <v>0</v>
      </c>
      <c r="AR195" s="121">
        <f t="shared" si="42"/>
        <v>1242.3</v>
      </c>
      <c r="AS195" s="121">
        <f t="shared" si="42"/>
        <v>0</v>
      </c>
      <c r="AT195" s="121">
        <f t="shared" si="42"/>
        <v>0</v>
      </c>
      <c r="AU195" s="121">
        <f t="shared" si="42"/>
        <v>0</v>
      </c>
      <c r="AV195" s="121">
        <f t="shared" si="42"/>
        <v>0</v>
      </c>
      <c r="AW195" s="121">
        <f t="shared" si="42"/>
        <v>0</v>
      </c>
      <c r="AX195" s="121">
        <f t="shared" si="42"/>
        <v>15000</v>
      </c>
      <c r="AY195" s="121">
        <f t="shared" si="42"/>
        <v>0</v>
      </c>
      <c r="AZ195" s="121">
        <f t="shared" si="42"/>
        <v>0</v>
      </c>
      <c r="BA195" s="121">
        <f t="shared" si="42"/>
        <v>0</v>
      </c>
      <c r="BB195" s="121">
        <f t="shared" si="42"/>
        <v>0</v>
      </c>
      <c r="BC195" s="121">
        <f t="shared" si="42"/>
        <v>0</v>
      </c>
      <c r="BD195" s="121">
        <f t="shared" si="42"/>
        <v>0</v>
      </c>
      <c r="BE195" s="121">
        <f t="shared" si="42"/>
        <v>0</v>
      </c>
      <c r="BF195" s="121">
        <f t="shared" si="42"/>
        <v>0</v>
      </c>
      <c r="BG195" s="121">
        <f t="shared" si="42"/>
        <v>0</v>
      </c>
      <c r="BH195" s="121">
        <f t="shared" si="42"/>
        <v>0</v>
      </c>
      <c r="BI195" s="121">
        <f t="shared" si="42"/>
        <v>0</v>
      </c>
      <c r="BJ195" s="121">
        <f t="shared" si="42"/>
        <v>0</v>
      </c>
      <c r="BK195" s="121">
        <f t="shared" si="42"/>
        <v>0</v>
      </c>
      <c r="BL195" s="121">
        <f t="shared" si="40"/>
        <v>314524.27</v>
      </c>
      <c r="BM195" s="13"/>
      <c r="BN195" s="121"/>
      <c r="BO195" s="13"/>
      <c r="BP195" s="121">
        <f>SUM(BP189:BP194)</f>
        <v>0</v>
      </c>
      <c r="BQ195" s="13"/>
      <c r="BR195" s="121">
        <f t="shared" si="41"/>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3">S186+S195</f>
        <v>0</v>
      </c>
      <c r="T200" s="121">
        <f t="shared" si="43"/>
        <v>7279633</v>
      </c>
      <c r="U200" s="121">
        <f t="shared" si="43"/>
        <v>0</v>
      </c>
      <c r="V200" s="121">
        <f t="shared" si="43"/>
        <v>1298988.96</v>
      </c>
      <c r="W200" s="121">
        <f t="shared" si="43"/>
        <v>0</v>
      </c>
      <c r="X200" s="121">
        <f t="shared" si="43"/>
        <v>33151937.879999999</v>
      </c>
      <c r="Y200" s="121">
        <f t="shared" si="43"/>
        <v>0</v>
      </c>
      <c r="Z200" s="121">
        <f t="shared" si="43"/>
        <v>290030.82999999996</v>
      </c>
      <c r="AA200" s="121">
        <f t="shared" si="43"/>
        <v>0</v>
      </c>
      <c r="AB200" s="121">
        <f t="shared" si="43"/>
        <v>1733894.8599999999</v>
      </c>
      <c r="AC200" s="121">
        <f t="shared" si="43"/>
        <v>0</v>
      </c>
      <c r="AD200" s="121">
        <f t="shared" si="43"/>
        <v>18881456.879999999</v>
      </c>
      <c r="AE200" s="121"/>
      <c r="AF200" s="121">
        <f t="shared" si="43"/>
        <v>8167701.1408541668</v>
      </c>
      <c r="AG200" s="121"/>
      <c r="AH200" s="121">
        <f t="shared" si="43"/>
        <v>8854945.3874601815</v>
      </c>
      <c r="AI200" s="121"/>
      <c r="AJ200" s="121">
        <f t="shared" si="43"/>
        <v>6988530.1253887061</v>
      </c>
      <c r="AK200"/>
      <c r="AL200" s="121">
        <f t="shared" si="43"/>
        <v>7789829.6057027699</v>
      </c>
      <c r="AM200"/>
      <c r="AN200" s="121">
        <f t="shared" si="43"/>
        <v>11652992.180000002</v>
      </c>
      <c r="AO200" s="121">
        <f t="shared" si="43"/>
        <v>0</v>
      </c>
      <c r="AP200" s="121">
        <f t="shared" si="43"/>
        <v>17627423.913877048</v>
      </c>
      <c r="AQ200" s="121">
        <f t="shared" si="43"/>
        <v>0</v>
      </c>
      <c r="AR200" s="121">
        <f t="shared" si="43"/>
        <v>39305575.995295264</v>
      </c>
      <c r="AS200" s="121">
        <f t="shared" si="43"/>
        <v>0</v>
      </c>
      <c r="AT200" s="121">
        <f t="shared" si="43"/>
        <v>2943898.2559045074</v>
      </c>
      <c r="AU200" s="121">
        <f t="shared" si="43"/>
        <v>0</v>
      </c>
      <c r="AV200" s="121">
        <f t="shared" si="43"/>
        <v>29327061.258771211</v>
      </c>
      <c r="AW200" s="121">
        <f t="shared" si="43"/>
        <v>0</v>
      </c>
      <c r="AX200" s="121">
        <f t="shared" si="43"/>
        <v>23471763.284490943</v>
      </c>
      <c r="AY200" s="121">
        <f t="shared" si="43"/>
        <v>0</v>
      </c>
      <c r="AZ200" s="121">
        <f t="shared" si="43"/>
        <v>22126233.530000001</v>
      </c>
      <c r="BA200" s="121">
        <f t="shared" si="43"/>
        <v>0</v>
      </c>
      <c r="BB200" s="121">
        <f t="shared" si="43"/>
        <v>6822314.5109472163</v>
      </c>
      <c r="BC200" s="121">
        <f t="shared" si="43"/>
        <v>0</v>
      </c>
      <c r="BD200" s="121">
        <f t="shared" si="43"/>
        <v>0</v>
      </c>
      <c r="BE200" s="121">
        <f t="shared" si="43"/>
        <v>0</v>
      </c>
      <c r="BF200" s="121">
        <f t="shared" si="43"/>
        <v>0</v>
      </c>
      <c r="BG200" s="121">
        <f t="shared" si="43"/>
        <v>0</v>
      </c>
      <c r="BH200" s="121">
        <f t="shared" si="43"/>
        <v>0</v>
      </c>
      <c r="BI200" s="121">
        <f t="shared" si="43"/>
        <v>0</v>
      </c>
      <c r="BJ200" s="121">
        <f t="shared" si="43"/>
        <v>0</v>
      </c>
      <c r="BK200" s="121">
        <f t="shared" si="43"/>
        <v>0</v>
      </c>
      <c r="BL200" s="121">
        <f t="shared" si="43"/>
        <v>247794211.59869203</v>
      </c>
      <c r="BM200" s="121">
        <f t="shared" si="43"/>
        <v>2030320</v>
      </c>
      <c r="BN200" s="121">
        <f t="shared" si="43"/>
        <v>29809740</v>
      </c>
      <c r="BO200" s="121">
        <f t="shared" si="43"/>
        <v>2030320</v>
      </c>
      <c r="BP200" s="121">
        <f t="shared" si="43"/>
        <v>24767178.102879606</v>
      </c>
      <c r="BQ200" s="121">
        <f t="shared" si="43"/>
        <v>2030320</v>
      </c>
      <c r="BR200" s="121">
        <f t="shared" si="43"/>
        <v>257376760.70157161</v>
      </c>
      <c r="BS200" s="121">
        <f t="shared" si="43"/>
        <v>2030320</v>
      </c>
      <c r="BT200" s="121">
        <f t="shared" si="43"/>
        <v>-31381298.171571627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90" activePane="bottomRight" state="frozen"/>
      <selection activeCell="K27" sqref="K27"/>
      <selection pane="topRight" activeCell="K27" sqref="K27"/>
      <selection pane="bottomLeft" activeCell="K27" sqref="K27"/>
      <selection pane="bottomRight" activeCell="BN214" sqref="BN21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Plants\JE's\[Gas Purchases.xls]ECT_Form</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36682.702451504629</v>
      </c>
      <c r="BT3" s="23"/>
      <c r="BV3" s="78" t="str">
        <f>Summary!A5</f>
        <v>Revision # 56</v>
      </c>
    </row>
    <row r="4" spans="1:76" s="18" customFormat="1" ht="15.75">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69"/>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K7" s="82"/>
      <c r="BL7" s="82" t="str">
        <f>+Summary!$O$4</f>
        <v xml:space="preserve"> As of 5/31/00</v>
      </c>
      <c r="BN7" s="71"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6000</v>
      </c>
      <c r="BF149" s="6">
        <v>0</v>
      </c>
      <c r="BH149" s="6">
        <v>0</v>
      </c>
      <c r="BJ149" s="6">
        <v>0</v>
      </c>
      <c r="BL149" s="6">
        <v>0</v>
      </c>
      <c r="BM149" s="6"/>
      <c r="BN149" s="6">
        <f>SUM(T149:BM149)</f>
        <v>12000</v>
      </c>
      <c r="BO149" s="6"/>
      <c r="BP149" s="6">
        <v>0</v>
      </c>
      <c r="BQ149" s="6"/>
      <c r="BR149" s="6">
        <f>IF(+R149-BN149+BP149&gt;0,R149-BN149+BP149,0)</f>
        <v>0</v>
      </c>
      <c r="BT149" s="6">
        <f>+BN149+BR149</f>
        <v>12000</v>
      </c>
      <c r="BV149" s="6">
        <f>+R149-BT149</f>
        <v>-12000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0" activePane="bottomRight" state="frozen"/>
      <selection activeCell="K27" sqref="K27"/>
      <selection pane="topRight" activeCell="K27" sqref="K27"/>
      <selection pane="bottomLeft" activeCell="K27" sqref="K27"/>
      <selection pane="bottomRight" activeCell="BQ1" sqref="BQ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style="6" hidden="1" customWidth="1"/>
    <col min="56" max="56" width="17.85546875" style="6" hidden="1" customWidth="1"/>
    <col min="57" max="57" width="0.85546875" style="6"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Plants\JE's\[Gas Purchases.xls]ECT_Form</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36682.702451504629</v>
      </c>
      <c r="BT3" s="23"/>
      <c r="BV3" s="78" t="str">
        <f>Summary!A5</f>
        <v>Revision # 56</v>
      </c>
    </row>
    <row r="4" spans="1:76" s="18" customFormat="1" ht="15.75">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5/31/00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8"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v>0</v>
      </c>
      <c r="BH9" s="6">
        <v>0</v>
      </c>
      <c r="BJ9" s="6">
        <v>0</v>
      </c>
      <c r="BL9" s="6">
        <v>0</v>
      </c>
      <c r="BM9" s="6"/>
      <c r="BN9" s="6">
        <f t="shared" ref="BN9:BN14" si="0">SUM(T9:BM9)</f>
        <v>60751420.049999997</v>
      </c>
      <c r="BO9" s="6"/>
      <c r="BP9" s="6">
        <f>436901+900+90800-52600-105480+59734</f>
        <v>430255</v>
      </c>
      <c r="BQ9" s="6"/>
      <c r="BR9" s="6">
        <f t="shared" ref="BR9:BR15" si="1">IF(+R9-BN9+BP9&gt;0,R9-BN9+BP9,0)</f>
        <v>1823834.950000003</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1735000.05</v>
      </c>
      <c r="BE16" s="12"/>
      <c r="BF16" s="101">
        <f>SUM(BF9:BF15)</f>
        <v>0</v>
      </c>
      <c r="BG16" s="12"/>
      <c r="BH16" s="101">
        <f>SUM(BH9:BH15)</f>
        <v>0</v>
      </c>
      <c r="BI16" s="12"/>
      <c r="BJ16" s="101">
        <f>SUM(BJ9:BJ15)</f>
        <v>0</v>
      </c>
      <c r="BK16" s="12"/>
      <c r="BL16" s="101">
        <f>SUM(BL9:BL15)</f>
        <v>0</v>
      </c>
      <c r="BM16" s="6"/>
      <c r="BN16" s="101">
        <f>SUM(BN9:BN15)</f>
        <v>90484369.049999997</v>
      </c>
      <c r="BO16" s="6"/>
      <c r="BP16" s="101">
        <f>SUM(BP9:BP15)</f>
        <v>1981044</v>
      </c>
      <c r="BQ16" s="6"/>
      <c r="BR16" s="101">
        <f>SUM(BR9:BR15)</f>
        <v>5076674.950000003</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588581.1</v>
      </c>
      <c r="BE35" s="12"/>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2323581.15</v>
      </c>
      <c r="BE37" s="115"/>
      <c r="BF37" s="115">
        <f>+BF35+BF16</f>
        <v>0</v>
      </c>
      <c r="BG37" s="115"/>
      <c r="BH37" s="115">
        <f>+BH35+BH16</f>
        <v>0</v>
      </c>
      <c r="BI37" s="115"/>
      <c r="BJ37" s="115">
        <f>+BJ35+BJ16</f>
        <v>0</v>
      </c>
      <c r="BK37" s="115"/>
      <c r="BL37" s="115">
        <f>+BL35+BL16</f>
        <v>0</v>
      </c>
      <c r="BM37" s="115"/>
      <c r="BN37" s="115">
        <f>+BN35+BN16</f>
        <v>96949829.75</v>
      </c>
      <c r="BO37" s="115"/>
      <c r="BP37" s="115">
        <f>+BP35+BP16</f>
        <v>2363394</v>
      </c>
      <c r="BQ37" s="115"/>
      <c r="BR37" s="115">
        <f>+BR35+BR16</f>
        <v>5076675.2500000037</v>
      </c>
      <c r="BS37" s="115"/>
      <c r="BT37" s="115">
        <f>+BT35+BT16</f>
        <v>102026505</v>
      </c>
      <c r="BU37" s="115"/>
      <c r="BV37" s="115">
        <f>+BV35+BV16</f>
        <v>-2560694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0</v>
      </c>
      <c r="BH100" s="6">
        <v>0</v>
      </c>
      <c r="BJ100" s="6">
        <v>0</v>
      </c>
      <c r="BL100" s="6">
        <v>0</v>
      </c>
      <c r="BM100" s="6"/>
      <c r="BN100" s="6">
        <f t="shared" ref="BN100:BN105" si="28">SUM(T100:BM100)</f>
        <v>852316.33999999985</v>
      </c>
      <c r="BO100" s="6"/>
      <c r="BP100" s="6">
        <v>0</v>
      </c>
      <c r="BQ100" s="6"/>
      <c r="BR100" s="6">
        <f t="shared" ref="BR100:BR106" si="29">IF(+R100-BN100+BP100&gt;0,R100-BN100+BP100,0)</f>
        <v>77483.660000000149</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0</v>
      </c>
      <c r="BH101" s="6">
        <v>0</v>
      </c>
      <c r="BJ101" s="6">
        <v>0</v>
      </c>
      <c r="BL101" s="6">
        <v>0</v>
      </c>
      <c r="BM101" s="6"/>
      <c r="BN101" s="6">
        <f t="shared" si="28"/>
        <v>2603948.66</v>
      </c>
      <c r="BO101" s="6"/>
      <c r="BP101" s="6">
        <v>0</v>
      </c>
      <c r="BQ101" s="6"/>
      <c r="BR101" s="6">
        <f t="shared" si="29"/>
        <v>236751.33999999985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314205.33</v>
      </c>
      <c r="BE107" s="117"/>
      <c r="BF107" s="116">
        <f>SUM(BF100:BF106)</f>
        <v>0</v>
      </c>
      <c r="BG107" s="117"/>
      <c r="BH107" s="116">
        <f>SUM(BH100:BH106)</f>
        <v>0</v>
      </c>
      <c r="BI107" s="117"/>
      <c r="BJ107" s="116">
        <f>SUM(BJ100:BJ106)</f>
        <v>0</v>
      </c>
      <c r="BK107" s="117"/>
      <c r="BL107" s="116">
        <f>SUM(BL100:BL106)</f>
        <v>0</v>
      </c>
      <c r="BM107" s="115"/>
      <c r="BN107" s="116">
        <f>SUM(BN100:BN106)</f>
        <v>3206265</v>
      </c>
      <c r="BO107" s="115"/>
      <c r="BP107" s="116">
        <f>SUM(BP100:BP106)</f>
        <v>0</v>
      </c>
      <c r="BQ107" s="115"/>
      <c r="BR107" s="116">
        <f>SUM(BR100:BR106)</f>
        <v>314235</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0</v>
      </c>
      <c r="BH131" s="6">
        <v>0</v>
      </c>
      <c r="BJ131" s="6">
        <v>0</v>
      </c>
      <c r="BL131" s="6">
        <v>0</v>
      </c>
      <c r="BM131" s="6"/>
      <c r="BN131" s="6">
        <f>SUM(T131:BM131)</f>
        <v>148000</v>
      </c>
      <c r="BO131" s="6"/>
      <c r="BP131" s="6">
        <v>0</v>
      </c>
      <c r="BQ131" s="6"/>
      <c r="BR131" s="6">
        <f>IF(+R131-BN131+BP131&gt;0,R131-BN131+BP131,0)</f>
        <v>37000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0</v>
      </c>
      <c r="BH132" s="6">
        <v>0</v>
      </c>
      <c r="BJ132" s="6">
        <v>0</v>
      </c>
      <c r="BL132" s="6">
        <v>0</v>
      </c>
      <c r="BM132" s="6"/>
      <c r="BN132" s="6">
        <f>SUM(T132:BM132)</f>
        <v>371928.3</v>
      </c>
      <c r="BO132" s="6"/>
      <c r="BP132" s="6">
        <v>0</v>
      </c>
      <c r="BQ132" s="6"/>
      <c r="BR132" s="6">
        <f>+R132-BN132+BP132</f>
        <v>351857.7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159389.85999999999</v>
      </c>
      <c r="BE134" s="10"/>
      <c r="BF134" s="102">
        <f>SUM(BF131:BF133)</f>
        <v>0</v>
      </c>
      <c r="BG134" s="10"/>
      <c r="BH134" s="102">
        <f>SUM(BH131:BH133)</f>
        <v>0</v>
      </c>
      <c r="BI134" s="10"/>
      <c r="BJ134" s="102">
        <f>SUM(BJ131:BJ133)</f>
        <v>0</v>
      </c>
      <c r="BK134" s="10"/>
      <c r="BL134" s="102">
        <f>SUM(BL131:BL133)</f>
        <v>0</v>
      </c>
      <c r="BM134" s="9"/>
      <c r="BN134" s="102">
        <f>SUM(BN131:BN133)</f>
        <v>519928.3</v>
      </c>
      <c r="BO134" s="9"/>
      <c r="BP134" s="102">
        <f>SUM(BP131:BP133)</f>
        <v>0</v>
      </c>
      <c r="BQ134" s="9"/>
      <c r="BR134" s="102">
        <f>SUM(BR131:BR133)</f>
        <v>388857.7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565</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f>190718.52-110182.74</f>
        <v>80535.779999999984</v>
      </c>
      <c r="BE136" s="9"/>
      <c r="BF136" s="9">
        <v>0</v>
      </c>
      <c r="BG136" s="9"/>
      <c r="BH136" s="9">
        <v>0</v>
      </c>
      <c r="BI136" s="9"/>
      <c r="BJ136" s="9">
        <v>0</v>
      </c>
      <c r="BK136" s="9"/>
      <c r="BL136" s="9">
        <v>0</v>
      </c>
      <c r="BM136" s="9"/>
      <c r="BN136" s="9">
        <f>SUM(T136:BM136)</f>
        <v>80535.779999999984</v>
      </c>
      <c r="BO136" s="9"/>
      <c r="BP136" s="9">
        <v>0</v>
      </c>
      <c r="BQ136" s="9"/>
      <c r="BR136" s="6">
        <f>IF(+R136-BN136+BP136&gt;0,R136-BN136+BP136,0)</f>
        <v>0</v>
      </c>
      <c r="BS136" s="9"/>
      <c r="BT136" s="9">
        <f>+BN136+BR136</f>
        <v>80535.779999999984</v>
      </c>
      <c r="BU136" s="9"/>
      <c r="BV136" s="9">
        <f>+R136-BT136</f>
        <v>-80535.779999999984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0</v>
      </c>
      <c r="BH153" s="6">
        <v>0</v>
      </c>
      <c r="BJ153" s="6">
        <v>0</v>
      </c>
      <c r="BL153" s="6">
        <v>0</v>
      </c>
      <c r="BM153" s="6"/>
      <c r="BN153" s="6">
        <f t="shared" si="37"/>
        <v>302.41000000000003</v>
      </c>
      <c r="BO153" s="6"/>
      <c r="BP153" s="227">
        <v>0</v>
      </c>
      <c r="BQ153" s="6"/>
      <c r="BR153" s="6">
        <f t="shared" si="38"/>
        <v>0</v>
      </c>
      <c r="BT153" s="6">
        <f t="shared" si="39"/>
        <v>302.41000000000003</v>
      </c>
      <c r="BV153" s="6">
        <f>+R153-BT153</f>
        <v>-302.41000000000003</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L157" s="6"/>
      <c r="BM157" s="6"/>
      <c r="BN157" s="6">
        <f t="shared" si="37"/>
        <v>712096.69000000006</v>
      </c>
      <c r="BO157" s="6"/>
      <c r="BP157" s="227">
        <v>0</v>
      </c>
      <c r="BQ157" s="6"/>
      <c r="BR157" s="6">
        <f t="shared" si="38"/>
        <v>0</v>
      </c>
      <c r="BT157" s="6">
        <f t="shared" si="39"/>
        <v>712096.69000000006</v>
      </c>
      <c r="BV157" s="6">
        <f>+R157-BT157</f>
        <v>-241515.69000000006</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49988.780000000006</v>
      </c>
      <c r="BE159" s="10"/>
      <c r="BF159" s="102">
        <f>SUM(BF152:BF158)</f>
        <v>0</v>
      </c>
      <c r="BG159" s="10"/>
      <c r="BH159" s="102">
        <f>SUM(BH152:BH158)</f>
        <v>0</v>
      </c>
      <c r="BI159" s="10"/>
      <c r="BJ159" s="102">
        <f>SUM(BJ152:BJ158)</f>
        <v>0</v>
      </c>
      <c r="BK159" s="10"/>
      <c r="BL159" s="102">
        <f>SUM(BL152:BL158)</f>
        <v>0</v>
      </c>
      <c r="BM159" s="9"/>
      <c r="BN159" s="102">
        <f>SUM(BN152:BN158)</f>
        <v>781818.10000000009</v>
      </c>
      <c r="BO159" s="9"/>
      <c r="BP159" s="102">
        <f>SUM(BP152:BP158)</f>
        <v>0</v>
      </c>
      <c r="BQ159" s="9"/>
      <c r="BR159" s="102">
        <f>SUM(BR152:BR158)</f>
        <v>0</v>
      </c>
      <c r="BS159" s="9"/>
      <c r="BT159" s="102">
        <f>SUM(BT152:BT158)</f>
        <v>781818.10000000009</v>
      </c>
      <c r="BU159" s="9"/>
      <c r="BV159" s="102">
        <f>SUM(BV152:BV158)</f>
        <v>-241818.10000000006</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F162" s="6">
        <v>0</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110182.74</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2987321.83</v>
      </c>
      <c r="BO182" s="102">
        <f t="shared" si="44"/>
        <v>0</v>
      </c>
      <c r="BP182" s="102">
        <f t="shared" si="44"/>
        <v>1690117</v>
      </c>
      <c r="BQ182" s="102">
        <f t="shared" si="44"/>
        <v>0</v>
      </c>
      <c r="BR182" s="102">
        <f t="shared" si="44"/>
        <v>1849148</v>
      </c>
      <c r="BS182" s="102">
        <f t="shared" si="44"/>
        <v>0</v>
      </c>
      <c r="BT182" s="102">
        <f t="shared" si="44"/>
        <v>3999469.83</v>
      </c>
      <c r="BU182" s="102">
        <f t="shared" si="44"/>
        <v>0</v>
      </c>
      <c r="BV182" s="102">
        <f t="shared" si="44"/>
        <v>-1799469.83</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37080.42</v>
      </c>
      <c r="BE200" s="12"/>
      <c r="BF200" s="12">
        <v>0</v>
      </c>
      <c r="BG200" s="12"/>
      <c r="BH200" s="12">
        <v>0</v>
      </c>
      <c r="BI200" s="12"/>
      <c r="BJ200" s="12">
        <v>0</v>
      </c>
      <c r="BK200" s="12"/>
      <c r="BL200" s="12">
        <v>0</v>
      </c>
      <c r="BM200" s="12"/>
      <c r="BN200" s="12">
        <f t="shared" si="45"/>
        <v>436734.11999999994</v>
      </c>
      <c r="BO200" s="12"/>
      <c r="BP200" s="12">
        <v>0</v>
      </c>
      <c r="BQ200" s="12"/>
      <c r="BR200" s="6">
        <f t="shared" si="46"/>
        <v>0</v>
      </c>
      <c r="BS200" s="12"/>
      <c r="BT200" s="6">
        <f t="shared" si="47"/>
        <v>436734.11999999994</v>
      </c>
      <c r="BU200" s="12"/>
      <c r="BV200" s="6">
        <f t="shared" si="48"/>
        <v>-310969.11999999994</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37080.42</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791078.18</v>
      </c>
      <c r="BO203" s="102">
        <f t="shared" si="49"/>
        <v>0</v>
      </c>
      <c r="BP203" s="102">
        <f t="shared" si="49"/>
        <v>0</v>
      </c>
      <c r="BQ203" s="102">
        <f t="shared" si="49"/>
        <v>0</v>
      </c>
      <c r="BR203" s="102">
        <f t="shared" si="49"/>
        <v>143107.12000000002</v>
      </c>
      <c r="BS203" s="102">
        <f t="shared" si="49"/>
        <v>0</v>
      </c>
      <c r="BT203" s="102">
        <f t="shared" si="49"/>
        <v>934185.29999999993</v>
      </c>
      <c r="BU203" s="102">
        <f t="shared" si="49"/>
        <v>0</v>
      </c>
      <c r="BV203" s="102">
        <f t="shared" si="49"/>
        <v>-534185.29999999993</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80">
        <v>785204.91003593185</v>
      </c>
      <c r="BC211" s="10"/>
      <c r="BD211" s="10">
        <v>0</v>
      </c>
      <c r="BE211" s="10"/>
      <c r="BF211" s="10">
        <v>0</v>
      </c>
      <c r="BG211" s="10"/>
      <c r="BH211" s="10">
        <v>0</v>
      </c>
      <c r="BI211" s="10"/>
      <c r="BJ211" s="10">
        <v>0</v>
      </c>
      <c r="BK211" s="10"/>
      <c r="BL211" s="10">
        <v>0</v>
      </c>
      <c r="BM211" s="10"/>
      <c r="BN211" s="10">
        <f>SUM(T211:BM211)</f>
        <v>9267221.8448746316</v>
      </c>
      <c r="BO211" s="10"/>
      <c r="BP211" s="10">
        <v>0</v>
      </c>
      <c r="BQ211" s="10"/>
      <c r="BR211" s="6">
        <f>IF(+R211-BN211+BP211&gt;0,R211-BN211+BP211,0)-R211+[2]Gleason!$Z$40</f>
        <v>1725939.0924374275</v>
      </c>
      <c r="BS211" s="10"/>
      <c r="BT211" s="9">
        <f>+BN211+BR211</f>
        <v>10993160.937312059</v>
      </c>
      <c r="BU211" s="10"/>
      <c r="BV211" s="9">
        <f>+R211-BT211</f>
        <v>346883.0626879409</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1141447.0200359318</v>
      </c>
      <c r="BC213" s="120">
        <f t="shared" si="51"/>
        <v>0</v>
      </c>
      <c r="BD213" s="120">
        <f t="shared" si="51"/>
        <v>326994.83999999997</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12495079.81487463</v>
      </c>
      <c r="BO213" s="120">
        <f t="shared" si="51"/>
        <v>0</v>
      </c>
      <c r="BP213" s="120">
        <f t="shared" si="51"/>
        <v>0</v>
      </c>
      <c r="BQ213" s="120">
        <f t="shared" si="51"/>
        <v>0</v>
      </c>
      <c r="BR213" s="120">
        <f t="shared" si="51"/>
        <v>6287108.0124374274</v>
      </c>
      <c r="BS213" s="120">
        <f t="shared" si="51"/>
        <v>0</v>
      </c>
      <c r="BT213" s="120">
        <f t="shared" si="51"/>
        <v>18782187.82731206</v>
      </c>
      <c r="BU213" s="120">
        <f t="shared" si="51"/>
        <v>0</v>
      </c>
      <c r="BV213" s="120">
        <f>BV211+BV203+BV194+BV192+BV190+BV184+BV159+BV149+BV142+BV140+BV138+BV136+BV134+BV209+BV182</f>
        <v>-2601779.6573120593</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12239663.540035931</v>
      </c>
      <c r="BC219" s="168">
        <f t="shared" si="53"/>
        <v>0</v>
      </c>
      <c r="BD219" s="168">
        <f t="shared" si="53"/>
        <v>3074964.06</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149253468.95487463</v>
      </c>
      <c r="BO219" s="168">
        <f t="shared" si="53"/>
        <v>0</v>
      </c>
      <c r="BP219" s="168">
        <f t="shared" si="53"/>
        <v>5621125</v>
      </c>
      <c r="BQ219" s="168">
        <f t="shared" si="53"/>
        <v>2030320</v>
      </c>
      <c r="BR219" s="168">
        <f t="shared" si="53"/>
        <v>29921814.262437433</v>
      </c>
      <c r="BS219" s="168">
        <f t="shared" si="53"/>
        <v>2030320</v>
      </c>
      <c r="BT219" s="168">
        <f t="shared" si="53"/>
        <v>175031492.21731207</v>
      </c>
      <c r="BU219" s="168">
        <f t="shared" si="53"/>
        <v>2030320</v>
      </c>
      <c r="BV219" s="168">
        <f>R219-BT219</f>
        <v>-4456482.2173120677</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5"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si="54"/>
        <v>715387.53999999992</v>
      </c>
      <c r="AO225" s="465"/>
      <c r="AP225" s="465">
        <f t="shared" si="54"/>
        <v>2178269.8126763888</v>
      </c>
      <c r="AQ225" s="465"/>
      <c r="AR225" s="465">
        <f t="shared" si="54"/>
        <v>7520773.7532297745</v>
      </c>
      <c r="AS225" s="465">
        <f t="shared" si="54"/>
        <v>0</v>
      </c>
      <c r="AT225" s="465">
        <f t="shared" si="54"/>
        <v>3031801.6952736583</v>
      </c>
      <c r="AU225" s="465">
        <f t="shared" si="54"/>
        <v>0</v>
      </c>
      <c r="AV225" s="465">
        <f t="shared" si="54"/>
        <v>8287387.2469411138</v>
      </c>
      <c r="AW225" s="465">
        <f t="shared" si="54"/>
        <v>0</v>
      </c>
      <c r="AX225" s="465">
        <f t="shared" si="54"/>
        <v>7624290.748063433</v>
      </c>
      <c r="AY225" s="465">
        <f t="shared" si="54"/>
        <v>0</v>
      </c>
      <c r="AZ225" s="465">
        <f t="shared" si="54"/>
        <v>11403531.258654332</v>
      </c>
      <c r="BA225" s="465">
        <f t="shared" si="54"/>
        <v>0</v>
      </c>
      <c r="BB225" s="465">
        <f t="shared" si="54"/>
        <v>12239663.540035931</v>
      </c>
      <c r="BC225" s="465">
        <f t="shared" si="54"/>
        <v>0</v>
      </c>
      <c r="BD225" s="465">
        <f t="shared" si="54"/>
        <v>3074964.06</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si="54"/>
        <v>149251333.95487463</v>
      </c>
      <c r="BO225" s="465">
        <f t="shared" si="54"/>
        <v>0</v>
      </c>
      <c r="BP225" s="465">
        <f t="shared" si="54"/>
        <v>5621125</v>
      </c>
      <c r="BQ225" s="465">
        <f t="shared" si="54"/>
        <v>2030320</v>
      </c>
      <c r="BR225" s="465">
        <f t="shared" si="54"/>
        <v>29921814.262437433</v>
      </c>
      <c r="BS225" s="465">
        <f t="shared" si="54"/>
        <v>2030320</v>
      </c>
      <c r="BT225" s="465">
        <f t="shared" si="54"/>
        <v>175029357.21731207</v>
      </c>
      <c r="BU225" s="465">
        <f t="shared" si="54"/>
        <v>2030320</v>
      </c>
      <c r="BV225" s="465">
        <f>BV219+BV222</f>
        <v>-4454347.2173120677</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685000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983513.3899999999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AZ225+AZ234</f>
        <v>11403531.258654332</v>
      </c>
      <c r="BA237" s="477">
        <f t="shared" si="56"/>
        <v>0</v>
      </c>
      <c r="BB237" s="477">
        <f>BB225+BB234</f>
        <v>12538176.930035932</v>
      </c>
      <c r="BC237" s="477">
        <f t="shared" si="56"/>
        <v>0</v>
      </c>
      <c r="BD237" s="477">
        <f>BD225+BD234</f>
        <v>3759964.06</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BN225+BN234</f>
        <v>150234847.34487462</v>
      </c>
      <c r="BO237" s="477">
        <f t="shared" si="56"/>
        <v>0</v>
      </c>
      <c r="BP237" s="477">
        <f>BP225+BP234</f>
        <v>5621125</v>
      </c>
      <c r="BQ237" s="477">
        <f t="shared" si="56"/>
        <v>0</v>
      </c>
      <c r="BR237" s="477">
        <f>BR225+BR234</f>
        <v>56449943.872437432</v>
      </c>
      <c r="BS237" s="477">
        <f t="shared" si="56"/>
        <v>0</v>
      </c>
      <c r="BT237" s="477">
        <f>BT225+BT234</f>
        <v>201656000.21731207</v>
      </c>
      <c r="BU237" s="477">
        <f t="shared" si="56"/>
        <v>0</v>
      </c>
      <c r="BV237" s="477">
        <f>BV225+BV234</f>
        <v>-4454347.2173120677</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2"/>
  <sheetViews>
    <sheetView zoomScale="80" zoomScaleNormal="66" workbookViewId="0">
      <pane xSplit="19" ySplit="7" topLeftCell="BL82" activePane="bottomRight" state="frozen"/>
      <selection activeCell="K27" sqref="K27"/>
      <selection pane="topRight" activeCell="K27" sqref="K27"/>
      <selection pane="bottomLeft" activeCell="K27" sqref="K27"/>
      <selection pane="bottomRight" activeCell="R82" sqref="R8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1.42578125" style="6" hidden="1" customWidth="1"/>
    <col min="38" max="38" width="16" style="6" hidden="1" customWidth="1"/>
    <col min="39" max="39" width="1.4257812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Plants\JE's\[Gas Purchases.xls]ECT_Form</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36682.702451504629</v>
      </c>
      <c r="BR3" s="23"/>
      <c r="BT3" s="78" t="str">
        <f>Summary!A5</f>
        <v>Revision # 56</v>
      </c>
      <c r="BV3" s="18" t="str">
        <f>Summary!A5</f>
        <v>Revision # 56</v>
      </c>
    </row>
    <row r="4" spans="1:74" s="18" customFormat="1" ht="15.75">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0</v>
      </c>
      <c r="BE34" s="115"/>
      <c r="BF34" s="115">
        <f>+BF32+BF12</f>
        <v>0</v>
      </c>
      <c r="BG34" s="115"/>
      <c r="BH34" s="115">
        <f>+BH32+BH12</f>
        <v>0</v>
      </c>
      <c r="BI34" s="115"/>
      <c r="BJ34" s="115">
        <f>+BJ32+BJ12</f>
        <v>0</v>
      </c>
      <c r="BK34" s="115"/>
      <c r="BL34" s="115">
        <f>+BL32+BL12</f>
        <v>86599887.540000007</v>
      </c>
      <c r="BM34" s="115"/>
      <c r="BN34" s="115">
        <f>+BN32+BN12</f>
        <v>591781</v>
      </c>
      <c r="BO34" s="115"/>
      <c r="BP34" s="115">
        <f>+BP32+BP12</f>
        <v>4409948.0599999875</v>
      </c>
      <c r="BQ34" s="115"/>
      <c r="BR34" s="115">
        <f>+BR32+BR12</f>
        <v>91009835.599999994</v>
      </c>
      <c r="BS34" s="115"/>
      <c r="BT34" s="115">
        <f>+BT32+BT12</f>
        <v>-726281.60000000056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0</v>
      </c>
      <c r="BF95" s="6">
        <v>0</v>
      </c>
      <c r="BH95" s="6">
        <v>0</v>
      </c>
      <c r="BJ95" s="6">
        <v>0</v>
      </c>
      <c r="BK95" s="6"/>
      <c r="BL95" s="6">
        <f t="shared" ref="BL95:BL100" si="22">SUM(T95:BK95)</f>
        <v>852316.33333333326</v>
      </c>
      <c r="BM95" s="6"/>
      <c r="BN95" s="6">
        <v>0</v>
      </c>
      <c r="BO95" s="6"/>
      <c r="BP95" s="6">
        <f t="shared" ref="BP95:BP101" si="23">IF(+R95-BL95+BN95&gt;0,R95-BL95+BN95,0)</f>
        <v>77483.666666666744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0</v>
      </c>
      <c r="BF96" s="6">
        <v>0</v>
      </c>
      <c r="BH96" s="6">
        <v>0</v>
      </c>
      <c r="BJ96" s="6">
        <v>0</v>
      </c>
      <c r="BK96" s="6"/>
      <c r="BL96" s="6">
        <f t="shared" si="22"/>
        <v>2187793.3466666667</v>
      </c>
      <c r="BM96" s="6"/>
      <c r="BN96" s="6">
        <v>0</v>
      </c>
      <c r="BO96" s="6"/>
      <c r="BP96" s="6">
        <f t="shared" si="23"/>
        <v>198906.65333333332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0</v>
      </c>
      <c r="BE102" s="117"/>
      <c r="BF102" s="116">
        <f>SUM(BF95:BF101)</f>
        <v>0</v>
      </c>
      <c r="BG102" s="117"/>
      <c r="BH102" s="116">
        <f>SUM(BH95:BH101)</f>
        <v>0</v>
      </c>
      <c r="BI102" s="117"/>
      <c r="BJ102" s="116">
        <f>SUM(BJ95:BJ101)</f>
        <v>0</v>
      </c>
      <c r="BK102" s="115"/>
      <c r="BL102" s="116">
        <f>SUM(BL95:BL101)</f>
        <v>3040109.6799999997</v>
      </c>
      <c r="BM102" s="115"/>
      <c r="BN102" s="116">
        <f>SUM(BN95:BN101)</f>
        <v>0</v>
      </c>
      <c r="BO102" s="115"/>
      <c r="BP102" s="116">
        <f>SUM(BP95:BP101)</f>
        <v>276390.32000000007</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0</v>
      </c>
      <c r="BF112" s="6">
        <v>0</v>
      </c>
      <c r="BH112" s="6">
        <v>0</v>
      </c>
      <c r="BJ112" s="6">
        <v>0</v>
      </c>
      <c r="BK112" s="6"/>
      <c r="BL112" s="6">
        <f>SUM(T112:BK112)</f>
        <v>148000</v>
      </c>
      <c r="BM112" s="6"/>
      <c r="BN112" s="6">
        <v>0</v>
      </c>
      <c r="BO112" s="6"/>
      <c r="BP112" s="6">
        <f>IF(+R112-BL112+BN112&gt;0,R112-BL112+BN112,0)</f>
        <v>37000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0</v>
      </c>
      <c r="BF113" s="6">
        <v>0</v>
      </c>
      <c r="BH113" s="6">
        <v>0</v>
      </c>
      <c r="BJ113" s="6">
        <v>0</v>
      </c>
      <c r="BK113" s="6"/>
      <c r="BL113" s="6">
        <f>SUM(T113:BK113)</f>
        <v>478496.67000000004</v>
      </c>
      <c r="BM113" s="6"/>
      <c r="BN113" s="6">
        <v>0</v>
      </c>
      <c r="BO113" s="6"/>
      <c r="BP113" s="6">
        <f>+R113-BL113+BN113</f>
        <v>245289.32999999996</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0</v>
      </c>
      <c r="BE115" s="10"/>
      <c r="BF115" s="102">
        <f>SUM(BF112:BF114)</f>
        <v>0</v>
      </c>
      <c r="BG115" s="10"/>
      <c r="BH115" s="102">
        <f>SUM(BH112:BH114)</f>
        <v>0</v>
      </c>
      <c r="BI115" s="10"/>
      <c r="BJ115" s="102">
        <f>SUM(BJ112:BJ114)</f>
        <v>0</v>
      </c>
      <c r="BK115" s="9"/>
      <c r="BL115" s="102">
        <f>SUM(BL112:BL114)</f>
        <v>626496.67000000004</v>
      </c>
      <c r="BM115" s="9"/>
      <c r="BN115" s="102">
        <f>SUM(BN112:BN114)</f>
        <v>0</v>
      </c>
      <c r="BO115" s="9"/>
      <c r="BP115" s="102">
        <f>SUM(BP112:BP114)</f>
        <v>282289.32999999996</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0</v>
      </c>
      <c r="BF135" s="6">
        <v>0</v>
      </c>
      <c r="BH135" s="6">
        <v>0</v>
      </c>
      <c r="BJ135" s="6">
        <v>0</v>
      </c>
      <c r="BK135" s="6"/>
      <c r="BL135" s="6">
        <f>SUM(T135:BK135)</f>
        <v>432490.64999999997</v>
      </c>
      <c r="BM135" s="6"/>
      <c r="BN135" s="6">
        <v>0</v>
      </c>
      <c r="BO135" s="6"/>
      <c r="BP135" s="6">
        <f>IF(+R135-BL135+BN135&gt;0,R135-BL135+BN135,0)</f>
        <v>17509.350000000035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0</v>
      </c>
      <c r="BE137" s="10"/>
      <c r="BF137" s="102">
        <f>SUM(BF133:BF136)</f>
        <v>0</v>
      </c>
      <c r="BG137" s="10"/>
      <c r="BH137" s="102">
        <f>SUM(BH133:BH136)</f>
        <v>0</v>
      </c>
      <c r="BI137" s="10"/>
      <c r="BJ137" s="102">
        <f>SUM(BJ133:BJ136)</f>
        <v>0</v>
      </c>
      <c r="BK137" s="9"/>
      <c r="BL137" s="102">
        <f>SUM(BL133:BL136)</f>
        <v>432490.64999999997</v>
      </c>
      <c r="BM137" s="9"/>
      <c r="BN137" s="102">
        <f>SUM(BN133:BN136)</f>
        <v>0</v>
      </c>
      <c r="BO137" s="9"/>
      <c r="BP137" s="102">
        <f>SUM(BP133:BP136)</f>
        <v>17509.350000000035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0</v>
      </c>
      <c r="BC145" s="22"/>
      <c r="BD145" s="22">
        <v>0</v>
      </c>
      <c r="BE145" s="22"/>
      <c r="BF145" s="22">
        <v>0</v>
      </c>
      <c r="BG145" s="22"/>
      <c r="BH145" s="22">
        <v>0</v>
      </c>
      <c r="BI145" s="22"/>
      <c r="BJ145" s="22">
        <v>0</v>
      </c>
      <c r="BK145" s="22"/>
      <c r="BL145" s="22">
        <f>SUM(T145:BK145)</f>
        <v>141167</v>
      </c>
      <c r="BM145" s="22"/>
      <c r="BN145" s="22">
        <v>0</v>
      </c>
      <c r="BO145" s="22"/>
      <c r="BP145" s="6">
        <f>IF(+R145-BL145+BN145&gt;0,R145-BL145+BN145,0)</f>
        <v>858833</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141167</v>
      </c>
      <c r="BM147" s="16"/>
      <c r="BN147" s="108">
        <f>SUM(BN144:BN146)</f>
        <v>0</v>
      </c>
      <c r="BO147" s="16"/>
      <c r="BP147" s="108">
        <f>SUM(BP144:BP146)</f>
        <v>858833</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v>0</v>
      </c>
      <c r="BE157" s="12"/>
      <c r="BF157" s="12">
        <v>0</v>
      </c>
      <c r="BG157" s="12"/>
      <c r="BH157" s="12">
        <v>0</v>
      </c>
      <c r="BI157" s="12"/>
      <c r="BJ157" s="12">
        <v>0</v>
      </c>
      <c r="BK157" s="12"/>
      <c r="BL157" s="12">
        <f t="shared" si="26"/>
        <v>330037.63999999996</v>
      </c>
      <c r="BM157" s="12"/>
      <c r="BN157" s="12">
        <v>0</v>
      </c>
      <c r="BO157" s="12"/>
      <c r="BP157" s="6">
        <f t="shared" si="27"/>
        <v>0</v>
      </c>
      <c r="BQ157" s="12"/>
      <c r="BR157" s="6">
        <f t="shared" si="28"/>
        <v>330037.63999999996</v>
      </c>
      <c r="BS157" s="12"/>
      <c r="BT157" s="6">
        <f t="shared" si="29"/>
        <v>-110037.63999999996</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784969.83</v>
      </c>
      <c r="BM160" s="102">
        <f t="shared" si="30"/>
        <v>0</v>
      </c>
      <c r="BN160" s="102">
        <f t="shared" si="30"/>
        <v>159233</v>
      </c>
      <c r="BO160" s="102">
        <f t="shared" si="30"/>
        <v>0</v>
      </c>
      <c r="BP160" s="102">
        <f t="shared" si="30"/>
        <v>88464.700000000012</v>
      </c>
      <c r="BQ160" s="102">
        <f t="shared" si="30"/>
        <v>0</v>
      </c>
      <c r="BR160" s="102">
        <f t="shared" si="30"/>
        <v>873434.52999999991</v>
      </c>
      <c r="BS160" s="102">
        <f t="shared" si="30"/>
        <v>0</v>
      </c>
      <c r="BT160" s="102">
        <f t="shared" si="30"/>
        <v>-473434.52999999991</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1956.25</v>
      </c>
      <c r="BC165" s="12"/>
      <c r="BD165" s="12">
        <v>0</v>
      </c>
      <c r="BE165" s="12"/>
      <c r="BF165" s="12">
        <v>0</v>
      </c>
      <c r="BG165" s="12"/>
      <c r="BH165" s="12">
        <v>0</v>
      </c>
      <c r="BI165" s="12"/>
      <c r="BJ165" s="12">
        <v>0</v>
      </c>
      <c r="BK165" s="12"/>
      <c r="BL165" s="12">
        <f>SUM(T165:BK165)</f>
        <v>192633.44000000003</v>
      </c>
      <c r="BM165" s="12"/>
      <c r="BN165" s="12">
        <v>0</v>
      </c>
      <c r="BO165" s="12"/>
      <c r="BP165" s="6">
        <f>IF(+R165-BL165+BN165&gt;0,R165-BL165+BN165,0)</f>
        <v>207366.55999999997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1956.25</v>
      </c>
      <c r="BC167" s="10"/>
      <c r="BD167" s="102">
        <f>SUM(BD163:BD166)</f>
        <v>0</v>
      </c>
      <c r="BE167" s="10"/>
      <c r="BF167" s="102">
        <f>SUM(BF163:BF166)</f>
        <v>0</v>
      </c>
      <c r="BG167" s="10"/>
      <c r="BH167" s="102">
        <f>SUM(BH163:BH166)</f>
        <v>0</v>
      </c>
      <c r="BI167" s="10"/>
      <c r="BJ167" s="102">
        <f>SUM(BJ163:BJ166)</f>
        <v>0</v>
      </c>
      <c r="BK167" s="9"/>
      <c r="BL167" s="102">
        <f>SUM(BL163:BL166)</f>
        <v>494305.57000000007</v>
      </c>
      <c r="BM167" s="9"/>
      <c r="BN167" s="102">
        <f>SUM(BN163:BN166)</f>
        <v>0</v>
      </c>
      <c r="BO167" s="9"/>
      <c r="BP167" s="102">
        <f>SUM(BP163:BP166)</f>
        <v>207366.55999999997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710982</v>
      </c>
      <c r="BA169" s="10"/>
      <c r="BB169" s="10">
        <f>[2]Wheatland!$T$39</f>
        <v>720660.56077082257</v>
      </c>
      <c r="BC169" s="10"/>
      <c r="BD169" s="10">
        <v>0</v>
      </c>
      <c r="BE169" s="10"/>
      <c r="BF169" s="10">
        <v>0</v>
      </c>
      <c r="BG169" s="10"/>
      <c r="BH169" s="10">
        <v>0</v>
      </c>
      <c r="BI169" s="10"/>
      <c r="BJ169" s="10">
        <v>0</v>
      </c>
      <c r="BK169" s="10"/>
      <c r="BL169" s="10">
        <f>SUM(T169:BK169)</f>
        <v>8776985.177948311</v>
      </c>
      <c r="BM169" s="10"/>
      <c r="BN169" s="10">
        <f>-R169+[2]Wheatland!$Y$39</f>
        <v>-417426.83023473248</v>
      </c>
      <c r="BO169" s="10"/>
      <c r="BP169" s="6">
        <f>IF(+R169-BL169+BN169&gt;0,R169-BL169+BN169,0)</f>
        <v>837912.99181695655</v>
      </c>
      <c r="BQ169" s="10"/>
      <c r="BR169" s="9">
        <f>+BL169+BP169</f>
        <v>9614898.1697652675</v>
      </c>
      <c r="BS169" s="10"/>
      <c r="BT169" s="9">
        <f>+R169-BR169</f>
        <v>417426.83023473248</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988144.77077082254</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14925253.877948312</v>
      </c>
      <c r="BM171" s="120">
        <f t="shared" si="31"/>
        <v>0</v>
      </c>
      <c r="BN171" s="120">
        <f t="shared" si="31"/>
        <v>84750.169765267521</v>
      </c>
      <c r="BO171" s="120">
        <f t="shared" si="31"/>
        <v>0</v>
      </c>
      <c r="BP171" s="120">
        <f t="shared" si="31"/>
        <v>10159070.521816958</v>
      </c>
      <c r="BQ171" s="120">
        <f t="shared" si="31"/>
        <v>0</v>
      </c>
      <c r="BR171" s="120">
        <f t="shared" si="31"/>
        <v>25084324.399765264</v>
      </c>
      <c r="BS171" s="120">
        <f t="shared" si="31"/>
        <v>0</v>
      </c>
      <c r="BT171" s="120">
        <f t="shared" si="31"/>
        <v>-1500482.3997652675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8038835.0700000003</v>
      </c>
      <c r="BA176" s="168">
        <f t="shared" si="33"/>
        <v>0</v>
      </c>
      <c r="BB176" s="168">
        <f t="shared" si="33"/>
        <v>1661352.5107708224</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134398996.21794832</v>
      </c>
      <c r="BM176" s="168">
        <f t="shared" si="33"/>
        <v>3202104</v>
      </c>
      <c r="BN176" s="168">
        <f t="shared" si="33"/>
        <v>3969295.1697652675</v>
      </c>
      <c r="BO176" s="168">
        <f t="shared" si="33"/>
        <v>4673615</v>
      </c>
      <c r="BP176" s="168">
        <f t="shared" si="33"/>
        <v>24746048.881816946</v>
      </c>
      <c r="BQ176" s="168">
        <f t="shared" si="33"/>
        <v>7699097</v>
      </c>
      <c r="BR176" s="168">
        <f t="shared" si="33"/>
        <v>160088910.09976524</v>
      </c>
      <c r="BS176" s="168">
        <f t="shared" si="33"/>
        <v>14335953</v>
      </c>
      <c r="BT176" s="168">
        <f t="shared" si="33"/>
        <v>-1637661.9997652676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340614.70233992604</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8038835.0700000003</v>
      </c>
      <c r="BA185" s="10">
        <f t="shared" si="34"/>
        <v>0</v>
      </c>
      <c r="BB185" s="10">
        <f t="shared" si="34"/>
        <v>1661452.5107708224</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134287774.72794831</v>
      </c>
      <c r="BM185" s="10">
        <f t="shared" si="34"/>
        <v>3202104</v>
      </c>
      <c r="BN185" s="10">
        <f>BN176+BN179+BN181+BN183</f>
        <v>3969295.1697652675</v>
      </c>
      <c r="BO185" s="10">
        <f t="shared" si="34"/>
        <v>4673615</v>
      </c>
      <c r="BP185" s="10">
        <f t="shared" si="34"/>
        <v>24745948.371816944</v>
      </c>
      <c r="BQ185" s="10">
        <f t="shared" si="34"/>
        <v>7699097</v>
      </c>
      <c r="BR185" s="10">
        <f t="shared" si="34"/>
        <v>159977588.09976524</v>
      </c>
      <c r="BS185" s="10">
        <f t="shared" si="34"/>
        <v>14335953</v>
      </c>
      <c r="BT185" s="10">
        <f t="shared" si="34"/>
        <v>-1637661.9997652676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8038835.0700000003</v>
      </c>
      <c r="BA198" s="121">
        <f t="shared" si="36"/>
        <v>0</v>
      </c>
      <c r="BB198" s="121">
        <f t="shared" si="36"/>
        <v>1661352.5107708224</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134414096.21794832</v>
      </c>
      <c r="BM198" s="121">
        <f t="shared" si="36"/>
        <v>3202104</v>
      </c>
      <c r="BN198" s="121">
        <f t="shared" si="36"/>
        <v>3969295.1697652675</v>
      </c>
      <c r="BO198" s="121">
        <f t="shared" si="36"/>
        <v>4673615</v>
      </c>
      <c r="BP198" s="121">
        <f t="shared" si="36"/>
        <v>24746048.881816946</v>
      </c>
      <c r="BQ198" s="121">
        <f t="shared" si="36"/>
        <v>7699097</v>
      </c>
      <c r="BR198" s="121">
        <f t="shared" si="36"/>
        <v>160104010.09976524</v>
      </c>
      <c r="BS198" s="121">
        <f t="shared" si="36"/>
        <v>14335953</v>
      </c>
      <c r="BT198" s="121">
        <f t="shared" si="36"/>
        <v>-1637661.9997652676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8038835.0700000003</v>
      </c>
      <c r="BA200" s="121">
        <f t="shared" si="37"/>
        <v>0</v>
      </c>
      <c r="BB200" s="121">
        <f t="shared" si="37"/>
        <v>1661452.5107708224</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134302874.72794831</v>
      </c>
      <c r="BM200" s="121">
        <f t="shared" si="37"/>
        <v>3202104</v>
      </c>
      <c r="BN200" s="121">
        <f t="shared" si="37"/>
        <v>3969295.1697652675</v>
      </c>
      <c r="BO200" s="121">
        <f t="shared" si="37"/>
        <v>4673615</v>
      </c>
      <c r="BP200" s="121">
        <f t="shared" si="37"/>
        <v>24745948.371816944</v>
      </c>
      <c r="BQ200" s="121">
        <f t="shared" si="37"/>
        <v>7699097</v>
      </c>
      <c r="BR200" s="121">
        <f t="shared" si="37"/>
        <v>159992688.09976524</v>
      </c>
      <c r="BS200" s="121">
        <f t="shared" si="37"/>
        <v>14335953</v>
      </c>
      <c r="BT200" s="121">
        <f t="shared" si="37"/>
        <v>-1637661.9997652676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M214" s="6"/>
      <c r="O214" s="6"/>
      <c r="Q214" s="6"/>
      <c r="S214" s="6"/>
      <c r="T214" s="22"/>
      <c r="U214" s="6"/>
      <c r="V214" s="22"/>
      <c r="X214" s="22"/>
      <c r="Z214" s="22"/>
      <c r="AB214" s="22"/>
      <c r="AD214" s="22"/>
      <c r="BJ214" s="22"/>
      <c r="BK214" s="6"/>
      <c r="BL214" s="22"/>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K222" s="5"/>
      <c r="L222" s="149"/>
      <c r="BL222" s="22"/>
    </row>
    <row r="223" spans="11:122">
      <c r="L223" s="134"/>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2000-06-05T22:01:27Z</cp:lastPrinted>
  <dcterms:created xsi:type="dcterms:W3CDTF">1998-11-04T14:40:39Z</dcterms:created>
  <dcterms:modified xsi:type="dcterms:W3CDTF">2023-09-13T21:33:35Z</dcterms:modified>
</cp:coreProperties>
</file>