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45FE56-95A5-47E1-ACCC-FD00EBC13C73}" xr6:coauthVersionLast="47" xr6:coauthVersionMax="47" xr10:uidLastSave="{00000000-0000-0000-0000-000000000000}"/>
  <bookViews>
    <workbookView xWindow="-120" yWindow="-120" windowWidth="38640" windowHeight="15720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Gleason!$A$1:$BY$242</definedName>
    <definedName name="_xlnm.Print_Area" localSheetId="4">Summary!$A$1:$O$118</definedName>
    <definedName name="_xlnm.Print_Area" localSheetId="8">Wheatland!$A$1:$BX$188</definedName>
    <definedName name="_xlnm.Print_Area" localSheetId="5">Wilton!$A$1:$BY$181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Gleason!$C:$I,Gleason!$T:$BL,Gleason!$BR:$BS,Gleason!$BP:$BP</definedName>
    <definedName name="To_Hide" localSheetId="8">Wheatland!$C:$I,Wheatland!$T:$BJ,Wheatland!$BQ:$BR,Wheatland!#REF!</definedName>
    <definedName name="To_Hide" localSheetId="5">Wilton!$C:$I,Wilton!$T:$BJ,Wilton!$BS:$BS,Wilton!#REF!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Y2" i="15"/>
  <c r="BU3" i="15"/>
  <c r="BY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M7" i="15"/>
  <c r="BO7" i="15"/>
  <c r="BQ7" i="15"/>
  <c r="BS7" i="15"/>
  <c r="BF9" i="15"/>
  <c r="BQ9" i="15"/>
  <c r="BS9" i="15"/>
  <c r="BU9" i="15"/>
  <c r="BW9" i="15"/>
  <c r="BY9" i="15"/>
  <c r="BQ10" i="15"/>
  <c r="BS10" i="15"/>
  <c r="BU10" i="15"/>
  <c r="BW10" i="15"/>
  <c r="BY10" i="15"/>
  <c r="R11" i="15"/>
  <c r="BQ11" i="15"/>
  <c r="BU11" i="15"/>
  <c r="BW11" i="15"/>
  <c r="BY11" i="15"/>
  <c r="R12" i="15"/>
  <c r="BQ12" i="15"/>
  <c r="BU12" i="15"/>
  <c r="BW12" i="15"/>
  <c r="BY12" i="15"/>
  <c r="R13" i="15"/>
  <c r="BQ13" i="15"/>
  <c r="BU13" i="15"/>
  <c r="BW13" i="15"/>
  <c r="BY13" i="15"/>
  <c r="BF14" i="15"/>
  <c r="BQ14" i="15"/>
  <c r="BS14" i="15"/>
  <c r="BU14" i="15"/>
  <c r="BW14" i="15"/>
  <c r="BY14" i="15"/>
  <c r="BU15" i="15"/>
  <c r="BY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M16" i="15"/>
  <c r="BO16" i="15"/>
  <c r="BQ16" i="15"/>
  <c r="BS16" i="15"/>
  <c r="BU16" i="15"/>
  <c r="BW16" i="15"/>
  <c r="BY16" i="15"/>
  <c r="R18" i="15"/>
  <c r="BQ18" i="15"/>
  <c r="BU18" i="15"/>
  <c r="BW18" i="15"/>
  <c r="BY18" i="15"/>
  <c r="AV19" i="15"/>
  <c r="AZ19" i="15"/>
  <c r="BQ19" i="15"/>
  <c r="BS19" i="15"/>
  <c r="BU19" i="15"/>
  <c r="BW19" i="15"/>
  <c r="BY19" i="15"/>
  <c r="BQ20" i="15"/>
  <c r="BU20" i="15"/>
  <c r="BW20" i="15"/>
  <c r="BY20" i="15"/>
  <c r="BQ21" i="15"/>
  <c r="BU21" i="15"/>
  <c r="BW21" i="15"/>
  <c r="BY21" i="15"/>
  <c r="BQ22" i="15"/>
  <c r="BU22" i="15"/>
  <c r="BW22" i="15"/>
  <c r="BY22" i="15"/>
  <c r="BQ23" i="15"/>
  <c r="BU23" i="15"/>
  <c r="BW23" i="15"/>
  <c r="BY23" i="15"/>
  <c r="BQ24" i="15"/>
  <c r="BU24" i="15"/>
  <c r="BW24" i="15"/>
  <c r="BY24" i="15"/>
  <c r="R25" i="15"/>
  <c r="BQ25" i="15"/>
  <c r="BU25" i="15"/>
  <c r="BW25" i="15"/>
  <c r="BY25" i="15"/>
  <c r="R26" i="15"/>
  <c r="BQ26" i="15"/>
  <c r="BU26" i="15"/>
  <c r="BW26" i="15"/>
  <c r="BY26" i="15"/>
  <c r="R27" i="15"/>
  <c r="BQ27" i="15"/>
  <c r="BU27" i="15"/>
  <c r="BW27" i="15"/>
  <c r="BY27" i="15"/>
  <c r="R28" i="15"/>
  <c r="BQ28" i="15"/>
  <c r="BU28" i="15"/>
  <c r="BW28" i="15"/>
  <c r="BY28" i="15"/>
  <c r="R29" i="15"/>
  <c r="BQ29" i="15"/>
  <c r="BU29" i="15"/>
  <c r="BW29" i="15"/>
  <c r="BY29" i="15"/>
  <c r="R30" i="15"/>
  <c r="BQ30" i="15"/>
  <c r="BU30" i="15"/>
  <c r="BW30" i="15"/>
  <c r="BY30" i="15"/>
  <c r="R31" i="15"/>
  <c r="BQ31" i="15"/>
  <c r="BU31" i="15"/>
  <c r="BW31" i="15"/>
  <c r="BY31" i="15"/>
  <c r="R32" i="15"/>
  <c r="BQ32" i="15"/>
  <c r="BU32" i="15"/>
  <c r="BW32" i="15"/>
  <c r="BY32" i="15"/>
  <c r="BQ33" i="15"/>
  <c r="BU33" i="15"/>
  <c r="BW33" i="15"/>
  <c r="BY33" i="15"/>
  <c r="BU34" i="15"/>
  <c r="BW34" i="15"/>
  <c r="BY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M35" i="15"/>
  <c r="BO35" i="15"/>
  <c r="BQ35" i="15"/>
  <c r="BS35" i="15"/>
  <c r="BU35" i="15"/>
  <c r="BW35" i="15"/>
  <c r="BY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M37" i="15"/>
  <c r="BO37" i="15"/>
  <c r="BQ37" i="15"/>
  <c r="BS37" i="15"/>
  <c r="BU37" i="15"/>
  <c r="BW37" i="15"/>
  <c r="BY37" i="15"/>
  <c r="AV43" i="15"/>
  <c r="AZ43" i="15"/>
  <c r="BH43" i="15"/>
  <c r="BQ43" i="15"/>
  <c r="BS43" i="15"/>
  <c r="BU43" i="15"/>
  <c r="BW43" i="15"/>
  <c r="BY43" i="15"/>
  <c r="AR44" i="15"/>
  <c r="AV44" i="15"/>
  <c r="AZ44" i="15"/>
  <c r="BH44" i="15"/>
  <c r="BQ44" i="15"/>
  <c r="BS44" i="15"/>
  <c r="BU44" i="15"/>
  <c r="BW44" i="15"/>
  <c r="BY44" i="15"/>
  <c r="AR45" i="15"/>
  <c r="AV45" i="15"/>
  <c r="AZ45" i="15"/>
  <c r="BH45" i="15"/>
  <c r="BQ45" i="15"/>
  <c r="BS45" i="15"/>
  <c r="BU45" i="15"/>
  <c r="BW45" i="15"/>
  <c r="BY45" i="15"/>
  <c r="AV46" i="15"/>
  <c r="AZ46" i="15"/>
  <c r="BH46" i="15"/>
  <c r="BQ46" i="15"/>
  <c r="BS46" i="15"/>
  <c r="BU46" i="15"/>
  <c r="BW46" i="15"/>
  <c r="BY46" i="15"/>
  <c r="AV47" i="15"/>
  <c r="AZ47" i="15"/>
  <c r="BH47" i="15"/>
  <c r="BQ47" i="15"/>
  <c r="BU47" i="15"/>
  <c r="BW47" i="15"/>
  <c r="BY47" i="15"/>
  <c r="BQ48" i="15"/>
  <c r="BU48" i="15"/>
  <c r="BW48" i="15"/>
  <c r="BY48" i="15"/>
  <c r="BQ49" i="15"/>
  <c r="BU49" i="15"/>
  <c r="BW49" i="15"/>
  <c r="BY49" i="15"/>
  <c r="BQ50" i="15"/>
  <c r="BU50" i="15"/>
  <c r="BW50" i="15"/>
  <c r="BY50" i="15"/>
  <c r="AZ51" i="15"/>
  <c r="BH51" i="15"/>
  <c r="BQ51" i="15"/>
  <c r="BU51" i="15"/>
  <c r="BW51" i="15"/>
  <c r="BY51" i="15"/>
  <c r="AZ52" i="15"/>
  <c r="BQ52" i="15"/>
  <c r="BU52" i="15"/>
  <c r="BW52" i="15"/>
  <c r="BY52" i="15"/>
  <c r="BQ53" i="15"/>
  <c r="BU53" i="15"/>
  <c r="BW53" i="15"/>
  <c r="BY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O54" i="15"/>
  <c r="BP54" i="15"/>
  <c r="BQ54" i="15"/>
  <c r="BR54" i="15"/>
  <c r="BS54" i="15"/>
  <c r="BT54" i="15"/>
  <c r="BU54" i="15"/>
  <c r="BV54" i="15"/>
  <c r="BW54" i="15"/>
  <c r="BY54" i="15"/>
  <c r="AZ57" i="15"/>
  <c r="BH57" i="15"/>
  <c r="BQ57" i="15"/>
  <c r="BU57" i="15"/>
  <c r="BW57" i="15"/>
  <c r="BY57" i="15"/>
  <c r="AZ58" i="15"/>
  <c r="BH58" i="15"/>
  <c r="BQ58" i="15"/>
  <c r="BS58" i="15"/>
  <c r="BU58" i="15"/>
  <c r="BW58" i="15"/>
  <c r="BY58" i="15"/>
  <c r="BH59" i="15"/>
  <c r="BQ59" i="15"/>
  <c r="BU59" i="15"/>
  <c r="BW59" i="15"/>
  <c r="BY59" i="15"/>
  <c r="BH60" i="15"/>
  <c r="BQ60" i="15"/>
  <c r="BS60" i="15"/>
  <c r="BU60" i="15"/>
  <c r="BW60" i="15"/>
  <c r="BY60" i="15"/>
  <c r="BH61" i="15"/>
  <c r="BQ61" i="15"/>
  <c r="BU61" i="15"/>
  <c r="BW61" i="15"/>
  <c r="BY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O63" i="15"/>
  <c r="BP63" i="15"/>
  <c r="BQ63" i="15"/>
  <c r="BR63" i="15"/>
  <c r="BS63" i="15"/>
  <c r="BT63" i="15"/>
  <c r="BU63" i="15"/>
  <c r="BV63" i="15"/>
  <c r="BW63" i="15"/>
  <c r="BY63" i="15"/>
  <c r="R66" i="15"/>
  <c r="AV66" i="15"/>
  <c r="AZ66" i="15"/>
  <c r="BH66" i="15"/>
  <c r="BQ66" i="15"/>
  <c r="BU66" i="15"/>
  <c r="BW66" i="15"/>
  <c r="BY66" i="15"/>
  <c r="AV67" i="15"/>
  <c r="AZ67" i="15"/>
  <c r="BH67" i="15"/>
  <c r="BQ67" i="15"/>
  <c r="BS67" i="15"/>
  <c r="BU67" i="15"/>
  <c r="BW67" i="15"/>
  <c r="BY67" i="15"/>
  <c r="AZ68" i="15"/>
  <c r="BH68" i="15"/>
  <c r="BQ68" i="15"/>
  <c r="BU68" i="15"/>
  <c r="BW68" i="15"/>
  <c r="BY68" i="15"/>
  <c r="BH69" i="15"/>
  <c r="BQ69" i="15"/>
  <c r="BS69" i="15"/>
  <c r="BU69" i="15"/>
  <c r="BW69" i="15"/>
  <c r="BY69" i="15"/>
  <c r="AZ70" i="15"/>
  <c r="BH70" i="15"/>
  <c r="BQ70" i="15"/>
  <c r="BU70" i="15"/>
  <c r="BW70" i="15"/>
  <c r="BY70" i="15"/>
  <c r="AV71" i="15"/>
  <c r="AZ71" i="15"/>
  <c r="BH71" i="15"/>
  <c r="BQ71" i="15"/>
  <c r="BS71" i="15"/>
  <c r="BU71" i="15"/>
  <c r="BW71" i="15"/>
  <c r="BY71" i="15"/>
  <c r="AZ72" i="15"/>
  <c r="BH72" i="15"/>
  <c r="BQ72" i="15"/>
  <c r="BU72" i="15"/>
  <c r="BW72" i="15"/>
  <c r="BY72" i="15"/>
  <c r="BH73" i="15"/>
  <c r="BQ73" i="15"/>
  <c r="BS73" i="15"/>
  <c r="BU73" i="15"/>
  <c r="BW73" i="15"/>
  <c r="BY73" i="15"/>
  <c r="AZ74" i="15"/>
  <c r="BH74" i="15"/>
  <c r="BQ74" i="15"/>
  <c r="BU74" i="15"/>
  <c r="BW74" i="15"/>
  <c r="BY74" i="15"/>
  <c r="AZ75" i="15"/>
  <c r="BH75" i="15"/>
  <c r="BQ75" i="15"/>
  <c r="BS75" i="15"/>
  <c r="BU75" i="15"/>
  <c r="BW75" i="15"/>
  <c r="BY75" i="15"/>
  <c r="BQ76" i="15"/>
  <c r="BU76" i="15"/>
  <c r="BW76" i="15"/>
  <c r="BY76" i="15"/>
  <c r="BH77" i="15"/>
  <c r="BQ77" i="15"/>
  <c r="BS77" i="15"/>
  <c r="BU77" i="15"/>
  <c r="BW77" i="15"/>
  <c r="BY77" i="15"/>
  <c r="AZ78" i="15"/>
  <c r="BH78" i="15"/>
  <c r="BQ78" i="15"/>
  <c r="BU78" i="15"/>
  <c r="BW78" i="15"/>
  <c r="BY78" i="15"/>
  <c r="AZ79" i="15"/>
  <c r="BH79" i="15"/>
  <c r="BQ79" i="15"/>
  <c r="BS79" i="15"/>
  <c r="BU79" i="15"/>
  <c r="BW79" i="15"/>
  <c r="BY79" i="15"/>
  <c r="BH80" i="15"/>
  <c r="BQ80" i="15"/>
  <c r="BS80" i="15"/>
  <c r="BU80" i="15"/>
  <c r="BW80" i="15"/>
  <c r="BY80" i="15"/>
  <c r="BQ81" i="15"/>
  <c r="BS81" i="15"/>
  <c r="BU81" i="15"/>
  <c r="BW81" i="15"/>
  <c r="BY81" i="15"/>
  <c r="R82" i="15"/>
  <c r="BH82" i="15"/>
  <c r="BQ82" i="15"/>
  <c r="BU82" i="15"/>
  <c r="BW82" i="15"/>
  <c r="BY82" i="15"/>
  <c r="AZ83" i="15"/>
  <c r="BH83" i="15"/>
  <c r="BQ83" i="15"/>
  <c r="BS83" i="15"/>
  <c r="BU83" i="15"/>
  <c r="BW83" i="15"/>
  <c r="BY83" i="15"/>
  <c r="BH84" i="15"/>
  <c r="BQ84" i="15"/>
  <c r="BS84" i="15"/>
  <c r="BU84" i="15"/>
  <c r="BW84" i="15"/>
  <c r="BY84" i="15"/>
  <c r="BU85" i="15"/>
  <c r="BW85" i="15"/>
  <c r="BY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O86" i="15"/>
  <c r="BP86" i="15"/>
  <c r="BQ86" i="15"/>
  <c r="BR86" i="15"/>
  <c r="BS86" i="15"/>
  <c r="BT86" i="15"/>
  <c r="BU86" i="15"/>
  <c r="BV86" i="15"/>
  <c r="BW86" i="15"/>
  <c r="BX86" i="15"/>
  <c r="BY86" i="15"/>
  <c r="AZ89" i="15"/>
  <c r="BH89" i="15"/>
  <c r="BQ89" i="15"/>
  <c r="BS89" i="15"/>
  <c r="BU89" i="15"/>
  <c r="BW89" i="15"/>
  <c r="BY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O91" i="15"/>
  <c r="BP91" i="15"/>
  <c r="BQ91" i="15"/>
  <c r="BR91" i="15"/>
  <c r="BS91" i="15"/>
  <c r="BT91" i="15"/>
  <c r="BU91" i="15"/>
  <c r="BV91" i="15"/>
  <c r="BW91" i="15"/>
  <c r="BY91" i="15"/>
  <c r="BQ93" i="15"/>
  <c r="BY93" i="15"/>
  <c r="AR95" i="15"/>
  <c r="AV95" i="15"/>
  <c r="BF95" i="15"/>
  <c r="BH95" i="15"/>
  <c r="BQ95" i="15"/>
  <c r="BS95" i="15"/>
  <c r="BW95" i="15"/>
  <c r="BY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O97" i="15"/>
  <c r="BP97" i="15"/>
  <c r="BQ97" i="15"/>
  <c r="BR97" i="15"/>
  <c r="BS97" i="15"/>
  <c r="BT97" i="15"/>
  <c r="BU97" i="15"/>
  <c r="BV97" i="15"/>
  <c r="BW97" i="15"/>
  <c r="BX97" i="15"/>
  <c r="BY97" i="15"/>
  <c r="BZ97" i="15"/>
  <c r="BH98" i="15"/>
  <c r="BQ98" i="15"/>
  <c r="BW98" i="15"/>
  <c r="BL100" i="15"/>
  <c r="BQ100" i="15"/>
  <c r="BU100" i="15"/>
  <c r="BW100" i="15"/>
  <c r="BY100" i="15"/>
  <c r="BQ101" i="15"/>
  <c r="BU101" i="15"/>
  <c r="BW101" i="15"/>
  <c r="BY101" i="15"/>
  <c r="BQ102" i="15"/>
  <c r="BU102" i="15"/>
  <c r="BW102" i="15"/>
  <c r="BY102" i="15"/>
  <c r="R103" i="15"/>
  <c r="BQ103" i="15"/>
  <c r="BU103" i="15"/>
  <c r="BW103" i="15"/>
  <c r="BY103" i="15"/>
  <c r="R104" i="15"/>
  <c r="BQ104" i="15"/>
  <c r="BU104" i="15"/>
  <c r="BW104" i="15"/>
  <c r="BY104" i="15"/>
  <c r="R105" i="15"/>
  <c r="BQ105" i="15"/>
  <c r="BW105" i="15"/>
  <c r="BY105" i="15"/>
  <c r="BU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M107" i="15"/>
  <c r="BO107" i="15"/>
  <c r="BQ107" i="15"/>
  <c r="BS107" i="15"/>
  <c r="BU107" i="15"/>
  <c r="BW107" i="15"/>
  <c r="BY107" i="15"/>
  <c r="R110" i="15"/>
  <c r="BQ110" i="15"/>
  <c r="BU110" i="15"/>
  <c r="BW110" i="15"/>
  <c r="BY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M112" i="15"/>
  <c r="BO112" i="15"/>
  <c r="BQ112" i="15"/>
  <c r="BS112" i="15"/>
  <c r="BU112" i="15"/>
  <c r="BW112" i="15"/>
  <c r="BY112" i="15"/>
  <c r="R116" i="15"/>
  <c r="BQ116" i="15"/>
  <c r="BU116" i="15"/>
  <c r="BW116" i="15"/>
  <c r="BY116" i="15"/>
  <c r="R117" i="15"/>
  <c r="BQ117" i="15"/>
  <c r="BU117" i="15"/>
  <c r="BW117" i="15"/>
  <c r="BY117" i="15"/>
  <c r="R118" i="15"/>
  <c r="BQ118" i="15"/>
  <c r="BU118" i="15"/>
  <c r="BW118" i="15"/>
  <c r="BY118" i="15"/>
  <c r="R119" i="15"/>
  <c r="BQ119" i="15"/>
  <c r="BU119" i="15"/>
  <c r="BW119" i="15"/>
  <c r="BY119" i="15"/>
  <c r="R120" i="15"/>
  <c r="BQ120" i="15"/>
  <c r="BU120" i="15"/>
  <c r="BW120" i="15"/>
  <c r="BY120" i="15"/>
  <c r="R121" i="15"/>
  <c r="BQ121" i="15"/>
  <c r="BU121" i="15"/>
  <c r="BW121" i="15"/>
  <c r="BY121" i="15"/>
  <c r="R122" i="15"/>
  <c r="BQ122" i="15"/>
  <c r="BU122" i="15"/>
  <c r="BW122" i="15"/>
  <c r="BY122" i="15"/>
  <c r="R123" i="15"/>
  <c r="BQ123" i="15"/>
  <c r="BU123" i="15"/>
  <c r="BW123" i="15"/>
  <c r="BY123" i="15"/>
  <c r="R124" i="15"/>
  <c r="BQ124" i="15"/>
  <c r="BU124" i="15"/>
  <c r="BW124" i="15"/>
  <c r="BY124" i="15"/>
  <c r="R125" i="15"/>
  <c r="BQ125" i="15"/>
  <c r="BU125" i="15"/>
  <c r="BW125" i="15"/>
  <c r="BY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M127" i="15"/>
  <c r="BO127" i="15"/>
  <c r="BQ127" i="15"/>
  <c r="BS127" i="15"/>
  <c r="BU127" i="15"/>
  <c r="BW127" i="15"/>
  <c r="BY127" i="15"/>
  <c r="BQ131" i="15"/>
  <c r="BU131" i="15"/>
  <c r="BW131" i="15"/>
  <c r="BY131" i="15"/>
  <c r="AZ132" i="15"/>
  <c r="BQ132" i="15"/>
  <c r="BU132" i="15"/>
  <c r="BW132" i="15"/>
  <c r="BY132" i="15"/>
  <c r="BQ133" i="15"/>
  <c r="BU133" i="15"/>
  <c r="BW133" i="15"/>
  <c r="BY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M134" i="15"/>
  <c r="BO134" i="15"/>
  <c r="BQ134" i="15"/>
  <c r="BS134" i="15"/>
  <c r="BU134" i="15"/>
  <c r="BW134" i="15"/>
  <c r="BY134" i="15"/>
  <c r="BD136" i="15"/>
  <c r="BQ136" i="15"/>
  <c r="BU136" i="15"/>
  <c r="BW136" i="15"/>
  <c r="BY136" i="15"/>
  <c r="BQ138" i="15"/>
  <c r="BU138" i="15"/>
  <c r="BW138" i="15"/>
  <c r="BY138" i="15"/>
  <c r="BQ140" i="15"/>
  <c r="BU140" i="15"/>
  <c r="BW140" i="15"/>
  <c r="BY140" i="15"/>
  <c r="BL142" i="15"/>
  <c r="BQ142" i="15"/>
  <c r="BW142" i="15"/>
  <c r="BY142" i="15"/>
  <c r="BQ145" i="15"/>
  <c r="BU145" i="15"/>
  <c r="BW145" i="15"/>
  <c r="BY145" i="15"/>
  <c r="BQ146" i="15"/>
  <c r="BU146" i="15"/>
  <c r="BW146" i="15"/>
  <c r="BY146" i="15"/>
  <c r="BQ147" i="15"/>
  <c r="BU147" i="15"/>
  <c r="BW147" i="15"/>
  <c r="BY147" i="15"/>
  <c r="BU148" i="15"/>
  <c r="BW148" i="15"/>
  <c r="BY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M149" i="15"/>
  <c r="BO149" i="15"/>
  <c r="BQ149" i="15"/>
  <c r="BS149" i="15"/>
  <c r="BU149" i="15"/>
  <c r="BW149" i="15"/>
  <c r="BY149" i="15"/>
  <c r="BQ152" i="15"/>
  <c r="BU152" i="15"/>
  <c r="BW152" i="15"/>
  <c r="BY152" i="15"/>
  <c r="BQ153" i="15"/>
  <c r="BU153" i="15"/>
  <c r="BW153" i="15"/>
  <c r="BY153" i="15"/>
  <c r="BQ154" i="15"/>
  <c r="BU154" i="15"/>
  <c r="BW154" i="15"/>
  <c r="BY154" i="15"/>
  <c r="BQ155" i="15"/>
  <c r="BU155" i="15"/>
  <c r="BW155" i="15"/>
  <c r="BY155" i="15"/>
  <c r="BQ156" i="15"/>
  <c r="BU156" i="15"/>
  <c r="BW156" i="15"/>
  <c r="BY156" i="15"/>
  <c r="AN157" i="15"/>
  <c r="AZ157" i="15"/>
  <c r="BD157" i="15"/>
  <c r="BL157" i="15"/>
  <c r="BQ157" i="15"/>
  <c r="BU157" i="15"/>
  <c r="BW157" i="15"/>
  <c r="BY157" i="15"/>
  <c r="BU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M159" i="15"/>
  <c r="BO159" i="15"/>
  <c r="BQ159" i="15"/>
  <c r="BS159" i="15"/>
  <c r="BU159" i="15"/>
  <c r="BW159" i="15"/>
  <c r="BY159" i="15"/>
  <c r="Q162" i="15"/>
  <c r="BQ162" i="15"/>
  <c r="BW162" i="15"/>
  <c r="BY162" i="15"/>
  <c r="O163" i="15"/>
  <c r="Q163" i="15"/>
  <c r="BQ163" i="15"/>
  <c r="BU163" i="15"/>
  <c r="BW163" i="15"/>
  <c r="BY163" i="15"/>
  <c r="M164" i="15"/>
  <c r="O164" i="15"/>
  <c r="Q164" i="15"/>
  <c r="BB164" i="15"/>
  <c r="BQ164" i="15"/>
  <c r="BU164" i="15"/>
  <c r="BW164" i="15"/>
  <c r="BY164" i="15"/>
  <c r="BB165" i="15"/>
  <c r="BQ165" i="15"/>
  <c r="BU165" i="15"/>
  <c r="BW165" i="15"/>
  <c r="BY165" i="15"/>
  <c r="BQ166" i="15"/>
  <c r="BU166" i="15"/>
  <c r="BW166" i="15"/>
  <c r="BY166" i="15"/>
  <c r="BB167" i="15"/>
  <c r="BQ167" i="15"/>
  <c r="BU167" i="15"/>
  <c r="BW167" i="15"/>
  <c r="BY167" i="15"/>
  <c r="BB168" i="15"/>
  <c r="BQ168" i="15"/>
  <c r="BU168" i="15"/>
  <c r="BW168" i="15"/>
  <c r="BY168" i="15"/>
  <c r="BB169" i="15"/>
  <c r="BQ169" i="15"/>
  <c r="BU169" i="15"/>
  <c r="BW169" i="15"/>
  <c r="BY169" i="15"/>
  <c r="BB170" i="15"/>
  <c r="BQ170" i="15"/>
  <c r="BU170" i="15"/>
  <c r="BW170" i="15"/>
  <c r="BY170" i="15"/>
  <c r="BB171" i="15"/>
  <c r="BQ171" i="15"/>
  <c r="BU171" i="15"/>
  <c r="BW171" i="15"/>
  <c r="BY171" i="15"/>
  <c r="BB172" i="15"/>
  <c r="BQ172" i="15"/>
  <c r="BU172" i="15"/>
  <c r="BW172" i="15"/>
  <c r="BY172" i="15"/>
  <c r="BB173" i="15"/>
  <c r="BQ173" i="15"/>
  <c r="BU173" i="15"/>
  <c r="BW173" i="15"/>
  <c r="BY173" i="15"/>
  <c r="BB174" i="15"/>
  <c r="BQ174" i="15"/>
  <c r="BU174" i="15"/>
  <c r="BW174" i="15"/>
  <c r="BY174" i="15"/>
  <c r="BB175" i="15"/>
  <c r="BQ175" i="15"/>
  <c r="BU175" i="15"/>
  <c r="BW175" i="15"/>
  <c r="BY175" i="15"/>
  <c r="BB176" i="15"/>
  <c r="BQ176" i="15"/>
  <c r="BU176" i="15"/>
  <c r="BW176" i="15"/>
  <c r="BY176" i="15"/>
  <c r="BB177" i="15"/>
  <c r="BQ177" i="15"/>
  <c r="BU177" i="15"/>
  <c r="BW177" i="15"/>
  <c r="BY177" i="15"/>
  <c r="BB178" i="15"/>
  <c r="BQ178" i="15"/>
  <c r="BU178" i="15"/>
  <c r="BW178" i="15"/>
  <c r="BY178" i="15"/>
  <c r="BB179" i="15"/>
  <c r="BQ179" i="15"/>
  <c r="BU179" i="15"/>
  <c r="BW179" i="15"/>
  <c r="BY179" i="15"/>
  <c r="BL180" i="15"/>
  <c r="BQ180" i="15"/>
  <c r="BW180" i="15"/>
  <c r="BY180" i="15"/>
  <c r="R181" i="15"/>
  <c r="BQ181" i="15"/>
  <c r="BU181" i="15"/>
  <c r="BW181" i="15"/>
  <c r="BY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O182" i="15"/>
  <c r="BP182" i="15"/>
  <c r="BQ182" i="15"/>
  <c r="BR182" i="15"/>
  <c r="BS182" i="15"/>
  <c r="BT182" i="15"/>
  <c r="BU182" i="15"/>
  <c r="BV182" i="15"/>
  <c r="BW182" i="15"/>
  <c r="BX182" i="15"/>
  <c r="BY182" i="15"/>
  <c r="BZ182" i="15"/>
  <c r="BL184" i="15"/>
  <c r="BQ184" i="15"/>
  <c r="BU184" i="15"/>
  <c r="BW184" i="15"/>
  <c r="BY184" i="15"/>
  <c r="R187" i="15"/>
  <c r="BQ187" i="15"/>
  <c r="BU187" i="15"/>
  <c r="BW187" i="15"/>
  <c r="BY187" i="15"/>
  <c r="BQ188" i="15"/>
  <c r="BU188" i="15"/>
  <c r="BW188" i="15"/>
  <c r="BY188" i="15"/>
  <c r="BQ189" i="15"/>
  <c r="BU189" i="15"/>
  <c r="BW189" i="15"/>
  <c r="BY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M190" i="15"/>
  <c r="BO190" i="15"/>
  <c r="BQ190" i="15"/>
  <c r="BS190" i="15"/>
  <c r="BU190" i="15"/>
  <c r="BW190" i="15"/>
  <c r="BY190" i="15"/>
  <c r="BQ192" i="15"/>
  <c r="BU192" i="15"/>
  <c r="BW192" i="15"/>
  <c r="BY192" i="15"/>
  <c r="AL194" i="15"/>
  <c r="BQ194" i="15"/>
  <c r="BU194" i="15"/>
  <c r="BW194" i="15"/>
  <c r="BY194" i="15"/>
  <c r="AJ197" i="15"/>
  <c r="BQ197" i="15"/>
  <c r="BU197" i="15"/>
  <c r="BW197" i="15"/>
  <c r="BY197" i="15"/>
  <c r="AT198" i="15"/>
  <c r="AV198" i="15"/>
  <c r="BQ198" i="15"/>
  <c r="BU198" i="15"/>
  <c r="BW198" i="15"/>
  <c r="BY198" i="15"/>
  <c r="R199" i="15"/>
  <c r="BQ199" i="15"/>
  <c r="BW199" i="15"/>
  <c r="BY199" i="15"/>
  <c r="P200" i="15"/>
  <c r="R200" i="15"/>
  <c r="AR200" i="15"/>
  <c r="AT200" i="15"/>
  <c r="AV200" i="15"/>
  <c r="BF200" i="15"/>
  <c r="BH200" i="15"/>
  <c r="BJ200" i="15"/>
  <c r="BL200" i="15"/>
  <c r="BQ200" i="15"/>
  <c r="BU200" i="15"/>
  <c r="BW200" i="15"/>
  <c r="BY200" i="15"/>
  <c r="AT201" i="15"/>
  <c r="BQ201" i="15"/>
  <c r="BU201" i="15"/>
  <c r="BW201" i="15"/>
  <c r="BY201" i="15"/>
  <c r="BQ202" i="15"/>
  <c r="BW202" i="15"/>
  <c r="BY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O203" i="15"/>
  <c r="BP203" i="15"/>
  <c r="BQ203" i="15"/>
  <c r="BR203" i="15"/>
  <c r="BS203" i="15"/>
  <c r="BT203" i="15"/>
  <c r="BU203" i="15"/>
  <c r="BV203" i="15"/>
  <c r="BW203" i="15"/>
  <c r="BX203" i="15"/>
  <c r="BY203" i="15"/>
  <c r="BZ203" i="15"/>
  <c r="P206" i="15"/>
  <c r="BF206" i="15"/>
  <c r="BQ206" i="15"/>
  <c r="BU206" i="15"/>
  <c r="BW206" i="15"/>
  <c r="BY206" i="15"/>
  <c r="P207" i="15"/>
  <c r="AT207" i="15"/>
  <c r="BQ207" i="15"/>
  <c r="BU207" i="15"/>
  <c r="BW207" i="15"/>
  <c r="BY207" i="15"/>
  <c r="BQ208" i="15"/>
  <c r="BU208" i="15"/>
  <c r="BW208" i="15"/>
  <c r="BY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M209" i="15"/>
  <c r="BO209" i="15"/>
  <c r="BQ209" i="15"/>
  <c r="BS209" i="15"/>
  <c r="BU209" i="15"/>
  <c r="BW209" i="15"/>
  <c r="BY209" i="15"/>
  <c r="P211" i="15"/>
  <c r="AN211" i="15"/>
  <c r="AP211" i="15"/>
  <c r="AR211" i="15"/>
  <c r="AT211" i="15"/>
  <c r="AV211" i="15"/>
  <c r="AX211" i="15"/>
  <c r="AZ211" i="15"/>
  <c r="BF211" i="15"/>
  <c r="BQ211" i="15"/>
  <c r="BW211" i="15"/>
  <c r="BY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O213" i="15"/>
  <c r="BP213" i="15"/>
  <c r="BQ213" i="15"/>
  <c r="BR213" i="15"/>
  <c r="BS213" i="15"/>
  <c r="BT213" i="15"/>
  <c r="BU213" i="15"/>
  <c r="BV213" i="15"/>
  <c r="BW213" i="15"/>
  <c r="BX213" i="15"/>
  <c r="BY213" i="15"/>
  <c r="BZ213" i="15"/>
  <c r="P215" i="15"/>
  <c r="R215" i="15"/>
  <c r="BQ215" i="15"/>
  <c r="BU215" i="15"/>
  <c r="BW215" i="15"/>
  <c r="BY215" i="15"/>
  <c r="BQ217" i="15"/>
  <c r="BW217" i="15"/>
  <c r="BY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O219" i="15"/>
  <c r="BP219" i="15"/>
  <c r="BQ219" i="15"/>
  <c r="BR219" i="15"/>
  <c r="BS219" i="15"/>
  <c r="BT219" i="15"/>
  <c r="BU219" i="15"/>
  <c r="BV219" i="15"/>
  <c r="BW219" i="15"/>
  <c r="BX219" i="15"/>
  <c r="BY219" i="15"/>
  <c r="BQ222" i="15"/>
  <c r="BQ223" i="15"/>
  <c r="BQ224" i="15"/>
  <c r="BQ226" i="15"/>
  <c r="BQ229" i="15"/>
  <c r="BL234" i="15"/>
  <c r="BQ234" i="15"/>
  <c r="BB235" i="15"/>
  <c r="BQ235" i="15"/>
  <c r="BU235" i="15"/>
  <c r="BW235" i="15"/>
  <c r="BY235" i="15"/>
  <c r="BQ236" i="15"/>
  <c r="BU236" i="15"/>
  <c r="BW236" i="15"/>
  <c r="BY236" i="15"/>
  <c r="BB237" i="15"/>
  <c r="BQ237" i="15"/>
  <c r="BU237" i="15"/>
  <c r="BW237" i="15"/>
  <c r="BY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O238" i="15"/>
  <c r="BP238" i="15"/>
  <c r="BQ238" i="15"/>
  <c r="BR238" i="15"/>
  <c r="BS238" i="15"/>
  <c r="BT238" i="15"/>
  <c r="BU238" i="15"/>
  <c r="BV238" i="15"/>
  <c r="BW238" i="15"/>
  <c r="BX238" i="15"/>
  <c r="BY238" i="15"/>
  <c r="BZ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O241" i="15"/>
  <c r="BP241" i="15"/>
  <c r="BQ241" i="15"/>
  <c r="BR241" i="15"/>
  <c r="BS241" i="15"/>
  <c r="BT241" i="15"/>
  <c r="BU241" i="15"/>
  <c r="BV241" i="15"/>
  <c r="BW241" i="15"/>
  <c r="BX241" i="15"/>
  <c r="BY241" i="15"/>
  <c r="BZ241" i="15"/>
  <c r="BQ245" i="15"/>
  <c r="BQ246" i="15"/>
  <c r="BQ247" i="15"/>
  <c r="BQ248" i="15"/>
  <c r="BQ253" i="15"/>
  <c r="BQ255" i="15"/>
  <c r="BQ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W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E39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X2" i="13"/>
  <c r="BT3" i="13"/>
  <c r="BX3" i="13"/>
  <c r="BZ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BR7" i="13"/>
  <c r="AD9" i="13"/>
  <c r="AV9" i="13"/>
  <c r="BD9" i="13"/>
  <c r="BP9" i="13"/>
  <c r="BR9" i="13"/>
  <c r="BT9" i="13"/>
  <c r="BV9" i="13"/>
  <c r="BX9" i="13"/>
  <c r="BP10" i="13"/>
  <c r="BR10" i="13"/>
  <c r="BT10" i="13"/>
  <c r="BV10" i="13"/>
  <c r="BX10" i="13"/>
  <c r="BX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BV12" i="13"/>
  <c r="BX12" i="13"/>
  <c r="R14" i="13"/>
  <c r="BP14" i="13"/>
  <c r="BT14" i="13"/>
  <c r="BV14" i="13"/>
  <c r="BX14" i="13"/>
  <c r="AX15" i="13"/>
  <c r="BP15" i="13"/>
  <c r="BR15" i="13"/>
  <c r="BT15" i="13"/>
  <c r="BV15" i="13"/>
  <c r="BX15" i="13"/>
  <c r="BP16" i="13"/>
  <c r="BT16" i="13"/>
  <c r="BV16" i="13"/>
  <c r="BX16" i="13"/>
  <c r="BP17" i="13"/>
  <c r="BT17" i="13"/>
  <c r="BV17" i="13"/>
  <c r="BX17" i="13"/>
  <c r="BP18" i="13"/>
  <c r="BT18" i="13"/>
  <c r="BV18" i="13"/>
  <c r="BX18" i="13"/>
  <c r="BP19" i="13"/>
  <c r="BT19" i="13"/>
  <c r="BV19" i="13"/>
  <c r="BX19" i="13"/>
  <c r="BP20" i="13"/>
  <c r="BT20" i="13"/>
  <c r="BV20" i="13"/>
  <c r="BX20" i="13"/>
  <c r="BP21" i="13"/>
  <c r="BT21" i="13"/>
  <c r="BV21" i="13"/>
  <c r="BX21" i="13"/>
  <c r="R22" i="13"/>
  <c r="BP22" i="13"/>
  <c r="BT22" i="13"/>
  <c r="BV22" i="13"/>
  <c r="BX22" i="13"/>
  <c r="R23" i="13"/>
  <c r="BP23" i="13"/>
  <c r="BT23" i="13"/>
  <c r="BV23" i="13"/>
  <c r="BX23" i="13"/>
  <c r="R24" i="13"/>
  <c r="BP24" i="13"/>
  <c r="BT24" i="13"/>
  <c r="BV24" i="13"/>
  <c r="BX24" i="13"/>
  <c r="R25" i="13"/>
  <c r="BP25" i="13"/>
  <c r="BT25" i="13"/>
  <c r="BV25" i="13"/>
  <c r="BX25" i="13"/>
  <c r="R26" i="13"/>
  <c r="BP26" i="13"/>
  <c r="BT26" i="13"/>
  <c r="BV26" i="13"/>
  <c r="BX26" i="13"/>
  <c r="R27" i="13"/>
  <c r="BP27" i="13"/>
  <c r="BT27" i="13"/>
  <c r="BV27" i="13"/>
  <c r="BX27" i="13"/>
  <c r="R28" i="13"/>
  <c r="BP28" i="13"/>
  <c r="BT28" i="13"/>
  <c r="BV28" i="13"/>
  <c r="BX28" i="13"/>
  <c r="R29" i="13"/>
  <c r="BP29" i="13"/>
  <c r="BT29" i="13"/>
  <c r="BV29" i="13"/>
  <c r="BX29" i="13"/>
  <c r="BP30" i="13"/>
  <c r="BT30" i="13"/>
  <c r="BV30" i="13"/>
  <c r="BX30" i="13"/>
  <c r="BT31" i="13"/>
  <c r="BV31" i="13"/>
  <c r="BX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BV32" i="13"/>
  <c r="BX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BV34" i="13"/>
  <c r="BX34" i="13"/>
  <c r="AT40" i="13"/>
  <c r="AX40" i="13"/>
  <c r="BP40" i="13"/>
  <c r="BR40" i="13"/>
  <c r="BT40" i="13"/>
  <c r="BV40" i="13"/>
  <c r="BX40" i="13"/>
  <c r="AP41" i="13"/>
  <c r="AT41" i="13"/>
  <c r="AX41" i="13"/>
  <c r="BP41" i="13"/>
  <c r="BR41" i="13"/>
  <c r="BT41" i="13"/>
  <c r="BV41" i="13"/>
  <c r="BX41" i="13"/>
  <c r="AP42" i="13"/>
  <c r="AT42" i="13"/>
  <c r="AX42" i="13"/>
  <c r="BP42" i="13"/>
  <c r="BR42" i="13"/>
  <c r="BT42" i="13"/>
  <c r="BV42" i="13"/>
  <c r="BX42" i="13"/>
  <c r="AT43" i="13"/>
  <c r="AX43" i="13"/>
  <c r="BP43" i="13"/>
  <c r="BR43" i="13"/>
  <c r="BT43" i="13"/>
  <c r="BV43" i="13"/>
  <c r="BX43" i="13"/>
  <c r="AT44" i="13"/>
  <c r="AX44" i="13"/>
  <c r="BP44" i="13"/>
  <c r="BT44" i="13"/>
  <c r="BV44" i="13"/>
  <c r="BX44" i="13"/>
  <c r="BP45" i="13"/>
  <c r="BT45" i="13"/>
  <c r="BV45" i="13"/>
  <c r="BX45" i="13"/>
  <c r="BP46" i="13"/>
  <c r="BT46" i="13"/>
  <c r="BV46" i="13"/>
  <c r="BX46" i="13"/>
  <c r="BP47" i="13"/>
  <c r="BT47" i="13"/>
  <c r="BV47" i="13"/>
  <c r="R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N48" i="13"/>
  <c r="BP48" i="13"/>
  <c r="BQ48" i="13"/>
  <c r="BR48" i="13"/>
  <c r="BS48" i="13"/>
  <c r="BT48" i="13"/>
  <c r="BU48" i="13"/>
  <c r="BV48" i="13"/>
  <c r="BW48" i="13"/>
  <c r="BX48" i="13"/>
  <c r="BP50" i="13"/>
  <c r="BP51" i="13"/>
  <c r="BT51" i="13"/>
  <c r="BV51" i="13"/>
  <c r="BX51" i="13"/>
  <c r="AT52" i="13"/>
  <c r="AX52" i="13"/>
  <c r="BP52" i="13"/>
  <c r="BR52" i="13"/>
  <c r="BT52" i="13"/>
  <c r="BV52" i="13"/>
  <c r="BX52" i="13"/>
  <c r="BP53" i="13"/>
  <c r="BR53" i="13"/>
  <c r="BT53" i="13"/>
  <c r="BV53" i="13"/>
  <c r="BX53" i="13"/>
  <c r="AX54" i="13"/>
  <c r="BP54" i="13"/>
  <c r="BR54" i="13"/>
  <c r="BT54" i="13"/>
  <c r="BV54" i="13"/>
  <c r="BX54" i="13"/>
  <c r="R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N55" i="13"/>
  <c r="BP55" i="13"/>
  <c r="BQ55" i="13"/>
  <c r="BR55" i="13"/>
  <c r="BS55" i="13"/>
  <c r="BT55" i="13"/>
  <c r="BU55" i="13"/>
  <c r="BV55" i="13"/>
  <c r="BW55" i="13"/>
  <c r="BX55" i="13"/>
  <c r="R58" i="13"/>
  <c r="AX58" i="13"/>
  <c r="BP58" i="13"/>
  <c r="BR58" i="13"/>
  <c r="BT58" i="13"/>
  <c r="BV58" i="13"/>
  <c r="BX58" i="13"/>
  <c r="AX59" i="13"/>
  <c r="BP59" i="13"/>
  <c r="BQ59" i="13"/>
  <c r="BS59" i="13"/>
  <c r="BT59" i="13"/>
  <c r="BU59" i="13"/>
  <c r="BV59" i="13"/>
  <c r="BW59" i="13"/>
  <c r="BX59" i="13"/>
  <c r="AT60" i="13"/>
  <c r="AX60" i="13"/>
  <c r="BP60" i="13"/>
  <c r="BQ60" i="13"/>
  <c r="BR60" i="13"/>
  <c r="BS60" i="13"/>
  <c r="BT60" i="13"/>
  <c r="BU60" i="13"/>
  <c r="BV60" i="13"/>
  <c r="BW60" i="13"/>
  <c r="BX60" i="13"/>
  <c r="AT61" i="13"/>
  <c r="AX61" i="13"/>
  <c r="BP61" i="13"/>
  <c r="BT61" i="13"/>
  <c r="BV61" i="13"/>
  <c r="BX61" i="13"/>
  <c r="AT62" i="13"/>
  <c r="AX62" i="13"/>
  <c r="BP62" i="13"/>
  <c r="BR62" i="13"/>
  <c r="BT62" i="13"/>
  <c r="BV62" i="13"/>
  <c r="BX62" i="13"/>
  <c r="AT63" i="13"/>
  <c r="AX63" i="13"/>
  <c r="BP63" i="13"/>
  <c r="BT63" i="13"/>
  <c r="BV63" i="13"/>
  <c r="BX63" i="13"/>
  <c r="AT64" i="13"/>
  <c r="AX64" i="13"/>
  <c r="BP64" i="13"/>
  <c r="BR64" i="13"/>
  <c r="BT64" i="13"/>
  <c r="BV64" i="13"/>
  <c r="BX64" i="13"/>
  <c r="AX65" i="13"/>
  <c r="BP65" i="13"/>
  <c r="BT65" i="13"/>
  <c r="BV65" i="13"/>
  <c r="BX65" i="13"/>
  <c r="AX66" i="13"/>
  <c r="BP66" i="13"/>
  <c r="BQ66" i="13"/>
  <c r="BR66" i="13"/>
  <c r="BS66" i="13"/>
  <c r="BT66" i="13"/>
  <c r="BU66" i="13"/>
  <c r="BV66" i="13"/>
  <c r="BW66" i="13"/>
  <c r="BX66" i="13"/>
  <c r="BY66" i="13"/>
  <c r="BZ66" i="13"/>
  <c r="CA66" i="13"/>
  <c r="AX67" i="13"/>
  <c r="BP67" i="13"/>
  <c r="BT67" i="13"/>
  <c r="BV67" i="13"/>
  <c r="BX67" i="13"/>
  <c r="AX68" i="13"/>
  <c r="BP68" i="13"/>
  <c r="BR68" i="13"/>
  <c r="BT68" i="13"/>
  <c r="BV68" i="13"/>
  <c r="BX68" i="13"/>
  <c r="BP69" i="13"/>
  <c r="BT69" i="13"/>
  <c r="BV69" i="13"/>
  <c r="BX69" i="13"/>
  <c r="AX70" i="13"/>
  <c r="BP70" i="13"/>
  <c r="BT70" i="13"/>
  <c r="BV70" i="13"/>
  <c r="BX70" i="13"/>
  <c r="BP71" i="13"/>
  <c r="BT71" i="13"/>
  <c r="BV71" i="13"/>
  <c r="BX71" i="13"/>
  <c r="AX72" i="13"/>
  <c r="BP72" i="13"/>
  <c r="BR72" i="13"/>
  <c r="BT72" i="13"/>
  <c r="BV72" i="13"/>
  <c r="BX72" i="13"/>
  <c r="AX73" i="13"/>
  <c r="BP73" i="13"/>
  <c r="BR73" i="13"/>
  <c r="BT73" i="13"/>
  <c r="BV73" i="13"/>
  <c r="BX73" i="13"/>
  <c r="AX74" i="13"/>
  <c r="BP74" i="13"/>
  <c r="BR74" i="13"/>
  <c r="BT74" i="13"/>
  <c r="BV74" i="13"/>
  <c r="BX74" i="13"/>
  <c r="R75" i="13"/>
  <c r="BP75" i="13"/>
  <c r="BT75" i="13"/>
  <c r="BV75" i="13"/>
  <c r="BX75" i="13"/>
  <c r="AP76" i="13"/>
  <c r="AT76" i="13"/>
  <c r="AX76" i="13"/>
  <c r="BP76" i="13"/>
  <c r="BR76" i="13"/>
  <c r="BT76" i="13"/>
  <c r="BV76" i="13"/>
  <c r="BX76" i="13"/>
  <c r="AX77" i="13"/>
  <c r="BP77" i="13"/>
  <c r="BR77" i="13"/>
  <c r="BT77" i="13"/>
  <c r="BV77" i="13"/>
  <c r="BX77" i="13"/>
  <c r="AX78" i="13"/>
  <c r="BP78" i="13"/>
  <c r="BT78" i="13"/>
  <c r="BV78" i="13"/>
  <c r="BX78" i="13"/>
  <c r="R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N80" i="13"/>
  <c r="BP80" i="13"/>
  <c r="BQ80" i="13"/>
  <c r="BR80" i="13"/>
  <c r="BS80" i="13"/>
  <c r="BT80" i="13"/>
  <c r="BU80" i="13"/>
  <c r="BV80" i="13"/>
  <c r="BW80" i="13"/>
  <c r="BX80" i="13"/>
  <c r="BY80" i="13"/>
  <c r="AX83" i="13"/>
  <c r="BP83" i="13"/>
  <c r="BR83" i="13"/>
  <c r="BT83" i="13"/>
  <c r="BV83" i="13"/>
  <c r="BX83" i="13"/>
  <c r="R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N85" i="13"/>
  <c r="BP85" i="13"/>
  <c r="BQ85" i="13"/>
  <c r="BR85" i="13"/>
  <c r="BS85" i="13"/>
  <c r="BT85" i="13"/>
  <c r="BU85" i="13"/>
  <c r="BV85" i="13"/>
  <c r="BW85" i="13"/>
  <c r="BX85" i="13"/>
  <c r="AT87" i="13"/>
  <c r="BP87" i="13"/>
  <c r="BX87" i="13"/>
  <c r="AP89" i="13"/>
  <c r="AT89" i="13"/>
  <c r="AZ89" i="13"/>
  <c r="BD89" i="13"/>
  <c r="BP89" i="13"/>
  <c r="BR89" i="13"/>
  <c r="BT89" i="13"/>
  <c r="BV89" i="13"/>
  <c r="BX89" i="13"/>
  <c r="N91" i="13"/>
  <c r="P91" i="13"/>
  <c r="R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N91" i="13"/>
  <c r="BP91" i="13"/>
  <c r="BQ91" i="13"/>
  <c r="BR91" i="13"/>
  <c r="BS91" i="13"/>
  <c r="BT91" i="13"/>
  <c r="BU91" i="13"/>
  <c r="BV91" i="13"/>
  <c r="BW91" i="13"/>
  <c r="BX91" i="13"/>
  <c r="BY91" i="13"/>
  <c r="AH95" i="13"/>
  <c r="BP95" i="13"/>
  <c r="BT95" i="13"/>
  <c r="BV95" i="13"/>
  <c r="BX95" i="13"/>
  <c r="AH96" i="13"/>
  <c r="BP96" i="13"/>
  <c r="BT96" i="13"/>
  <c r="BV96" i="13"/>
  <c r="BX96" i="13"/>
  <c r="BP97" i="13"/>
  <c r="BT97" i="13"/>
  <c r="BV97" i="13"/>
  <c r="BX97" i="13"/>
  <c r="R98" i="13"/>
  <c r="BP98" i="13"/>
  <c r="BT98" i="13"/>
  <c r="BV98" i="13"/>
  <c r="BX98" i="13"/>
  <c r="R99" i="13"/>
  <c r="BP99" i="13"/>
  <c r="BT99" i="13"/>
  <c r="BV99" i="13"/>
  <c r="BX99" i="13"/>
  <c r="R100" i="13"/>
  <c r="BP100" i="13"/>
  <c r="BT100" i="13"/>
  <c r="BV100" i="13"/>
  <c r="BX100" i="13"/>
  <c r="BT101" i="13"/>
  <c r="BX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V102" i="13"/>
  <c r="BX102" i="13"/>
  <c r="BP105" i="13"/>
  <c r="BT105" i="13"/>
  <c r="BV105" i="13"/>
  <c r="BX105" i="13"/>
  <c r="BX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V107" i="13"/>
  <c r="BX107" i="13"/>
  <c r="BP112" i="13"/>
  <c r="BT112" i="13"/>
  <c r="BV112" i="13"/>
  <c r="BX112" i="13"/>
  <c r="AX113" i="13"/>
  <c r="BP113" i="13"/>
  <c r="BT113" i="13"/>
  <c r="BV113" i="13"/>
  <c r="BX113" i="13"/>
  <c r="BP114" i="13"/>
  <c r="BT114" i="13"/>
  <c r="BV114" i="13"/>
  <c r="BX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V115" i="13"/>
  <c r="BX115" i="13"/>
  <c r="BP117" i="13"/>
  <c r="BT117" i="13"/>
  <c r="BV117" i="13"/>
  <c r="BX117" i="13"/>
  <c r="BP119" i="13"/>
  <c r="BT119" i="13"/>
  <c r="BV119" i="13"/>
  <c r="BX119" i="13"/>
  <c r="BP121" i="13"/>
  <c r="BT121" i="13"/>
  <c r="BV121" i="13"/>
  <c r="BX121" i="13"/>
  <c r="BJ123" i="13"/>
  <c r="BP123" i="13"/>
  <c r="BV123" i="13"/>
  <c r="BX123" i="13"/>
  <c r="BP126" i="13"/>
  <c r="BT126" i="13"/>
  <c r="BV126" i="13"/>
  <c r="BX126" i="13"/>
  <c r="BP127" i="13"/>
  <c r="BT127" i="13"/>
  <c r="BV127" i="13"/>
  <c r="BX127" i="13"/>
  <c r="R128" i="13"/>
  <c r="AL128" i="13"/>
  <c r="AN128" i="13"/>
  <c r="AV128" i="13"/>
  <c r="BP128" i="13"/>
  <c r="BR128" i="13"/>
  <c r="BV128" i="13"/>
  <c r="BX128" i="13"/>
  <c r="BT129" i="13"/>
  <c r="BV129" i="13"/>
  <c r="BX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V130" i="13"/>
  <c r="BX130" i="13"/>
  <c r="BP133" i="13"/>
  <c r="BT133" i="13"/>
  <c r="BV133" i="13"/>
  <c r="BX133" i="13"/>
  <c r="BP134" i="13"/>
  <c r="BT134" i="13"/>
  <c r="BV134" i="13"/>
  <c r="BX134" i="13"/>
  <c r="Z135" i="13"/>
  <c r="AB135" i="13"/>
  <c r="AR135" i="13"/>
  <c r="BH135" i="13"/>
  <c r="BP135" i="13"/>
  <c r="BT135" i="13"/>
  <c r="BV135" i="13"/>
  <c r="BX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V137" i="13"/>
  <c r="BX137" i="13"/>
  <c r="BH139" i="13"/>
  <c r="BJ139" i="13"/>
  <c r="BP139" i="13"/>
  <c r="BT139" i="13"/>
  <c r="BV139" i="13"/>
  <c r="BX139" i="13"/>
  <c r="BP141" i="13"/>
  <c r="BT141" i="13"/>
  <c r="BV141" i="13"/>
  <c r="BX141" i="13"/>
  <c r="R144" i="13"/>
  <c r="BP144" i="13"/>
  <c r="BT144" i="13"/>
  <c r="BV144" i="13"/>
  <c r="BX144" i="13"/>
  <c r="BP145" i="13"/>
  <c r="BV145" i="13"/>
  <c r="BX145" i="13"/>
  <c r="BP146" i="13"/>
  <c r="BT146" i="13"/>
  <c r="BV146" i="13"/>
  <c r="BX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V147" i="13"/>
  <c r="BX147" i="13"/>
  <c r="BP149" i="13"/>
  <c r="BV149" i="13"/>
  <c r="BX149" i="13"/>
  <c r="AB151" i="13"/>
  <c r="AD151" i="13"/>
  <c r="BP151" i="13"/>
  <c r="BT151" i="13"/>
  <c r="BV151" i="13"/>
  <c r="BX151" i="13"/>
  <c r="BP154" i="13"/>
  <c r="BV154" i="13"/>
  <c r="BX154" i="13"/>
  <c r="Z155" i="13"/>
  <c r="AD155" i="13"/>
  <c r="BP155" i="13"/>
  <c r="BV155" i="13"/>
  <c r="BX155" i="13"/>
  <c r="BP156" i="13"/>
  <c r="BT156" i="13"/>
  <c r="BV156" i="13"/>
  <c r="BX156" i="13"/>
  <c r="P157" i="13"/>
  <c r="AD157" i="13"/>
  <c r="AP157" i="13"/>
  <c r="AR157" i="13"/>
  <c r="AZ157" i="13"/>
  <c r="BB157" i="13"/>
  <c r="BD157" i="13"/>
  <c r="BH157" i="13"/>
  <c r="BJ157" i="13"/>
  <c r="BP157" i="13"/>
  <c r="BT157" i="13"/>
  <c r="BV157" i="13"/>
  <c r="BX157" i="13"/>
  <c r="AR158" i="13"/>
  <c r="BP158" i="13"/>
  <c r="BT158" i="13"/>
  <c r="BV158" i="13"/>
  <c r="BX158" i="13"/>
  <c r="AH159" i="13"/>
  <c r="BP159" i="13"/>
  <c r="BT159" i="13"/>
  <c r="BV159" i="13"/>
  <c r="BX159" i="13"/>
  <c r="N160" i="13"/>
  <c r="P160" i="13"/>
  <c r="R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N160" i="13"/>
  <c r="BP160" i="13"/>
  <c r="BQ160" i="13"/>
  <c r="BR160" i="13"/>
  <c r="BS160" i="13"/>
  <c r="BT160" i="13"/>
  <c r="BU160" i="13"/>
  <c r="BV160" i="13"/>
  <c r="BW160" i="13"/>
  <c r="BX160" i="13"/>
  <c r="P163" i="13"/>
  <c r="BP163" i="13"/>
  <c r="BT163" i="13"/>
  <c r="BV163" i="13"/>
  <c r="BX163" i="13"/>
  <c r="AR164" i="13"/>
  <c r="BP164" i="13"/>
  <c r="BT164" i="13"/>
  <c r="BV164" i="13"/>
  <c r="BX164" i="13"/>
  <c r="AR165" i="13"/>
  <c r="BD165" i="13"/>
  <c r="BJ165" i="13"/>
  <c r="BP165" i="13"/>
  <c r="BT165" i="13"/>
  <c r="BV165" i="13"/>
  <c r="BX165" i="13"/>
  <c r="BP166" i="13"/>
  <c r="BT166" i="13"/>
  <c r="BV166" i="13"/>
  <c r="BX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BV167" i="13"/>
  <c r="BX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P169" i="13"/>
  <c r="BV169" i="13"/>
  <c r="BX169" i="13"/>
  <c r="R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N171" i="13"/>
  <c r="BP171" i="13"/>
  <c r="BQ171" i="13"/>
  <c r="BR171" i="13"/>
  <c r="BS171" i="13"/>
  <c r="BT171" i="13"/>
  <c r="BU171" i="13"/>
  <c r="BV171" i="13"/>
  <c r="BW171" i="13"/>
  <c r="BX171" i="13"/>
  <c r="BY171" i="13"/>
  <c r="P173" i="13"/>
  <c r="R173" i="13"/>
  <c r="BT173" i="13"/>
  <c r="BV173" i="13"/>
  <c r="BX173" i="13"/>
  <c r="R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N176" i="13"/>
  <c r="BP176" i="13"/>
  <c r="BQ176" i="13"/>
  <c r="BR176" i="13"/>
  <c r="BS176" i="13"/>
  <c r="BT176" i="13"/>
  <c r="BU176" i="13"/>
  <c r="BV176" i="13"/>
  <c r="BW176" i="13"/>
  <c r="BX176" i="13"/>
  <c r="BV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P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P180" i="13"/>
  <c r="BP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P183" i="13"/>
  <c r="BD184" i="13"/>
  <c r="BP185" i="13"/>
  <c r="BD186" i="13"/>
  <c r="BP186" i="13"/>
  <c r="BD187" i="13"/>
  <c r="A1" i="12"/>
  <c r="A2" i="12"/>
  <c r="BY2" i="12"/>
  <c r="BU3" i="12"/>
  <c r="BY3" i="12"/>
  <c r="CA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M7" i="12"/>
  <c r="BO7" i="12"/>
  <c r="BQ7" i="12"/>
  <c r="BS7" i="12"/>
  <c r="BQ9" i="12"/>
  <c r="BS9" i="12"/>
  <c r="BU9" i="12"/>
  <c r="BW9" i="12"/>
  <c r="BY9" i="12"/>
  <c r="BQ10" i="12"/>
  <c r="BU10" i="12"/>
  <c r="BW10" i="12"/>
  <c r="BY10" i="12"/>
  <c r="BQ11" i="12"/>
  <c r="BU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M12" i="12"/>
  <c r="BO12" i="12"/>
  <c r="BQ12" i="12"/>
  <c r="BS12" i="12"/>
  <c r="BU12" i="12"/>
  <c r="BW12" i="12"/>
  <c r="BY12" i="12"/>
  <c r="R14" i="12"/>
  <c r="BQ14" i="12"/>
  <c r="BU14" i="12"/>
  <c r="BW14" i="12"/>
  <c r="BY14" i="12"/>
  <c r="AH15" i="12"/>
  <c r="BQ15" i="12"/>
  <c r="BS15" i="12"/>
  <c r="BW15" i="12"/>
  <c r="BY15" i="12"/>
  <c r="BQ16" i="12"/>
  <c r="BU16" i="12"/>
  <c r="BW16" i="12"/>
  <c r="BY16" i="12"/>
  <c r="BQ17" i="12"/>
  <c r="BU17" i="12"/>
  <c r="BW17" i="12"/>
  <c r="BY17" i="12"/>
  <c r="BQ18" i="12"/>
  <c r="BU18" i="12"/>
  <c r="BW18" i="12"/>
  <c r="BY18" i="12"/>
  <c r="BQ19" i="12"/>
  <c r="BU19" i="12"/>
  <c r="BW19" i="12"/>
  <c r="BY19" i="12"/>
  <c r="BQ20" i="12"/>
  <c r="BU20" i="12"/>
  <c r="BW20" i="12"/>
  <c r="BY20" i="12"/>
  <c r="R21" i="12"/>
  <c r="BQ21" i="12"/>
  <c r="BU21" i="12"/>
  <c r="BW21" i="12"/>
  <c r="BY21" i="12"/>
  <c r="R22" i="12"/>
  <c r="BQ22" i="12"/>
  <c r="BU22" i="12"/>
  <c r="BW22" i="12"/>
  <c r="BY22" i="12"/>
  <c r="R23" i="12"/>
  <c r="BQ23" i="12"/>
  <c r="BU23" i="12"/>
  <c r="BW23" i="12"/>
  <c r="BY23" i="12"/>
  <c r="R24" i="12"/>
  <c r="BQ24" i="12"/>
  <c r="BU24" i="12"/>
  <c r="BW24" i="12"/>
  <c r="BY24" i="12"/>
  <c r="R25" i="12"/>
  <c r="BQ25" i="12"/>
  <c r="BU25" i="12"/>
  <c r="BW25" i="12"/>
  <c r="BY25" i="12"/>
  <c r="R26" i="12"/>
  <c r="BQ26" i="12"/>
  <c r="BU26" i="12"/>
  <c r="BW26" i="12"/>
  <c r="BY26" i="12"/>
  <c r="R27" i="12"/>
  <c r="BQ27" i="12"/>
  <c r="BU27" i="12"/>
  <c r="BW27" i="12"/>
  <c r="BY27" i="12"/>
  <c r="R28" i="12"/>
  <c r="BQ28" i="12"/>
  <c r="BU28" i="12"/>
  <c r="BW28" i="12"/>
  <c r="BY28" i="12"/>
  <c r="BQ29" i="12"/>
  <c r="BU29" i="12"/>
  <c r="BW29" i="12"/>
  <c r="BY29" i="12"/>
  <c r="BU30" i="12"/>
  <c r="BW30" i="12"/>
  <c r="BY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M31" i="12"/>
  <c r="BO31" i="12"/>
  <c r="BQ31" i="12"/>
  <c r="BS31" i="12"/>
  <c r="BU31" i="12"/>
  <c r="BW31" i="12"/>
  <c r="BY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M33" i="12"/>
  <c r="BO33" i="12"/>
  <c r="BQ33" i="12"/>
  <c r="BS33" i="12"/>
  <c r="BU33" i="12"/>
  <c r="BW33" i="12"/>
  <c r="BY33" i="12"/>
  <c r="AR39" i="12"/>
  <c r="AT39" i="12"/>
  <c r="AX39" i="12"/>
  <c r="BD39" i="12"/>
  <c r="BF39" i="12"/>
  <c r="BJ39" i="12"/>
  <c r="BQ39" i="12"/>
  <c r="BS39" i="12"/>
  <c r="BU39" i="12"/>
  <c r="BW39" i="12"/>
  <c r="BY39" i="12"/>
  <c r="AP40" i="12"/>
  <c r="AR40" i="12"/>
  <c r="AT40" i="12"/>
  <c r="AX40" i="12"/>
  <c r="BD40" i="12"/>
  <c r="BF40" i="12"/>
  <c r="BJ40" i="12"/>
  <c r="BQ40" i="12"/>
  <c r="BS40" i="12"/>
  <c r="BU40" i="12"/>
  <c r="BW40" i="12"/>
  <c r="BY40" i="12"/>
  <c r="AP41" i="12"/>
  <c r="AR41" i="12"/>
  <c r="AT41" i="12"/>
  <c r="AX41" i="12"/>
  <c r="BD41" i="12"/>
  <c r="BF41" i="12"/>
  <c r="BJ41" i="12"/>
  <c r="BQ41" i="12"/>
  <c r="BS41" i="12"/>
  <c r="BU41" i="12"/>
  <c r="BW41" i="12"/>
  <c r="BY41" i="12"/>
  <c r="R42" i="12"/>
  <c r="AP42" i="12"/>
  <c r="AR42" i="12"/>
  <c r="AT42" i="12"/>
  <c r="AX42" i="12"/>
  <c r="BD42" i="12"/>
  <c r="BF42" i="12"/>
  <c r="BJ42" i="12"/>
  <c r="BQ42" i="12"/>
  <c r="BS42" i="12"/>
  <c r="BU42" i="12"/>
  <c r="BW42" i="12"/>
  <c r="BY42" i="12"/>
  <c r="AR43" i="12"/>
  <c r="AT43" i="12"/>
  <c r="AX43" i="12"/>
  <c r="BD43" i="12"/>
  <c r="BJ43" i="12"/>
  <c r="BQ43" i="12"/>
  <c r="BS43" i="12"/>
  <c r="BU43" i="12"/>
  <c r="BW43" i="12"/>
  <c r="BY43" i="12"/>
  <c r="BQ44" i="12"/>
  <c r="BS44" i="12"/>
  <c r="BU44" i="12"/>
  <c r="BW44" i="12"/>
  <c r="BY44" i="12"/>
  <c r="BQ45" i="12"/>
  <c r="BS45" i="12"/>
  <c r="BU45" i="12"/>
  <c r="BW45" i="12"/>
  <c r="BY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M46" i="12"/>
  <c r="BO46" i="12"/>
  <c r="BQ46" i="12"/>
  <c r="BS46" i="12"/>
  <c r="BU46" i="12"/>
  <c r="BV46" i="12"/>
  <c r="BW46" i="12"/>
  <c r="BX46" i="12"/>
  <c r="BY46" i="12"/>
  <c r="AT49" i="12"/>
  <c r="AX49" i="12"/>
  <c r="BD49" i="12"/>
  <c r="BF49" i="12"/>
  <c r="BJ49" i="12"/>
  <c r="BQ49" i="12"/>
  <c r="BS49" i="12"/>
  <c r="BU49" i="12"/>
  <c r="BW49" i="12"/>
  <c r="BY49" i="12"/>
  <c r="AR50" i="12"/>
  <c r="AT50" i="12"/>
  <c r="AX50" i="12"/>
  <c r="BD50" i="12"/>
  <c r="BF50" i="12"/>
  <c r="BJ50" i="12"/>
  <c r="BQ50" i="12"/>
  <c r="BS50" i="12"/>
  <c r="BU50" i="12"/>
  <c r="BW50" i="12"/>
  <c r="BY50" i="12"/>
  <c r="AT51" i="12"/>
  <c r="AX51" i="12"/>
  <c r="BD51" i="12"/>
  <c r="BF51" i="12"/>
  <c r="BJ51" i="12"/>
  <c r="BQ51" i="12"/>
  <c r="BS51" i="12"/>
  <c r="BU51" i="12"/>
  <c r="BW51" i="12"/>
  <c r="BY51" i="12"/>
  <c r="AX52" i="12"/>
  <c r="BD52" i="12"/>
  <c r="BF52" i="12"/>
  <c r="BJ52" i="12"/>
  <c r="BQ52" i="12"/>
  <c r="BS52" i="12"/>
  <c r="BU52" i="12"/>
  <c r="BW52" i="12"/>
  <c r="BY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M53" i="12"/>
  <c r="BO53" i="12"/>
  <c r="BQ53" i="12"/>
  <c r="BS53" i="12"/>
  <c r="BU53" i="12"/>
  <c r="BV53" i="12"/>
  <c r="BW53" i="12"/>
  <c r="BX53" i="12"/>
  <c r="BY53" i="12"/>
  <c r="R56" i="12"/>
  <c r="AT56" i="12"/>
  <c r="BD56" i="12"/>
  <c r="BF56" i="12"/>
  <c r="BJ56" i="12"/>
  <c r="BQ56" i="12"/>
  <c r="BS56" i="12"/>
  <c r="BU56" i="12"/>
  <c r="BW56" i="12"/>
  <c r="BY56" i="12"/>
  <c r="BF57" i="12"/>
  <c r="BQ57" i="12"/>
  <c r="BU57" i="12"/>
  <c r="BW57" i="12"/>
  <c r="BY57" i="12"/>
  <c r="AT58" i="12"/>
  <c r="AX58" i="12"/>
  <c r="BD58" i="12"/>
  <c r="BF58" i="12"/>
  <c r="BQ58" i="12"/>
  <c r="BS58" i="12"/>
  <c r="BU58" i="12"/>
  <c r="BW58" i="12"/>
  <c r="BY58" i="12"/>
  <c r="AX59" i="12"/>
  <c r="BD59" i="12"/>
  <c r="BF59" i="12"/>
  <c r="BQ59" i="12"/>
  <c r="BS59" i="12"/>
  <c r="BU59" i="12"/>
  <c r="BW59" i="12"/>
  <c r="BY59" i="12"/>
  <c r="AT60" i="12"/>
  <c r="AX60" i="12"/>
  <c r="BD60" i="12"/>
  <c r="BF60" i="12"/>
  <c r="BQ60" i="12"/>
  <c r="BS60" i="12"/>
  <c r="BU60" i="12"/>
  <c r="BW60" i="12"/>
  <c r="BY60" i="12"/>
  <c r="AT61" i="12"/>
  <c r="AX61" i="12"/>
  <c r="BD61" i="12"/>
  <c r="BJ61" i="12"/>
  <c r="BQ61" i="12"/>
  <c r="BS61" i="12"/>
  <c r="BU61" i="12"/>
  <c r="BW61" i="12"/>
  <c r="BY61" i="12"/>
  <c r="AX62" i="12"/>
  <c r="BD62" i="12"/>
  <c r="BF62" i="12"/>
  <c r="BJ62" i="12"/>
  <c r="BQ62" i="12"/>
  <c r="BS62" i="12"/>
  <c r="BU62" i="12"/>
  <c r="BW62" i="12"/>
  <c r="BY62" i="12"/>
  <c r="AT63" i="12"/>
  <c r="AX63" i="12"/>
  <c r="BD63" i="12"/>
  <c r="BF63" i="12"/>
  <c r="BJ63" i="12"/>
  <c r="BQ63" i="12"/>
  <c r="BS63" i="12"/>
  <c r="BU63" i="12"/>
  <c r="BW63" i="12"/>
  <c r="BY63" i="12"/>
  <c r="AX64" i="12"/>
  <c r="BD64" i="12"/>
  <c r="BF64" i="12"/>
  <c r="BQ64" i="12"/>
  <c r="BS64" i="12"/>
  <c r="BU64" i="12"/>
  <c r="BW64" i="12"/>
  <c r="BY64" i="12"/>
  <c r="AT65" i="12"/>
  <c r="AX65" i="12"/>
  <c r="BD65" i="12"/>
  <c r="BF65" i="12"/>
  <c r="BJ65" i="12"/>
  <c r="BQ65" i="12"/>
  <c r="BS65" i="12"/>
  <c r="BU65" i="12"/>
  <c r="BW65" i="12"/>
  <c r="BY65" i="12"/>
  <c r="AX66" i="12"/>
  <c r="BD66" i="12"/>
  <c r="BF66" i="12"/>
  <c r="BQ66" i="12"/>
  <c r="BS66" i="12"/>
  <c r="BU66" i="12"/>
  <c r="BW66" i="12"/>
  <c r="BY66" i="12"/>
  <c r="AX67" i="12"/>
  <c r="BD67" i="12"/>
  <c r="BQ67" i="12"/>
  <c r="BS67" i="12"/>
  <c r="BU67" i="12"/>
  <c r="BW67" i="12"/>
  <c r="BY67" i="12"/>
  <c r="BD68" i="12"/>
  <c r="BF68" i="12"/>
  <c r="BQ68" i="12"/>
  <c r="BS68" i="12"/>
  <c r="BU68" i="12"/>
  <c r="BW68" i="12"/>
  <c r="BY68" i="12"/>
  <c r="AX69" i="12"/>
  <c r="BD69" i="12"/>
  <c r="BF69" i="12"/>
  <c r="BJ69" i="12"/>
  <c r="BQ69" i="12"/>
  <c r="BS69" i="12"/>
  <c r="BU69" i="12"/>
  <c r="BW69" i="12"/>
  <c r="BY69" i="12"/>
  <c r="AT70" i="12"/>
  <c r="AX70" i="12"/>
  <c r="BD70" i="12"/>
  <c r="BF70" i="12"/>
  <c r="BQ70" i="12"/>
  <c r="BS70" i="12"/>
  <c r="BU70" i="12"/>
  <c r="BW70" i="12"/>
  <c r="BY70" i="12"/>
  <c r="AX71" i="12"/>
  <c r="BD71" i="12"/>
  <c r="BF71" i="12"/>
  <c r="BJ71" i="12"/>
  <c r="BQ71" i="12"/>
  <c r="BS71" i="12"/>
  <c r="BU71" i="12"/>
  <c r="BW71" i="12"/>
  <c r="BY71" i="12"/>
  <c r="AX72" i="12"/>
  <c r="BD72" i="12"/>
  <c r="BF72" i="12"/>
  <c r="BJ72" i="12"/>
  <c r="BQ72" i="12"/>
  <c r="BS72" i="12"/>
  <c r="BU72" i="12"/>
  <c r="BW72" i="12"/>
  <c r="BY72" i="12"/>
  <c r="R73" i="12"/>
  <c r="BD73" i="12"/>
  <c r="BF73" i="12"/>
  <c r="BJ73" i="12"/>
  <c r="BQ73" i="12"/>
  <c r="BS73" i="12"/>
  <c r="BU73" i="12"/>
  <c r="BW73" i="12"/>
  <c r="BY73" i="12"/>
  <c r="AT74" i="12"/>
  <c r="AX74" i="12"/>
  <c r="BD74" i="12"/>
  <c r="BF74" i="12"/>
  <c r="BJ74" i="12"/>
  <c r="BQ74" i="12"/>
  <c r="BS74" i="12"/>
  <c r="BU74" i="12"/>
  <c r="BW74" i="12"/>
  <c r="BY74" i="12"/>
  <c r="BD75" i="12"/>
  <c r="BF75" i="12"/>
  <c r="BJ75" i="12"/>
  <c r="BQ75" i="12"/>
  <c r="BS75" i="12"/>
  <c r="BU75" i="12"/>
  <c r="BW75" i="12"/>
  <c r="BY75" i="12"/>
  <c r="BQ76" i="12"/>
  <c r="BU76" i="12"/>
  <c r="BW76" i="12"/>
  <c r="BY76" i="12"/>
  <c r="AX77" i="12"/>
  <c r="BD77" i="12"/>
  <c r="BF77" i="12"/>
  <c r="BJ77" i="12"/>
  <c r="BQ77" i="12"/>
  <c r="BS77" i="12"/>
  <c r="BU77" i="12"/>
  <c r="BW77" i="12"/>
  <c r="BY77" i="12"/>
  <c r="AX78" i="12"/>
  <c r="BD78" i="12"/>
  <c r="BF78" i="12"/>
  <c r="BJ78" i="12"/>
  <c r="BQ78" i="12"/>
  <c r="BU78" i="12"/>
  <c r="BW78" i="12"/>
  <c r="BY78" i="12"/>
  <c r="AX79" i="12"/>
  <c r="BD79" i="12"/>
  <c r="BF79" i="12"/>
  <c r="BJ79" i="12"/>
  <c r="BQ79" i="12"/>
  <c r="BU79" i="12"/>
  <c r="BW79" i="12"/>
  <c r="BY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M80" i="12"/>
  <c r="BO80" i="12"/>
  <c r="BQ80" i="12"/>
  <c r="BS80" i="12"/>
  <c r="BU80" i="12"/>
  <c r="BV80" i="12"/>
  <c r="BW80" i="12"/>
  <c r="BX80" i="12"/>
  <c r="BY80" i="12"/>
  <c r="BZ80" i="12"/>
  <c r="AT83" i="12"/>
  <c r="AX83" i="12"/>
  <c r="BD83" i="12"/>
  <c r="BF83" i="12"/>
  <c r="BJ83" i="12"/>
  <c r="BQ83" i="12"/>
  <c r="BS83" i="12"/>
  <c r="BU83" i="12"/>
  <c r="BW83" i="12"/>
  <c r="BY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M85" i="12"/>
  <c r="BO85" i="12"/>
  <c r="BQ85" i="12"/>
  <c r="BS85" i="12"/>
  <c r="BU85" i="12"/>
  <c r="BV85" i="12"/>
  <c r="BW85" i="12"/>
  <c r="BX85" i="12"/>
  <c r="BY85" i="12"/>
  <c r="BQ86" i="12"/>
  <c r="BV86" i="12"/>
  <c r="BX86" i="12"/>
  <c r="BY86" i="12"/>
  <c r="AP87" i="12"/>
  <c r="AR87" i="12"/>
  <c r="AT87" i="12"/>
  <c r="AX87" i="12"/>
  <c r="BD87" i="12"/>
  <c r="BF87" i="12"/>
  <c r="BQ87" i="12"/>
  <c r="BU87" i="12"/>
  <c r="BV87" i="12"/>
  <c r="BW87" i="12"/>
  <c r="BX87" i="12"/>
  <c r="BY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M89" i="12"/>
  <c r="BO89" i="12"/>
  <c r="BQ89" i="12"/>
  <c r="BS89" i="12"/>
  <c r="BU89" i="12"/>
  <c r="BV89" i="12"/>
  <c r="BW89" i="12"/>
  <c r="BX89" i="12"/>
  <c r="BY89" i="12"/>
  <c r="BZ89" i="12"/>
  <c r="AH92" i="12"/>
  <c r="BQ92" i="12"/>
  <c r="BU92" i="12"/>
  <c r="BW92" i="12"/>
  <c r="BY92" i="12"/>
  <c r="AH93" i="12"/>
  <c r="BQ93" i="12"/>
  <c r="BU93" i="12"/>
  <c r="BW93" i="12"/>
  <c r="BY93" i="12"/>
  <c r="BQ94" i="12"/>
  <c r="BU94" i="12"/>
  <c r="BW94" i="12"/>
  <c r="BY94" i="12"/>
  <c r="R95" i="12"/>
  <c r="BQ95" i="12"/>
  <c r="BU95" i="12"/>
  <c r="BW95" i="12"/>
  <c r="BY95" i="12"/>
  <c r="R96" i="12"/>
  <c r="BQ96" i="12"/>
  <c r="BU96" i="12"/>
  <c r="BW96" i="12"/>
  <c r="BY96" i="12"/>
  <c r="R97" i="12"/>
  <c r="BQ97" i="12"/>
  <c r="BU97" i="12"/>
  <c r="BW97" i="12"/>
  <c r="BY97" i="12"/>
  <c r="BQ98" i="12"/>
  <c r="BU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M99" i="12"/>
  <c r="BO99" i="12"/>
  <c r="BQ99" i="12"/>
  <c r="BS99" i="12"/>
  <c r="BU99" i="12"/>
  <c r="BW99" i="12"/>
  <c r="BY99" i="12"/>
  <c r="BQ102" i="12"/>
  <c r="BU102" i="12"/>
  <c r="BW102" i="12"/>
  <c r="BY102" i="12"/>
  <c r="BQ103" i="12"/>
  <c r="BU103" i="12"/>
  <c r="BW103" i="12"/>
  <c r="BY103" i="12"/>
  <c r="BQ104" i="12"/>
  <c r="BU104" i="12"/>
  <c r="BW104" i="12"/>
  <c r="BY104" i="12"/>
  <c r="BQ105" i="12"/>
  <c r="BU105" i="12"/>
  <c r="BW105" i="12"/>
  <c r="BY105" i="12"/>
  <c r="BQ106" i="12"/>
  <c r="BU106" i="12"/>
  <c r="BW106" i="12"/>
  <c r="BY106" i="12"/>
  <c r="BU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M108" i="12"/>
  <c r="BO108" i="12"/>
  <c r="BQ108" i="12"/>
  <c r="BS108" i="12"/>
  <c r="BU108" i="12"/>
  <c r="BW108" i="12"/>
  <c r="BY108" i="12"/>
  <c r="AJ112" i="12"/>
  <c r="BQ114" i="12"/>
  <c r="BU114" i="12"/>
  <c r="BW114" i="12"/>
  <c r="BY114" i="12"/>
  <c r="AX115" i="12"/>
  <c r="BQ115" i="12"/>
  <c r="BW115" i="12"/>
  <c r="BY115" i="12"/>
  <c r="BQ116" i="12"/>
  <c r="BU116" i="12"/>
  <c r="BW116" i="12"/>
  <c r="BY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M117" i="12"/>
  <c r="BO117" i="12"/>
  <c r="BQ117" i="12"/>
  <c r="BS117" i="12"/>
  <c r="BU117" i="12"/>
  <c r="BW117" i="12"/>
  <c r="BY117" i="12"/>
  <c r="BQ121" i="12"/>
  <c r="BU121" i="12"/>
  <c r="BW121" i="12"/>
  <c r="BY121" i="12"/>
  <c r="BQ123" i="12"/>
  <c r="BU123" i="12"/>
  <c r="BW123" i="12"/>
  <c r="BY123" i="12"/>
  <c r="BQ125" i="12"/>
  <c r="BW125" i="12"/>
  <c r="BY125" i="12"/>
  <c r="BQ128" i="12"/>
  <c r="BU128" i="12"/>
  <c r="BW128" i="12"/>
  <c r="BY128" i="12"/>
  <c r="BQ129" i="12"/>
  <c r="BU129" i="12"/>
  <c r="BW129" i="12"/>
  <c r="BY129" i="12"/>
  <c r="R130" i="12"/>
  <c r="AV130" i="12"/>
  <c r="BQ130" i="12"/>
  <c r="BU130" i="12"/>
  <c r="BW130" i="12"/>
  <c r="BY130" i="12"/>
  <c r="BQ131" i="12"/>
  <c r="BU131" i="12"/>
  <c r="BW131" i="12"/>
  <c r="BY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M132" i="12"/>
  <c r="BO132" i="12"/>
  <c r="BQ132" i="12"/>
  <c r="BS132" i="12"/>
  <c r="BU132" i="12"/>
  <c r="BW132" i="12"/>
  <c r="BY132" i="12"/>
  <c r="BQ135" i="12"/>
  <c r="BU135" i="12"/>
  <c r="BW135" i="12"/>
  <c r="BY135" i="12"/>
  <c r="BQ136" i="12"/>
  <c r="BU136" i="12"/>
  <c r="BW136" i="12"/>
  <c r="BY136" i="12"/>
  <c r="AF137" i="12"/>
  <c r="AH137" i="12"/>
  <c r="AJ137" i="12"/>
  <c r="AP137" i="12"/>
  <c r="BB137" i="12"/>
  <c r="BH137" i="12"/>
  <c r="BQ137" i="12"/>
  <c r="BU137" i="12"/>
  <c r="BW137" i="12"/>
  <c r="BY137" i="12"/>
  <c r="BJ138" i="12"/>
  <c r="BO138" i="12"/>
  <c r="BQ138" i="12"/>
  <c r="BU138" i="12"/>
  <c r="BW138" i="12"/>
  <c r="BY138" i="12"/>
  <c r="BU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M140" i="12"/>
  <c r="BO140" i="12"/>
  <c r="BQ140" i="12"/>
  <c r="BS140" i="12"/>
  <c r="BU140" i="12"/>
  <c r="BW140" i="12"/>
  <c r="BY140" i="12"/>
  <c r="AP142" i="12"/>
  <c r="BQ142" i="12"/>
  <c r="BW142" i="12"/>
  <c r="BY142" i="12"/>
  <c r="BO144" i="12"/>
  <c r="BQ144" i="12"/>
  <c r="BS144" i="12"/>
  <c r="BW144" i="12"/>
  <c r="BY144" i="12"/>
  <c r="R147" i="12"/>
  <c r="BQ147" i="12"/>
  <c r="BU147" i="12"/>
  <c r="BW147" i="12"/>
  <c r="BY147" i="12"/>
  <c r="BQ148" i="12"/>
  <c r="BU148" i="12"/>
  <c r="BW148" i="12"/>
  <c r="BY148" i="12"/>
  <c r="BQ149" i="12"/>
  <c r="BU149" i="12"/>
  <c r="BW149" i="12"/>
  <c r="BY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M150" i="12"/>
  <c r="BO150" i="12"/>
  <c r="BQ150" i="12"/>
  <c r="BS150" i="12"/>
  <c r="BU150" i="12"/>
  <c r="BW150" i="12"/>
  <c r="BY150" i="12"/>
  <c r="BQ152" i="12"/>
  <c r="BU152" i="12"/>
  <c r="BW152" i="12"/>
  <c r="BY152" i="12"/>
  <c r="BQ154" i="12"/>
  <c r="BU154" i="12"/>
  <c r="BW154" i="12"/>
  <c r="BY154" i="12"/>
  <c r="BB157" i="12"/>
  <c r="BQ157" i="12"/>
  <c r="BU157" i="12"/>
  <c r="BW157" i="12"/>
  <c r="BY157" i="12"/>
  <c r="AT158" i="12"/>
  <c r="BB158" i="12"/>
  <c r="BQ158" i="12"/>
  <c r="BU158" i="12"/>
  <c r="BW158" i="12"/>
  <c r="BY158" i="12"/>
  <c r="BD159" i="12"/>
  <c r="BQ159" i="12"/>
  <c r="BU159" i="12"/>
  <c r="BW159" i="12"/>
  <c r="BY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M160" i="12"/>
  <c r="BQ160" i="12"/>
  <c r="BU160" i="12"/>
  <c r="BW160" i="12"/>
  <c r="BY160" i="12"/>
  <c r="AR161" i="12"/>
  <c r="BQ161" i="12"/>
  <c r="BU161" i="12"/>
  <c r="BW161" i="12"/>
  <c r="BY161" i="12"/>
  <c r="AF162" i="12"/>
  <c r="AH162" i="12"/>
  <c r="BQ162" i="12"/>
  <c r="BU162" i="12"/>
  <c r="BW162" i="12"/>
  <c r="BY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M163" i="12"/>
  <c r="BO163" i="12"/>
  <c r="BQ163" i="12"/>
  <c r="BS163" i="12"/>
  <c r="BU163" i="12"/>
  <c r="BV163" i="12"/>
  <c r="BW163" i="12"/>
  <c r="BX163" i="12"/>
  <c r="BY163" i="12"/>
  <c r="P166" i="12"/>
  <c r="BQ166" i="12"/>
  <c r="BW166" i="12"/>
  <c r="BY166" i="12"/>
  <c r="BQ167" i="12"/>
  <c r="BU167" i="12"/>
  <c r="BW167" i="12"/>
  <c r="BY167" i="12"/>
  <c r="BD168" i="12"/>
  <c r="BQ168" i="12"/>
  <c r="BU168" i="12"/>
  <c r="BW168" i="12"/>
  <c r="BY168" i="12"/>
  <c r="BQ169" i="12"/>
  <c r="BU169" i="12"/>
  <c r="BW169" i="12"/>
  <c r="BY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M170" i="12"/>
  <c r="BO170" i="12"/>
  <c r="BQ170" i="12"/>
  <c r="BS170" i="12"/>
  <c r="BU170" i="12"/>
  <c r="BW170" i="12"/>
  <c r="BY170" i="12"/>
  <c r="P172" i="12"/>
  <c r="AD172" i="12"/>
  <c r="AJ172" i="12"/>
  <c r="AL172" i="12"/>
  <c r="AP172" i="12"/>
  <c r="AR172" i="12"/>
  <c r="AT172" i="12"/>
  <c r="AV172" i="12"/>
  <c r="AX172" i="12"/>
  <c r="BQ172" i="12"/>
  <c r="BW172" i="12"/>
  <c r="BY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M174" i="12"/>
  <c r="BO174" i="12"/>
  <c r="BQ174" i="12"/>
  <c r="BS174" i="12"/>
  <c r="BU174" i="12"/>
  <c r="BV174" i="12"/>
  <c r="BW174" i="12"/>
  <c r="BX174" i="12"/>
  <c r="BY174" i="12"/>
  <c r="BZ174" i="12"/>
  <c r="P176" i="12"/>
  <c r="BQ176" i="12"/>
  <c r="BU176" i="12"/>
  <c r="BW176" i="12"/>
  <c r="BY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M179" i="12"/>
  <c r="BO179" i="12"/>
  <c r="BQ179" i="12"/>
  <c r="BS179" i="12"/>
  <c r="BU179" i="12"/>
  <c r="BV179" i="12"/>
  <c r="BW179" i="12"/>
  <c r="BX179" i="12"/>
  <c r="BY179" i="12"/>
  <c r="BW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K182" i="12"/>
  <c r="BM182" i="12"/>
  <c r="BO182" i="12"/>
  <c r="BQ183" i="12"/>
  <c r="BQ184" i="12"/>
  <c r="BQ188" i="12"/>
  <c r="BQ190" i="12"/>
  <c r="BQ191" i="12"/>
  <c r="BQ218" i="12"/>
  <c r="BQ224" i="12"/>
  <c r="BQ225" i="12"/>
  <c r="BQ227" i="12"/>
  <c r="P241" i="12"/>
  <c r="AB241" i="12"/>
  <c r="BQ241" i="12"/>
  <c r="BU241" i="12"/>
  <c r="BW241" i="12"/>
  <c r="AJ243" i="12"/>
  <c r="BQ243" i="12"/>
  <c r="BU243" i="12"/>
  <c r="BW243" i="12"/>
  <c r="BQ244" i="12"/>
  <c r="BU244" i="12"/>
  <c r="BW244" i="12"/>
  <c r="AD245" i="12"/>
  <c r="AJ245" i="12"/>
  <c r="AN245" i="12"/>
  <c r="AP245" i="12"/>
  <c r="BQ245" i="12"/>
  <c r="BW245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F247" i="12"/>
  <c r="AH247" i="12"/>
  <c r="AJ247" i="12"/>
  <c r="AL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D247" i="12"/>
  <c r="BF247" i="12"/>
  <c r="BH247" i="12"/>
  <c r="BJ247" i="12"/>
  <c r="BM247" i="12"/>
  <c r="BO247" i="12"/>
  <c r="BQ247" i="12"/>
  <c r="BS247" i="12"/>
  <c r="BU247" i="12"/>
  <c r="BV247" i="12"/>
  <c r="BW247" i="12"/>
  <c r="BX247" i="12"/>
  <c r="BY247" i="12"/>
  <c r="X251" i="12"/>
  <c r="AH251" i="12"/>
  <c r="BQ251" i="12"/>
  <c r="BU251" i="12"/>
  <c r="BW251" i="12"/>
  <c r="X252" i="12"/>
  <c r="Z252" i="12"/>
  <c r="AD252" i="12"/>
  <c r="BQ252" i="12"/>
  <c r="BU252" i="12"/>
  <c r="BW252" i="12"/>
  <c r="BQ253" i="12"/>
  <c r="BU253" i="12"/>
  <c r="BW253" i="12"/>
  <c r="BQ254" i="12"/>
  <c r="BU254" i="12"/>
  <c r="BW254" i="12"/>
  <c r="BU255" i="12"/>
  <c r="N256" i="12"/>
  <c r="P256" i="12"/>
  <c r="R256" i="12"/>
  <c r="T256" i="12"/>
  <c r="V256" i="12"/>
  <c r="X256" i="12"/>
  <c r="Z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M256" i="12"/>
  <c r="BO256" i="12"/>
  <c r="BQ256" i="12"/>
  <c r="BU256" i="12"/>
  <c r="BW256" i="12"/>
  <c r="N261" i="12"/>
  <c r="P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F261" i="12"/>
  <c r="AH261" i="12"/>
  <c r="AJ261" i="12"/>
  <c r="AL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D261" i="12"/>
  <c r="BF261" i="12"/>
  <c r="BH261" i="12"/>
  <c r="BJ261" i="12"/>
  <c r="BM261" i="12"/>
  <c r="BO261" i="12"/>
  <c r="BQ261" i="12"/>
  <c r="BS261" i="12"/>
  <c r="BU261" i="12"/>
  <c r="BV261" i="12"/>
  <c r="BW261" i="12"/>
  <c r="BX261" i="12"/>
  <c r="BY261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S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U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U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BO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T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<sst xmlns="http://schemas.openxmlformats.org/spreadsheetml/2006/main" count="1713" uniqueCount="461">
  <si>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</si>
  <si>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</si>
  <si>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</si>
  <si>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</si>
  <si>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</si>
  <si>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</si>
  <si>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</si>
  <si>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</si>
  <si>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</si>
  <si>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</si>
  <si>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</si>
  <si>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</si>
  <si>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</si>
  <si>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</si>
  <si>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</si>
  <si>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</si>
  <si>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</si>
  <si>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</si>
  <si>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</si>
  <si>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</si>
  <si>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</si>
  <si>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</si>
  <si>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</si>
  <si>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</si>
  <si>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</si>
  <si>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</si>
  <si>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</si>
  <si>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</si>
  <si>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</si>
  <si>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</si>
  <si>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</si>
  <si>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</si>
  <si>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</si>
  <si>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</si>
  <si>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</si>
  <si>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</si>
  <si>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</si>
  <si>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</si>
  <si>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</si>
  <si>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</si>
  <si>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</si>
  <si>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</si>
  <si>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</si>
  <si>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</si>
  <si>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</si>
  <si>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</si>
  <si>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</si>
  <si>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</si>
  <si>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</si>
  <si>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</si>
  <si>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</si>
  <si>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</si>
  <si>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</si>
  <si>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</si>
  <si>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</si>
  <si>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</si>
  <si>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</si>
  <si>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</si>
  <si>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</si>
  <si>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</si>
  <si>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</si>
  <si>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</si>
  <si>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</si>
  <si>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</si>
  <si>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</si>
  <si>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</si>
  <si>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</si>
  <si>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</si>
  <si>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</si>
  <si>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</si>
  <si>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</si>
  <si>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</si>
  <si>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</si>
  <si>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</si>
  <si>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</si>
  <si>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</si>
  <si>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</si>
  <si>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</si>
  <si>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</si>
  <si>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</si>
  <si>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</si>
  <si>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</si>
  <si>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</si>
  <si>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</si>
  <si>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</si>
  <si>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</si>
  <si>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</si>
  <si>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</si>
  <si>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</si>
  <si>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</si>
  <si>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</si>
  <si>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</si>
  <si>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</si>
  <si>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</si>
  <si>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</si>
  <si>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</si>
  <si>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</si>
  <si>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</si>
  <si>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</si>
  <si>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</si>
  <si>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</si>
  <si>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</si>
  <si>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</si>
  <si>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</si>
  <si>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</si>
  <si>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</si>
  <si>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</si>
  <si>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</si>
  <si>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</si>
  <si>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</si>
  <si>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</si>
  <si>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</si>
  <si>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</si>
  <si>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</si>
  <si>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</si>
  <si>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</si>
  <si>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</si>
  <si>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</si>
  <si>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</si>
  <si>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</si>
  <si>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</si>
  <si>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</si>
  <si>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</si>
  <si>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</si>
  <si>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</si>
  <si>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</si>
  <si>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</si>
  <si>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</si>
  <si>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</si>
  <si>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</si>
  <si>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</si>
  <si>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</si>
  <si>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</si>
  <si>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</si>
  <si>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</si>
  <si>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</si>
  <si>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</si>
  <si>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</si>
  <si>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</si>
  <si>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</si>
  <si>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</si>
  <si>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</si>
  <si>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</si>
  <si>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</si>
  <si>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</si>
  <si>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</si>
  <si>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</si>
  <si>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</si>
  <si>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</si>
  <si>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</si>
  <si>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</si>
  <si>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</si>
  <si>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</si>
  <si>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</si>
  <si>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</si>
  <si>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</si>
  <si>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</si>
  <si>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</si>
  <si>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</si>
  <si>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</si>
  <si>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</si>
  <si>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</si>
  <si>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</si>
  <si>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</si>
  <si>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</si>
  <si>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</si>
  <si>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</si>
  <si>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</si>
  <si>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</si>
  <si>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</si>
  <si>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</si>
  <si>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</si>
  <si>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</si>
  <si>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</si>
  <si>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</si>
  <si>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</si>
  <si>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</si>
  <si>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</si>
  <si>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</si>
  <si>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</si>
  <si>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</si>
  <si>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</si>
  <si>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</si>
  <si>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</si>
  <si>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</si>
  <si>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</si>
  <si>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</si>
  <si>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</si>
  <si>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</si>
  <si>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</si>
  <si>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</si>
  <si>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</si>
  <si>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</si>
  <si>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</si>
  <si>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</si>
  <si>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</si>
  <si>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</si>
  <si>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</si>
  <si>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</si>
  <si>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</si>
  <si>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</si>
  <si>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</si>
  <si>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</si>
  <si>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</si>
  <si>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</si>
  <si>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</si>
  <si>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</si>
  <si>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</si>
  <si>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</si>
  <si>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</si>
  <si>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</si>
  <si>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</si>
  <si>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</si>
  <si>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</si>
  <si>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</si>
  <si>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</si>
  <si>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</si>
  <si>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</si>
  <si>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</si>
  <si>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</si>
  <si>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</si>
  <si>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</si>
  <si>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</si>
  <si>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</si>
  <si>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</si>
  <si>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</si>
  <si>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</si>
  <si>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</si>
  <si>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</si>
  <si>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</si>
  <si>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</si>
  <si>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</si>
  <si>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</si>
  <si>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</si>
  <si>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</si>
  <si>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</si>
  <si>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</si>
  <si>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</si>
  <si>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</si>
  <si>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</si>
  <si>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</si>
  <si>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</si>
  <si>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</si>
  <si>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</si>
  <si>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</si>
  <si>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</si>
  <si>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</si>
  <si>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</si>
  <si>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</si>
  <si>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</si>
  <si>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</si>
  <si>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</si>
  <si>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</si>
  <si>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</si>
  <si>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</si>
  <si>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</si>
  <si>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</si>
  <si>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</si>
  <si>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</si>
  <si>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</si>
  <si>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</si>
  <si>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</si>
  <si>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</si>
  <si>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</si>
  <si>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</si>
  <si>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</si>
  <si>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</si>
  <si>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</si>
  <si>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</si>
  <si>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</si>
  <si>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</si>
  <si>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</si>
  <si>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</si>
  <si>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</si>
  <si>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</si>
  <si>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</si>
  <si>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</si>
  <si>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</si>
  <si>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</si>
  <si>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</si>
  <si>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</si>
  <si>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</si>
  <si>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</si>
  <si>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</si>
  <si>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</si>
  <si>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</si>
  <si>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</si>
  <si>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</si>
  <si>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</si>
  <si>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</si>
  <si>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</si>
  <si>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</si>
  <si>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</si>
  <si>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</si>
  <si>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</si>
  <si>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</si>
  <si>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</si>
  <si>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</si>
  <si>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</si>
  <si>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</si>
  <si>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</si>
  <si>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</si>
  <si>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</si>
  <si>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</si>
  <si>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</si>
  <si>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</si>
  <si>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</si>
  <si>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</si>
  <si>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</si>
  <si>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</si>
  <si>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</si>
  <si>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</si>
  <si>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</si>
  <si>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</si>
  <si>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</si>
  <si>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</si>
  <si>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</si>
  <si>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</si>
  <si>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</si>
  <si>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</si>
  <si>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</si>
  <si>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</si>
  <si>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</si>
  <si>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</si>
  <si>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</si>
  <si>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</si>
  <si>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</si>
  <si>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</si>
  <si>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</si>
  <si>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</si>
  <si>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</si>
  <si>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</si>
  <si>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</si>
  <si>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</si>
  <si>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</si>
  <si>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</si>
  <si>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</si>
  <si>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</si>
  <si>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</si>
  <si>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</si>
  <si>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</si>
  <si>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</si>
  <si>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</si>
  <si>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</si>
  <si>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</si>
  <si>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</si>
  <si>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</si>
  <si>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</si>
  <si>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</si>
  <si>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</si>
  <si>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</si>
  <si>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</si>
  <si>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</si>
  <si>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</si>
  <si>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</si>
  <si>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</si>
  <si>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</si>
  <si>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</si>
  <si>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</si>
  <si>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</si>
  <si>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</si>
  <si>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</si>
  <si>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</si>
  <si>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</si>
  <si>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</si>
  <si>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</si>
  <si>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</si>
  <si>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</si>
  <si>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</si>
  <si>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</si>
  <si>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</si>
  <si>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</si>
  <si>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</si>
  <si>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</si>
  <si>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</si>
  <si>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</si>
  <si>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</si>
  <si>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</si>
  <si>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</si>
  <si>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</si>
  <si>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</si>
  <si>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</si>
  <si>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</si>
  <si>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</si>
  <si>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</si>
  <si>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</si>
  <si>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</si>
  <si>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</si>
  <si>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</si>
  <si>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</si>
  <si>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</si>
  <si>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</si>
  <si>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</si>
  <si>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</si>
  <si>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</si>
  <si>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</si>
  <si>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</si>
  <si>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</si>
  <si>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</si>
  <si>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</si>
  <si>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</si>
  <si>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</si>
  <si>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</si>
  <si>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</si>
  <si>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</si>
  <si>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</si>
  <si>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</si>
  <si>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</si>
  <si>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</si>
  <si>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</si>
  <si>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</si>
  <si>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</si>
  <si>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</si>
  <si>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</si>
  <si>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</si>
  <si>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</si>
  <si>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</si>
  <si>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</si>
  <si>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</si>
  <si>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</si>
  <si>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</si>
  <si>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</si>
  <si>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</si>
  <si>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</si>
  <si>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</si>
  <si>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</si>
  <si>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</si>
  <si>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</si>
  <si>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</si>
  <si>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</si>
  <si>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</si>
  <si>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</si>
  <si>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</si>
  <si>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</si>
  <si>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</si>
  <si>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</si>
  <si>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</si>
  <si>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</si>
  <si>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</si>
  <si>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</si>
  <si>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</si>
  <si>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</si>
  <si>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</si>
  <si>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</si>
  <si>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</si>
  <si>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</si>
  <si>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</si>
  <si>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</si>
  <si>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</si>
  <si>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</si>
  <si>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</si>
  <si>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</si>
  <si>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</si>
  <si>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</si>
  <si>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</si>
  <si>
    <t xml:space="preserve"> As of 11/03/00</t>
  </si>
  <si>
    <t>Reduced Forecast - Capitalized Salaries &amp; Travel Expenses</t>
  </si>
  <si>
    <t>Revision # 68</t>
  </si>
  <si>
    <t xml:space="preserve"> As of 11/17/00</t>
  </si>
  <si>
    <t xml:space="preserve">Payment from AES 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</si>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</sst>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5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5" fontId="5" fillId="0" borderId="0" xfId="0" applyNumberFormat="1" applyFont="1" applyFill="1" applyBorder="1"/>
    <xf numFmtId="0" fontId="6" fillId="0" borderId="33" xfId="0" applyFont="1" applyBorder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/>
    <xf numFmtId="164" fontId="20" fillId="0" borderId="0" xfId="3" applyNumberFormat="1" applyFont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00"/>
  <sheetViews>
    <sheetView tabSelected="1" zoomScale="90" zoomScaleNormal="90" zoomScaleSheetLayoutView="100" workbookViewId="0">
      <selection activeCell="A43" sqref="A42:A43"/>
    </sheetView>
  </sheetViews>
  <sheetFormatPr defaultRowHeight="12.75"/>
  <cols>
    <col min="1" max="1" width="28.140625" style="171" customWidth="1"/>
    <col min="2" max="2" width="3.140625" style="171" customWidth="1"/>
    <col min="3" max="3" width="15" style="171" customWidth="1"/>
    <col min="4" max="4" width="2.42578125" style="171" customWidth="1"/>
    <col min="5" max="5" width="17.28515625" style="171" customWidth="1"/>
    <col min="6" max="6" width="2.42578125" style="171" customWidth="1"/>
    <col min="7" max="7" width="17.28515625" style="171" customWidth="1"/>
    <col min="8" max="8" width="2.42578125" style="171" customWidth="1"/>
    <col min="9" max="9" width="21.7109375" style="171" customWidth="1"/>
    <col min="10" max="10" width="2.140625" style="171" customWidth="1"/>
    <col min="11" max="11" width="18.7109375" style="171" bestFit="1" customWidth="1"/>
    <col min="12" max="12" width="2.7109375" style="171" customWidth="1"/>
    <col min="13" max="13" width="13.28515625" style="171" bestFit="1" customWidth="1"/>
    <col min="14" max="14" width="2.7109375" style="171" customWidth="1"/>
    <col min="15" max="15" width="20.28515625" style="171" bestFit="1" customWidth="1"/>
    <col min="16" max="17" width="0" hidden="1" customWidth="1"/>
    <col min="18" max="18" width="0.140625" hidden="1" customWidth="1"/>
    <col min="20" max="46" width="0" hidden="1" customWidth="1"/>
    <col min="47" max="58" width="9.140625" hidden="1" customWidth="1"/>
    <col min="59" max="62" width="0" hidden="1" customWidth="1"/>
    <col min="66" max="66" width="2.140625" customWidth="1"/>
    <col min="67" max="67" width="10.5703125" customWidth="1"/>
  </cols>
  <sheetData>
    <row r="1" spans="1:75" ht="15.75">
      <c r="A1" s="170" t="s">
        <v>127</v>
      </c>
    </row>
    <row r="2" spans="1:75" ht="15.75">
      <c r="A2" s="170" t="s">
        <v>170</v>
      </c>
      <c r="J2" s="173" t="s">
        <v>124</v>
      </c>
      <c r="O2" s="172">
        <f ca="1">NOW()</f>
        <v>36857.654951388889</v>
      </c>
    </row>
    <row r="3" spans="1:75" ht="15.75">
      <c r="A3" s="174" t="s">
        <v>189</v>
      </c>
      <c r="G3" s="172"/>
      <c r="J3" s="173"/>
      <c r="O3" s="172"/>
      <c r="BW3" t="str">
        <f>Summary!A5</f>
        <v>Revision # 68</v>
      </c>
    </row>
    <row r="4" spans="1:75" ht="15.75">
      <c r="A4" s="170" t="s">
        <v>185</v>
      </c>
      <c r="J4" s="173" t="s">
        <v>125</v>
      </c>
      <c r="O4" s="98" t="s">
        <v>458</v>
      </c>
    </row>
    <row r="5" spans="1:75" ht="15.75">
      <c r="A5" s="174" t="s">
        <v>457</v>
      </c>
      <c r="G5" s="172"/>
      <c r="I5" s="26"/>
      <c r="O5" s="175"/>
    </row>
    <row r="6" spans="1:75" ht="16.5" thickBot="1">
      <c r="A6" s="170"/>
      <c r="I6" s="26"/>
      <c r="O6" s="175"/>
      <c r="BO6" s="132">
        <v>36860</v>
      </c>
    </row>
    <row r="7" spans="1:75" ht="16.5" thickBot="1">
      <c r="A7" s="170"/>
      <c r="G7" s="161" t="s">
        <v>122</v>
      </c>
      <c r="H7" s="162"/>
      <c r="I7" s="162"/>
      <c r="J7" s="162"/>
      <c r="K7" s="163"/>
      <c r="L7" s="170"/>
      <c r="M7" s="170"/>
    </row>
    <row r="8" spans="1:75">
      <c r="A8" s="220" t="s">
        <v>267</v>
      </c>
      <c r="C8" s="176"/>
      <c r="E8" s="27" t="s">
        <v>43</v>
      </c>
      <c r="G8" s="86" t="s">
        <v>44</v>
      </c>
      <c r="H8" s="177"/>
      <c r="I8" s="87" t="s">
        <v>51</v>
      </c>
      <c r="J8" s="177"/>
      <c r="K8" s="88" t="s">
        <v>128</v>
      </c>
      <c r="M8" s="27" t="s">
        <v>141</v>
      </c>
      <c r="O8" s="27" t="s">
        <v>45</v>
      </c>
    </row>
    <row r="9" spans="1:75">
      <c r="A9" s="29" t="s">
        <v>279</v>
      </c>
      <c r="C9" s="29" t="s">
        <v>47</v>
      </c>
      <c r="E9" s="148" t="s">
        <v>281</v>
      </c>
      <c r="G9" s="89" t="str">
        <f>+O4</f>
        <v xml:space="preserve"> As of 11/17/00</v>
      </c>
      <c r="H9" s="178"/>
      <c r="I9" s="53" t="str">
        <f>+O4</f>
        <v xml:space="preserve"> As of 11/17/00</v>
      </c>
      <c r="J9" s="178"/>
      <c r="K9" s="90" t="str">
        <f>+O4</f>
        <v xml:space="preserve"> As of 11/17/00</v>
      </c>
      <c r="M9" s="28" t="s">
        <v>143</v>
      </c>
      <c r="O9" s="28" t="s">
        <v>46</v>
      </c>
    </row>
    <row r="10" spans="1:75">
      <c r="A10" s="176"/>
      <c r="C10" s="27"/>
      <c r="E10" s="176"/>
      <c r="G10" s="179"/>
      <c r="H10" s="178"/>
      <c r="I10" s="176"/>
      <c r="J10" s="178"/>
      <c r="K10" s="180"/>
      <c r="M10" s="176"/>
      <c r="O10" s="176"/>
    </row>
    <row r="11" spans="1:75">
      <c r="A11" s="181" t="s">
        <v>253</v>
      </c>
      <c r="C11" s="254">
        <v>608</v>
      </c>
      <c r="E11" s="183">
        <f>Wilton!R179/1000</f>
        <v>239675.46775000001</v>
      </c>
      <c r="F11" s="182"/>
      <c r="G11" s="184">
        <f>Wilton!BQ179/1000</f>
        <v>268951.92002869199</v>
      </c>
      <c r="H11" s="178"/>
      <c r="I11" s="183">
        <f>K11-G11</f>
        <v>-23.58263999997871</v>
      </c>
      <c r="J11" s="178"/>
      <c r="K11" s="185">
        <f>Wilton!BW179/1000</f>
        <v>268928.33738869202</v>
      </c>
      <c r="M11" s="183">
        <f>+E11-K11</f>
        <v>-29252.869638692006</v>
      </c>
      <c r="O11" s="186">
        <f>+G11/K11</f>
        <v>1.0000876911679482</v>
      </c>
    </row>
    <row r="12" spans="1:75">
      <c r="A12" s="187"/>
      <c r="C12" s="254"/>
      <c r="E12" s="188"/>
      <c r="F12" s="182"/>
      <c r="G12" s="189"/>
      <c r="H12" s="178"/>
      <c r="I12" s="188"/>
      <c r="J12" s="178"/>
      <c r="K12" s="190"/>
      <c r="M12" s="188"/>
      <c r="O12" s="191"/>
    </row>
    <row r="13" spans="1:75">
      <c r="A13" s="181" t="str">
        <f>Gleason!A3</f>
        <v>Gleason, TN</v>
      </c>
      <c r="C13" s="254">
        <v>509</v>
      </c>
      <c r="E13" s="183">
        <f>Gleason!R219/1000</f>
        <v>170575.01</v>
      </c>
      <c r="F13" s="182"/>
      <c r="G13" s="184">
        <f>Gleason!BQ219/1000</f>
        <v>170502.6663536675</v>
      </c>
      <c r="H13" s="178"/>
      <c r="I13" s="183">
        <f>K13-G13</f>
        <v>5530.7583600000071</v>
      </c>
      <c r="J13" s="178"/>
      <c r="K13" s="185">
        <f>Gleason!BW219/1000</f>
        <v>176033.42471366751</v>
      </c>
      <c r="M13" s="183">
        <f>+E13-K13</f>
        <v>-5458.4147136675019</v>
      </c>
      <c r="O13" s="186">
        <f>+G13/K13</f>
        <v>0.96858120343340348</v>
      </c>
    </row>
    <row r="14" spans="1:75">
      <c r="A14" s="187"/>
      <c r="C14" s="254"/>
      <c r="E14" s="188"/>
      <c r="F14" s="182"/>
      <c r="G14" s="189"/>
      <c r="H14" s="178"/>
      <c r="I14" s="188"/>
      <c r="J14" s="178"/>
      <c r="K14" s="190"/>
      <c r="M14" s="188"/>
      <c r="O14" s="191"/>
    </row>
    <row r="15" spans="1:75">
      <c r="A15" s="181" t="s">
        <v>194</v>
      </c>
      <c r="C15" s="254">
        <v>470</v>
      </c>
      <c r="E15" s="183">
        <f>Wheatland!R176/1000</f>
        <v>158451.2481</v>
      </c>
      <c r="F15" s="182"/>
      <c r="G15" s="184">
        <f>Wheatland!BP176/1000</f>
        <v>154433.6738402952</v>
      </c>
      <c r="H15" s="178"/>
      <c r="I15" s="183">
        <f>K15-G15</f>
        <v>3547.0888433333021</v>
      </c>
      <c r="J15" s="178"/>
      <c r="K15" s="185">
        <f>Wheatland!BV176/1000</f>
        <v>157980.76268362851</v>
      </c>
      <c r="M15" s="183">
        <f>+E15-K15</f>
        <v>470.48541637149174</v>
      </c>
      <c r="O15" s="186">
        <f>+G15/K15</f>
        <v>0.97754733688406936</v>
      </c>
      <c r="AC15" t="s">
        <v>154</v>
      </c>
    </row>
    <row r="16" spans="1:75" ht="8.25" customHeight="1">
      <c r="A16" s="187"/>
      <c r="B16" s="178"/>
      <c r="C16" s="255"/>
      <c r="D16" s="178"/>
      <c r="E16" s="192"/>
      <c r="F16" s="178"/>
      <c r="G16" s="193"/>
      <c r="H16" s="178"/>
      <c r="I16" s="192"/>
      <c r="J16" s="178"/>
      <c r="K16" s="194"/>
      <c r="L16" s="178"/>
      <c r="M16" s="192"/>
      <c r="N16" s="178"/>
      <c r="O16" s="187"/>
    </row>
    <row r="17" spans="1:29">
      <c r="A17" s="195" t="s">
        <v>264</v>
      </c>
      <c r="B17" s="196"/>
      <c r="C17" s="256">
        <f>SUM(C11:C15)</f>
        <v>1587</v>
      </c>
      <c r="D17" s="178"/>
      <c r="E17" s="197">
        <f>SUM(E11:E15)</f>
        <v>568701.72585000005</v>
      </c>
      <c r="F17" s="198"/>
      <c r="G17" s="199">
        <f>SUM(G11:G15)</f>
        <v>593888.26022265467</v>
      </c>
      <c r="H17" s="198"/>
      <c r="I17" s="197">
        <f>SUM(I11:I15)</f>
        <v>9054.2645633333304</v>
      </c>
      <c r="J17" s="178"/>
      <c r="K17" s="200">
        <f>SUM(K11:K15)</f>
        <v>602942.52478598803</v>
      </c>
      <c r="L17" s="178"/>
      <c r="M17" s="197">
        <f>SUM(M10:M15)</f>
        <v>-34240.798935988016</v>
      </c>
      <c r="N17" s="178"/>
      <c r="O17" s="201">
        <f>+G17/K17</f>
        <v>0.98498320454914479</v>
      </c>
    </row>
    <row r="18" spans="1:29" ht="13.5" thickBot="1">
      <c r="A18" s="202" t="s">
        <v>50</v>
      </c>
      <c r="B18" s="196"/>
      <c r="C18" s="202"/>
      <c r="D18" s="178"/>
      <c r="E18" s="203">
        <f>E17/C17</f>
        <v>358.35017381852555</v>
      </c>
      <c r="F18" s="198"/>
      <c r="G18" s="204"/>
      <c r="H18" s="205"/>
      <c r="I18" s="206"/>
      <c r="J18" s="207"/>
      <c r="K18" s="208">
        <f>+K17/C17</f>
        <v>379.92597655071711</v>
      </c>
      <c r="L18" s="178"/>
      <c r="M18" s="203"/>
      <c r="N18" s="178"/>
      <c r="O18" s="209"/>
    </row>
    <row r="19" spans="1:29" s="33" customFormat="1">
      <c r="A19" s="210"/>
      <c r="B19" s="210"/>
      <c r="C19" s="210"/>
      <c r="D19" s="211"/>
      <c r="E19" s="198"/>
      <c r="F19" s="198"/>
      <c r="G19" s="198"/>
      <c r="H19" s="198"/>
      <c r="I19" s="198"/>
      <c r="J19" s="211"/>
      <c r="K19" s="198"/>
      <c r="L19" s="211"/>
      <c r="M19" s="198"/>
      <c r="N19" s="211"/>
      <c r="O19" s="212"/>
    </row>
    <row r="20" spans="1:29" ht="16.5" hidden="1" thickBot="1">
      <c r="A20" s="170"/>
      <c r="C20"/>
      <c r="G20" s="161" t="s">
        <v>122</v>
      </c>
      <c r="H20" s="162"/>
      <c r="I20" s="162"/>
      <c r="J20" s="162"/>
      <c r="K20" s="163"/>
      <c r="L20" s="170"/>
      <c r="M20" s="170"/>
      <c r="O20"/>
    </row>
    <row r="21" spans="1:29" hidden="1">
      <c r="A21" s="220" t="s">
        <v>266</v>
      </c>
      <c r="C21"/>
      <c r="E21" s="27" t="s">
        <v>43</v>
      </c>
      <c r="G21" s="86" t="s">
        <v>44</v>
      </c>
      <c r="H21" s="177"/>
      <c r="I21" s="87" t="s">
        <v>51</v>
      </c>
      <c r="J21" s="177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8" t="str">
        <f>E9</f>
        <v>as of 7/22/99</v>
      </c>
      <c r="G22" s="89" t="str">
        <f>G9</f>
        <v xml:space="preserve"> As of 11/17/00</v>
      </c>
      <c r="H22" s="178"/>
      <c r="I22" s="53" t="str">
        <f>I9</f>
        <v xml:space="preserve"> As of 11/17/00</v>
      </c>
      <c r="J22" s="178"/>
      <c r="K22" s="90" t="str">
        <f>K9</f>
        <v xml:space="preserve"> As of 11/17/00</v>
      </c>
      <c r="M22" s="28" t="s">
        <v>143</v>
      </c>
      <c r="O22"/>
    </row>
    <row r="23" spans="1:29" hidden="1">
      <c r="A23" s="176"/>
      <c r="C23"/>
      <c r="E23" s="176"/>
      <c r="G23" s="179"/>
      <c r="H23" s="178"/>
      <c r="I23" s="176"/>
      <c r="J23" s="178"/>
      <c r="K23" s="180"/>
      <c r="M23" s="176"/>
      <c r="O23"/>
    </row>
    <row r="24" spans="1:29" hidden="1">
      <c r="A24" s="181" t="s">
        <v>253</v>
      </c>
      <c r="C24"/>
      <c r="E24" s="183">
        <v>1500</v>
      </c>
      <c r="F24" s="182"/>
      <c r="G24" s="184">
        <v>0</v>
      </c>
      <c r="H24" s="178"/>
      <c r="I24" s="183">
        <f>K24-G24</f>
        <v>1500</v>
      </c>
      <c r="J24" s="178"/>
      <c r="K24" s="185">
        <v>1500</v>
      </c>
      <c r="M24" s="183">
        <f>+E24-K24</f>
        <v>0</v>
      </c>
      <c r="O24"/>
    </row>
    <row r="25" spans="1:29" hidden="1">
      <c r="A25" s="187"/>
      <c r="C25"/>
      <c r="E25" s="188"/>
      <c r="F25" s="182"/>
      <c r="G25" s="189"/>
      <c r="H25" s="178"/>
      <c r="I25" s="188"/>
      <c r="J25" s="178"/>
      <c r="K25" s="190"/>
      <c r="M25" s="188"/>
      <c r="O25"/>
    </row>
    <row r="26" spans="1:29" hidden="1">
      <c r="A26" s="181" t="str">
        <f>+'Calvert City'!$A$3</f>
        <v>Calvert City, KY</v>
      </c>
      <c r="C26"/>
      <c r="E26" s="183">
        <v>1500</v>
      </c>
      <c r="F26" s="182"/>
      <c r="G26" s="184">
        <v>0</v>
      </c>
      <c r="H26" s="178"/>
      <c r="I26" s="183">
        <f>K26-G26</f>
        <v>1500</v>
      </c>
      <c r="J26" s="178"/>
      <c r="K26" s="185">
        <v>1500</v>
      </c>
      <c r="M26" s="183">
        <f>+E26-K26</f>
        <v>0</v>
      </c>
      <c r="O26"/>
    </row>
    <row r="27" spans="1:29" hidden="1">
      <c r="A27" s="187"/>
      <c r="C27"/>
      <c r="E27" s="188"/>
      <c r="F27" s="182"/>
      <c r="G27" s="189"/>
      <c r="H27" s="178"/>
      <c r="I27" s="188"/>
      <c r="J27" s="178"/>
      <c r="K27" s="190"/>
      <c r="M27" s="188"/>
      <c r="O27"/>
    </row>
    <row r="28" spans="1:29" hidden="1">
      <c r="A28" s="181" t="s">
        <v>194</v>
      </c>
      <c r="C28"/>
      <c r="E28" s="183">
        <v>1500</v>
      </c>
      <c r="F28" s="182"/>
      <c r="G28" s="184">
        <v>0</v>
      </c>
      <c r="H28" s="178"/>
      <c r="I28" s="183">
        <f>K28-G28</f>
        <v>1500</v>
      </c>
      <c r="J28" s="178"/>
      <c r="K28" s="185">
        <v>1500</v>
      </c>
      <c r="M28" s="183">
        <f>+E28-K28</f>
        <v>0</v>
      </c>
      <c r="O28"/>
      <c r="AC28" t="s">
        <v>154</v>
      </c>
    </row>
    <row r="29" spans="1:29" ht="8.25" hidden="1" customHeight="1">
      <c r="A29" s="187"/>
      <c r="B29" s="178"/>
      <c r="C29"/>
      <c r="D29" s="178"/>
      <c r="E29" s="192"/>
      <c r="F29" s="178"/>
      <c r="G29" s="193"/>
      <c r="H29" s="178"/>
      <c r="I29" s="192"/>
      <c r="J29" s="178"/>
      <c r="K29" s="194"/>
      <c r="L29" s="178"/>
      <c r="M29" s="192"/>
      <c r="N29" s="178"/>
      <c r="O29"/>
    </row>
    <row r="30" spans="1:29" hidden="1">
      <c r="A30" s="219" t="s">
        <v>264</v>
      </c>
      <c r="B30" s="196"/>
      <c r="C30"/>
      <c r="D30" s="178"/>
      <c r="E30" s="216">
        <f>SUM(E24:E28)</f>
        <v>4500</v>
      </c>
      <c r="F30" s="198"/>
      <c r="G30" s="218">
        <f>SUM(G24:G28)</f>
        <v>0</v>
      </c>
      <c r="H30" s="198"/>
      <c r="I30" s="216">
        <f>SUM(I24:I28)</f>
        <v>4500</v>
      </c>
      <c r="J30" s="178"/>
      <c r="K30" s="217">
        <f>SUM(K24:K28)</f>
        <v>4500</v>
      </c>
      <c r="L30" s="178"/>
      <c r="M30" s="216">
        <f>SUM(M23:M28)</f>
        <v>0</v>
      </c>
      <c r="N30" s="178"/>
      <c r="O30"/>
    </row>
    <row r="31" spans="1:29" s="33" customFormat="1" hidden="1">
      <c r="A31" s="210"/>
      <c r="B31" s="210"/>
      <c r="C31"/>
      <c r="D31" s="211"/>
      <c r="E31" s="198"/>
      <c r="F31" s="198"/>
      <c r="G31" s="198"/>
      <c r="H31" s="198"/>
      <c r="I31" s="198"/>
      <c r="J31" s="211"/>
      <c r="K31" s="198"/>
      <c r="L31" s="211"/>
      <c r="M31" s="198"/>
      <c r="N31" s="211"/>
      <c r="O31"/>
    </row>
    <row r="32" spans="1:29" s="33" customFormat="1" ht="13.5" thickBot="1">
      <c r="A32" s="210"/>
      <c r="B32" s="210"/>
      <c r="C32" s="210"/>
      <c r="D32" s="211"/>
      <c r="E32" s="198"/>
      <c r="F32" s="198"/>
      <c r="G32" s="198"/>
      <c r="H32" s="198"/>
      <c r="I32" s="198"/>
      <c r="J32" s="211"/>
      <c r="K32" s="198"/>
      <c r="L32" s="211"/>
      <c r="M32" s="198"/>
      <c r="N32" s="211"/>
      <c r="O32" s="212"/>
    </row>
    <row r="33" spans="1:29" ht="16.5" thickBot="1">
      <c r="A33" s="133" t="s">
        <v>200</v>
      </c>
      <c r="G33" s="161" t="s">
        <v>122</v>
      </c>
      <c r="H33" s="162"/>
      <c r="I33" s="162"/>
      <c r="J33" s="162"/>
      <c r="K33" s="163"/>
      <c r="L33" s="170"/>
      <c r="M33" s="170"/>
    </row>
    <row r="34" spans="1:29">
      <c r="A34" s="187"/>
      <c r="E34" s="27" t="s">
        <v>43</v>
      </c>
      <c r="G34" s="86" t="s">
        <v>44</v>
      </c>
      <c r="H34" s="177"/>
      <c r="I34" s="87" t="s">
        <v>51</v>
      </c>
      <c r="J34" s="177"/>
      <c r="K34" s="88" t="s">
        <v>128</v>
      </c>
    </row>
    <row r="35" spans="1:29">
      <c r="A35" s="29" t="s">
        <v>48</v>
      </c>
      <c r="E35" s="148">
        <v>36433</v>
      </c>
      <c r="G35" s="89" t="str">
        <f>O4</f>
        <v xml:space="preserve"> As of 11/17/00</v>
      </c>
      <c r="H35" s="178"/>
      <c r="I35" s="53" t="str">
        <f>O4</f>
        <v xml:space="preserve"> As of 11/17/00</v>
      </c>
      <c r="J35" s="178"/>
      <c r="K35" s="90" t="str">
        <f>O4</f>
        <v xml:space="preserve"> As of 11/17/00</v>
      </c>
    </row>
    <row r="36" spans="1:29">
      <c r="A36" s="176"/>
      <c r="E36" s="176"/>
      <c r="G36" s="179"/>
      <c r="H36" s="178"/>
      <c r="I36" s="176"/>
      <c r="J36" s="178"/>
      <c r="K36" s="180"/>
    </row>
    <row r="37" spans="1:29">
      <c r="A37" s="181" t="s">
        <v>196</v>
      </c>
      <c r="E37" s="183"/>
      <c r="F37" s="182"/>
      <c r="G37" s="184">
        <f>Wilton!BQ256/1000</f>
        <v>314.52427</v>
      </c>
      <c r="H37" s="178"/>
      <c r="I37" s="183"/>
      <c r="J37" s="178"/>
      <c r="K37" s="185">
        <f>+I37+G37</f>
        <v>314.52427</v>
      </c>
    </row>
    <row r="38" spans="1:29">
      <c r="A38" s="187"/>
      <c r="E38" s="188"/>
      <c r="F38" s="182"/>
      <c r="G38" s="189"/>
      <c r="H38" s="178"/>
      <c r="I38" s="188"/>
      <c r="J38" s="178"/>
      <c r="K38" s="190"/>
    </row>
    <row r="39" spans="1:29">
      <c r="A39" s="181" t="s">
        <v>288</v>
      </c>
      <c r="E39" s="183">
        <f>'Calvert City'!BT216/1000</f>
        <v>518.97106333333329</v>
      </c>
      <c r="F39" s="182"/>
      <c r="G39" s="184">
        <f>'Calvert City'!BN216/1000</f>
        <v>518.9704433333327</v>
      </c>
      <c r="H39" s="178"/>
      <c r="I39" s="183">
        <f>E39-G39</f>
        <v>6.200000005947004E-4</v>
      </c>
      <c r="J39" s="178"/>
      <c r="K39" s="185">
        <f>+I39+G39</f>
        <v>518.97106333333329</v>
      </c>
    </row>
    <row r="40" spans="1:29">
      <c r="A40" s="187"/>
      <c r="E40" s="188"/>
      <c r="F40" s="182"/>
      <c r="G40" s="189"/>
      <c r="H40" s="178"/>
      <c r="I40" s="188"/>
      <c r="J40" s="178"/>
      <c r="K40" s="190"/>
    </row>
    <row r="41" spans="1:29">
      <c r="A41" s="181" t="s">
        <v>199</v>
      </c>
      <c r="E41" s="183"/>
      <c r="F41" s="182"/>
      <c r="G41" s="184">
        <v>15</v>
      </c>
      <c r="H41" s="178"/>
      <c r="I41" s="183"/>
      <c r="J41" s="178"/>
      <c r="K41" s="185">
        <f>+I41+G41</f>
        <v>15</v>
      </c>
      <c r="AC41" t="s">
        <v>154</v>
      </c>
    </row>
    <row r="42" spans="1:29" ht="8.25" customHeight="1">
      <c r="A42" s="187"/>
      <c r="B42" s="178"/>
      <c r="D42" s="178"/>
      <c r="E42" s="192"/>
      <c r="F42" s="178"/>
      <c r="G42" s="193"/>
      <c r="H42" s="178"/>
      <c r="I42" s="192"/>
      <c r="J42" s="178"/>
      <c r="K42" s="194"/>
      <c r="L42" s="178"/>
    </row>
    <row r="43" spans="1:29" ht="13.5" thickBot="1">
      <c r="A43" s="202" t="s">
        <v>49</v>
      </c>
      <c r="B43" s="196"/>
      <c r="D43" s="178"/>
      <c r="E43" s="203">
        <f>SUM(E37:E41)</f>
        <v>518.97106333333329</v>
      </c>
      <c r="F43" s="198"/>
      <c r="G43" s="204">
        <f>SUM(G37:G41)</f>
        <v>848.4947133333327</v>
      </c>
      <c r="H43" s="205"/>
      <c r="I43" s="206">
        <f>SUM(I37:I41)</f>
        <v>6.200000005947004E-4</v>
      </c>
      <c r="J43" s="207"/>
      <c r="K43" s="208">
        <f>SUM(K37:K41)</f>
        <v>848.49533333333329</v>
      </c>
      <c r="L43" s="178"/>
    </row>
    <row r="44" spans="1:29" ht="13.5" thickBot="1"/>
    <row r="45" spans="1:29" ht="13.5" thickBot="1">
      <c r="A45" s="293" t="s">
        <v>205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15"/>
      <c r="M45" s="215"/>
      <c r="N45" s="215"/>
      <c r="O45" s="215"/>
      <c r="P45" s="159"/>
      <c r="Q45" s="160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49" t="s">
        <v>204</v>
      </c>
      <c r="B47"/>
      <c r="C47" s="151" t="s">
        <v>206</v>
      </c>
      <c r="D47" s="33"/>
      <c r="E47" s="150" t="s">
        <v>444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49" t="s">
        <v>204</v>
      </c>
      <c r="B49"/>
      <c r="C49" s="145">
        <v>36363</v>
      </c>
      <c r="D49" s="33"/>
      <c r="E49" s="33" t="s">
        <v>280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7" customFormat="1" ht="13.5" hidden="1" thickBot="1">
      <c r="O51" s="226"/>
    </row>
    <row r="52" spans="1:15" ht="13.5" hidden="1" thickBot="1"/>
    <row r="53" spans="1:15" ht="13.5" hidden="1" thickBot="1"/>
    <row r="54" spans="1:15" ht="13.5" thickBot="1">
      <c r="A54" s="293" t="s">
        <v>142</v>
      </c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159"/>
      <c r="M54" s="159"/>
      <c r="N54" s="159"/>
      <c r="O54" s="160"/>
    </row>
    <row r="56" spans="1:15">
      <c r="J56" s="213"/>
    </row>
    <row r="57" spans="1:15">
      <c r="A57" s="221" t="s">
        <v>253</v>
      </c>
      <c r="C57" s="222">
        <f>Wilton!BY162/1000</f>
        <v>-207.05902000000003</v>
      </c>
      <c r="E57" s="213" t="s">
        <v>274</v>
      </c>
      <c r="F57" s="213"/>
      <c r="G57" s="213"/>
      <c r="H57" s="213"/>
      <c r="I57" s="213"/>
      <c r="J57" s="213"/>
    </row>
    <row r="58" spans="1:15">
      <c r="A58" s="178"/>
      <c r="C58" s="222">
        <f>Wilton!BY89/1000</f>
        <v>-24287.358</v>
      </c>
      <c r="E58" s="171" t="s">
        <v>325</v>
      </c>
    </row>
    <row r="59" spans="1:15">
      <c r="A59" s="178"/>
      <c r="C59" s="222">
        <f>Wilton!BY12/1000</f>
        <v>-1832.0004399999975</v>
      </c>
      <c r="E59" s="171" t="s">
        <v>317</v>
      </c>
    </row>
    <row r="60" spans="1:15">
      <c r="A60" s="178"/>
      <c r="C60" s="222">
        <f>Wilton!BY15/1000</f>
        <v>-464.048</v>
      </c>
      <c r="E60" s="171" t="s">
        <v>320</v>
      </c>
    </row>
    <row r="61" spans="1:15">
      <c r="A61" s="178"/>
      <c r="C61" s="222">
        <f>Wilton!BY144/1000</f>
        <v>-6989.3952199999985</v>
      </c>
      <c r="E61" s="171" t="s">
        <v>318</v>
      </c>
    </row>
    <row r="62" spans="1:15">
      <c r="A62" s="178"/>
      <c r="C62" s="222">
        <f>(Wilton!BY132+Wilton!BY99+Wilton!BY108)/1000</f>
        <v>-236.67561333333339</v>
      </c>
      <c r="E62" s="171" t="s">
        <v>334</v>
      </c>
    </row>
    <row r="63" spans="1:15">
      <c r="A63" s="178"/>
      <c r="C63" s="222">
        <f>Wilton!BY142/1000</f>
        <v>540.68190000000004</v>
      </c>
      <c r="E63" s="171" t="s">
        <v>374</v>
      </c>
    </row>
    <row r="64" spans="1:15">
      <c r="A64" s="178"/>
      <c r="C64" s="222">
        <f>Wilton!BY172/1000</f>
        <v>1791.2817946413104</v>
      </c>
      <c r="E64" s="171" t="s">
        <v>373</v>
      </c>
    </row>
    <row r="65" spans="1:12">
      <c r="A65" s="178"/>
      <c r="C65" s="222">
        <f>Wilton!BY154/1000</f>
        <v>90.305000000000007</v>
      </c>
      <c r="E65" s="171" t="s">
        <v>418</v>
      </c>
    </row>
    <row r="66" spans="1:12">
      <c r="A66" s="178"/>
      <c r="C66" s="222">
        <f>(Wilton!BY157+Wilton!BY158+Wilton!BY159+Wilton!BY160)/1000</f>
        <v>-918.49799999999993</v>
      </c>
      <c r="E66" s="171" t="s">
        <v>375</v>
      </c>
    </row>
    <row r="67" spans="1:12">
      <c r="A67" s="178"/>
      <c r="C67" s="222">
        <f>-Wilton!BW161/1000</f>
        <v>-191.01289000000003</v>
      </c>
      <c r="E67" s="171" t="s">
        <v>331</v>
      </c>
    </row>
    <row r="68" spans="1:12">
      <c r="A68" s="178"/>
      <c r="C68" s="222">
        <f>Wilton!BY140/1000</f>
        <v>-478.22089</v>
      </c>
      <c r="E68" s="171" t="s">
        <v>433</v>
      </c>
    </row>
    <row r="69" spans="1:12">
      <c r="A69" s="178"/>
      <c r="C69" s="222">
        <f>Wilton!BY148/1000</f>
        <v>-353.46850000000001</v>
      </c>
      <c r="E69" s="171" t="s">
        <v>409</v>
      </c>
    </row>
    <row r="70" spans="1:12">
      <c r="A70" s="178"/>
      <c r="C70" s="222">
        <f>Wilton!BY170/1000</f>
        <v>-352.43773999999996</v>
      </c>
      <c r="E70" s="171" t="s">
        <v>339</v>
      </c>
    </row>
    <row r="71" spans="1:12">
      <c r="A71" s="178"/>
      <c r="C71" s="244">
        <v>4405</v>
      </c>
      <c r="E71" s="178" t="s">
        <v>319</v>
      </c>
      <c r="F71" s="178"/>
      <c r="G71" s="178"/>
      <c r="H71" s="178"/>
      <c r="I71" s="178"/>
    </row>
    <row r="72" spans="1:12">
      <c r="A72" s="178"/>
      <c r="C72" s="244">
        <f>Wilton!BY152/1000</f>
        <v>-121.30825</v>
      </c>
      <c r="E72" s="178" t="s">
        <v>328</v>
      </c>
      <c r="F72" s="178"/>
      <c r="G72" s="178"/>
      <c r="H72" s="178"/>
      <c r="I72" s="178"/>
    </row>
    <row r="73" spans="1:12">
      <c r="A73" s="178"/>
      <c r="C73" s="240">
        <f>Wilton!BY121/1000</f>
        <v>-396.66321000000005</v>
      </c>
      <c r="D73" s="241"/>
      <c r="E73" s="241" t="s">
        <v>333</v>
      </c>
      <c r="F73" s="241"/>
      <c r="G73" s="241"/>
      <c r="H73" s="241"/>
      <c r="I73" s="241"/>
      <c r="J73" s="241"/>
      <c r="K73" s="241"/>
    </row>
    <row r="74" spans="1:12">
      <c r="A74" s="178"/>
      <c r="C74" s="269">
        <f>SUM(C57:C73)</f>
        <v>-30000.877078692018</v>
      </c>
      <c r="D74" s="270"/>
      <c r="E74" s="271" t="s">
        <v>327</v>
      </c>
      <c r="F74" s="270"/>
      <c r="G74" s="270"/>
      <c r="H74" s="270"/>
      <c r="I74" s="270"/>
      <c r="J74" s="270"/>
      <c r="K74" s="270"/>
      <c r="L74" s="178"/>
    </row>
    <row r="75" spans="1:12">
      <c r="A75" s="178"/>
      <c r="C75" s="252"/>
      <c r="D75" s="178"/>
      <c r="E75" s="251"/>
      <c r="F75" s="178"/>
      <c r="G75" s="178"/>
      <c r="H75" s="178"/>
      <c r="I75" s="178"/>
      <c r="J75" s="178"/>
      <c r="K75" s="178"/>
      <c r="L75" s="178"/>
    </row>
    <row r="76" spans="1:12">
      <c r="A76" s="178"/>
      <c r="C76" s="253"/>
    </row>
    <row r="77" spans="1:12">
      <c r="A77" s="178"/>
      <c r="C77" s="222"/>
    </row>
    <row r="78" spans="1:12">
      <c r="A78" s="221" t="s">
        <v>289</v>
      </c>
      <c r="C78" s="222">
        <f>Gleason!BY202/1000</f>
        <v>-32.203279999999999</v>
      </c>
      <c r="E78" s="213" t="s">
        <v>274</v>
      </c>
      <c r="F78" s="213"/>
      <c r="G78" s="213"/>
      <c r="H78" s="213"/>
      <c r="I78" s="213"/>
    </row>
    <row r="79" spans="1:12">
      <c r="A79" s="221"/>
      <c r="C79" s="244">
        <f>Gleason!BY97/1000</f>
        <v>-5243.6</v>
      </c>
      <c r="D79" s="178"/>
      <c r="E79" s="171" t="s">
        <v>325</v>
      </c>
      <c r="F79" s="211"/>
      <c r="G79" s="211"/>
      <c r="H79" s="211"/>
      <c r="I79" s="211"/>
      <c r="J79" s="178"/>
      <c r="K79" s="178"/>
    </row>
    <row r="80" spans="1:12">
      <c r="A80" s="221"/>
      <c r="C80" s="244">
        <f>Gleason!BY16/1000</f>
        <v>-3392.7400499999972</v>
      </c>
      <c r="E80" s="171" t="s">
        <v>317</v>
      </c>
      <c r="F80" s="211"/>
      <c r="G80" s="211"/>
      <c r="H80" s="211"/>
      <c r="I80" s="211"/>
      <c r="J80" s="178"/>
      <c r="K80" s="178"/>
    </row>
    <row r="81" spans="1:15">
      <c r="A81" s="221"/>
      <c r="C81" s="244">
        <f>Gleason!BY35/1000</f>
        <v>-579.65</v>
      </c>
      <c r="E81" s="171" t="s">
        <v>360</v>
      </c>
      <c r="F81" s="211"/>
      <c r="G81" s="211"/>
      <c r="H81" s="211"/>
      <c r="I81" s="211"/>
      <c r="J81" s="178"/>
      <c r="K81" s="178"/>
    </row>
    <row r="82" spans="1:15">
      <c r="A82" s="221"/>
      <c r="C82" s="244">
        <f>Gleason!BY182/1000</f>
        <v>-965.97982999999999</v>
      </c>
      <c r="E82" s="171" t="s">
        <v>335</v>
      </c>
      <c r="F82" s="211"/>
      <c r="G82" s="211"/>
      <c r="H82" s="211"/>
      <c r="I82" s="211"/>
      <c r="J82" s="178"/>
      <c r="K82" s="178"/>
    </row>
    <row r="83" spans="1:15">
      <c r="A83" s="221"/>
      <c r="C83" s="244">
        <f>Gleason!BY201/1000</f>
        <v>-191.01290000000003</v>
      </c>
      <c r="E83" s="171" t="s">
        <v>331</v>
      </c>
      <c r="F83" s="211"/>
      <c r="G83" s="211"/>
      <c r="H83" s="211"/>
      <c r="I83" s="211"/>
      <c r="J83" s="178"/>
      <c r="K83" s="178"/>
    </row>
    <row r="84" spans="1:15">
      <c r="A84" s="221"/>
      <c r="C84" s="244">
        <f>Gleason!BY211/1000</f>
        <v>681.58784633251469</v>
      </c>
      <c r="E84" s="171" t="s">
        <v>373</v>
      </c>
      <c r="F84" s="211"/>
      <c r="G84" s="211"/>
      <c r="H84" s="211"/>
      <c r="I84" s="211"/>
      <c r="J84" s="178"/>
      <c r="K84" s="178"/>
    </row>
    <row r="85" spans="1:15">
      <c r="A85" s="221"/>
      <c r="C85" s="244">
        <f>Gleason!BY209/1000</f>
        <v>-252.20846000000003</v>
      </c>
      <c r="E85" s="171" t="s">
        <v>340</v>
      </c>
      <c r="F85" s="211"/>
      <c r="G85" s="211"/>
      <c r="H85" s="211"/>
      <c r="I85" s="211"/>
      <c r="J85" s="178"/>
      <c r="K85" s="178"/>
    </row>
    <row r="86" spans="1:15">
      <c r="A86" s="221"/>
      <c r="C86" s="244">
        <f>Gleason!BY149/1000</f>
        <v>-113.825</v>
      </c>
      <c r="E86" s="171" t="s">
        <v>361</v>
      </c>
      <c r="F86" s="211"/>
      <c r="G86" s="211"/>
      <c r="H86" s="211"/>
      <c r="I86" s="211"/>
      <c r="J86" s="178"/>
      <c r="K86" s="178"/>
    </row>
    <row r="87" spans="1:15">
      <c r="A87" s="221"/>
      <c r="C87" s="244">
        <f>Gleason!BY159/1000</f>
        <v>-705.48347000000001</v>
      </c>
      <c r="E87" s="171" t="s">
        <v>362</v>
      </c>
      <c r="F87" s="211"/>
      <c r="G87" s="211"/>
      <c r="H87" s="211"/>
      <c r="I87" s="211"/>
      <c r="J87" s="178"/>
      <c r="K87" s="178"/>
    </row>
    <row r="88" spans="1:15">
      <c r="A88" s="221"/>
      <c r="C88" s="244">
        <f>Gleason!BY190/1000</f>
        <v>-597.87991999999997</v>
      </c>
      <c r="E88" s="171" t="s">
        <v>411</v>
      </c>
      <c r="F88" s="211"/>
      <c r="G88" s="211"/>
      <c r="H88" s="211"/>
      <c r="I88" s="211"/>
      <c r="J88" s="178"/>
      <c r="K88" s="178"/>
    </row>
    <row r="89" spans="1:15">
      <c r="A89" s="221"/>
      <c r="C89" s="244">
        <f>Gleason!BY136/1000</f>
        <v>-112.3207</v>
      </c>
      <c r="E89" s="171" t="s">
        <v>410</v>
      </c>
      <c r="F89" s="211"/>
      <c r="G89" s="211"/>
      <c r="H89" s="211"/>
      <c r="I89" s="211"/>
      <c r="J89" s="178"/>
      <c r="K89" s="178"/>
    </row>
    <row r="90" spans="1:15">
      <c r="A90" s="221"/>
      <c r="C90" s="244">
        <f>Gleason!BY194/1000+Gleason!BY198/1000</f>
        <v>136.97964999999999</v>
      </c>
      <c r="E90" s="171" t="s">
        <v>456</v>
      </c>
      <c r="F90" s="211"/>
      <c r="G90" s="211"/>
      <c r="H90" s="211"/>
      <c r="I90" s="211"/>
      <c r="J90" s="178"/>
      <c r="K90" s="178"/>
    </row>
    <row r="91" spans="1:15">
      <c r="A91" s="221"/>
      <c r="C91" s="244">
        <f>Gleason!BY200/1000</f>
        <v>-624.50999000000002</v>
      </c>
      <c r="E91" s="171" t="s">
        <v>375</v>
      </c>
      <c r="F91" s="211"/>
      <c r="G91" s="211"/>
      <c r="H91" s="211"/>
      <c r="I91" s="211"/>
      <c r="J91" s="178"/>
      <c r="K91" s="178"/>
    </row>
    <row r="92" spans="1:15">
      <c r="A92" s="221"/>
      <c r="C92" s="244">
        <f>Gleason!BY215/1000</f>
        <v>5423.4979999999996</v>
      </c>
      <c r="D92" s="178"/>
      <c r="E92" s="178" t="s">
        <v>319</v>
      </c>
      <c r="F92" s="211"/>
      <c r="G92" s="211"/>
      <c r="H92" s="211"/>
      <c r="I92" s="211"/>
      <c r="J92" s="178"/>
      <c r="K92" s="178"/>
    </row>
    <row r="93" spans="1:15">
      <c r="A93" s="221"/>
      <c r="C93" s="244">
        <f>Gleason!BY134/1000</f>
        <v>-175.55516000000003</v>
      </c>
      <c r="D93" s="178"/>
      <c r="E93" s="171" t="s">
        <v>443</v>
      </c>
      <c r="F93" s="211"/>
      <c r="G93" s="211"/>
      <c r="H93" s="211"/>
      <c r="I93" s="211"/>
      <c r="J93" s="178"/>
      <c r="K93" s="178"/>
    </row>
    <row r="94" spans="1:15" s="30" customFormat="1" ht="12" customHeight="1">
      <c r="A94" s="221"/>
      <c r="B94" s="178"/>
      <c r="C94" s="240">
        <v>66</v>
      </c>
      <c r="D94" s="241"/>
      <c r="E94" s="246" t="s">
        <v>121</v>
      </c>
      <c r="F94" s="243"/>
      <c r="G94" s="243"/>
      <c r="H94" s="243"/>
      <c r="I94" s="243"/>
      <c r="J94" s="241"/>
      <c r="K94" s="241"/>
      <c r="L94" s="178"/>
      <c r="M94" s="178"/>
      <c r="N94" s="178"/>
      <c r="O94" s="178"/>
    </row>
    <row r="95" spans="1:15">
      <c r="A95" s="221"/>
      <c r="C95" s="269">
        <f>SUM(C78:C94)</f>
        <v>-6678.903263667482</v>
      </c>
      <c r="D95" s="270"/>
      <c r="E95" s="274" t="s">
        <v>324</v>
      </c>
      <c r="F95" s="275"/>
      <c r="G95" s="275"/>
      <c r="H95" s="275"/>
      <c r="I95" s="275"/>
      <c r="J95" s="270"/>
      <c r="K95" s="270"/>
    </row>
    <row r="96" spans="1:15">
      <c r="A96" s="178"/>
      <c r="C96" s="222"/>
      <c r="E96" s="213"/>
      <c r="F96" s="213"/>
      <c r="G96" s="213"/>
      <c r="H96" s="213"/>
      <c r="I96" s="213"/>
    </row>
    <row r="97" spans="1:67">
      <c r="A97" s="178"/>
      <c r="C97" s="222"/>
      <c r="E97" s="213"/>
      <c r="F97" s="213"/>
      <c r="G97" s="213"/>
      <c r="H97" s="213"/>
      <c r="I97" s="213"/>
    </row>
    <row r="98" spans="1:67">
      <c r="A98" s="221" t="s">
        <v>194</v>
      </c>
      <c r="C98" s="222">
        <f>Wheatland!BX159/1000</f>
        <v>-168.35607999999999</v>
      </c>
      <c r="E98" s="213" t="s">
        <v>274</v>
      </c>
    </row>
    <row r="99" spans="1:67">
      <c r="C99" s="222">
        <f>Wheatland!BX91/1000</f>
        <v>-5550.8</v>
      </c>
      <c r="E99" s="171" t="s">
        <v>326</v>
      </c>
    </row>
    <row r="100" spans="1:67">
      <c r="A100" s="225"/>
      <c r="B100" s="226"/>
      <c r="C100" s="222">
        <f>Wheatland!BX12/1000</f>
        <v>-966.48900000000003</v>
      </c>
      <c r="D100" s="226"/>
      <c r="E100" s="171" t="s">
        <v>317</v>
      </c>
      <c r="F100" s="226"/>
      <c r="G100" s="226"/>
      <c r="H100" s="226"/>
      <c r="I100" s="226"/>
      <c r="J100" s="226"/>
      <c r="K100" s="226"/>
      <c r="L100" s="226"/>
      <c r="M100" s="226"/>
      <c r="N100" s="226"/>
      <c r="BO100">
        <v>0</v>
      </c>
    </row>
    <row r="101" spans="1:67">
      <c r="C101" s="222">
        <f>Wheatland!BX32/1000</f>
        <v>-428.48060000000055</v>
      </c>
      <c r="E101" s="171" t="s">
        <v>320</v>
      </c>
    </row>
    <row r="102" spans="1:67">
      <c r="C102" s="222">
        <f>Wheatland!BX130/1000</f>
        <v>-1396.01557</v>
      </c>
      <c r="E102" s="171" t="s">
        <v>323</v>
      </c>
    </row>
    <row r="103" spans="1:67">
      <c r="C103" s="222">
        <f>Wheatland!BX135/1000</f>
        <v>-22.616279999999911</v>
      </c>
      <c r="E103" s="171" t="s">
        <v>432</v>
      </c>
    </row>
    <row r="104" spans="1:67">
      <c r="C104" s="222">
        <f>Wheatland!BX157/1000</f>
        <v>-339.32417999999996</v>
      </c>
      <c r="E104" s="171" t="s">
        <v>375</v>
      </c>
    </row>
    <row r="105" spans="1:67">
      <c r="C105" s="222">
        <f>Wheatland!BX158/1000</f>
        <v>-195.04080999999999</v>
      </c>
      <c r="E105" s="171" t="s">
        <v>341</v>
      </c>
    </row>
    <row r="106" spans="1:67">
      <c r="C106" s="222">
        <f>Wheatland!BX151/1000</f>
        <v>84.56859</v>
      </c>
      <c r="E106" s="171" t="s">
        <v>418</v>
      </c>
    </row>
    <row r="107" spans="1:67">
      <c r="C107" s="222">
        <f>Wheatland!BX167/1000</f>
        <v>-301.67212999999998</v>
      </c>
      <c r="E107" s="171" t="s">
        <v>340</v>
      </c>
    </row>
    <row r="108" spans="1:67">
      <c r="C108" s="222">
        <f>Wheatland!BX139/1000</f>
        <v>4169.4222099999997</v>
      </c>
      <c r="E108" s="171" t="s">
        <v>445</v>
      </c>
    </row>
    <row r="109" spans="1:67">
      <c r="C109" s="222">
        <f>Wheatland!BX169/1000</f>
        <v>1031.760929704817</v>
      </c>
      <c r="E109" s="171" t="s">
        <v>366</v>
      </c>
    </row>
    <row r="110" spans="1:67">
      <c r="C110" s="222">
        <f>Wheatland!BX115/1000</f>
        <v>-211.37313</v>
      </c>
      <c r="E110" s="178" t="s">
        <v>435</v>
      </c>
    </row>
    <row r="111" spans="1:67">
      <c r="A111" s="225"/>
      <c r="B111" s="226"/>
      <c r="C111" s="244">
        <v>3317</v>
      </c>
      <c r="D111" s="251"/>
      <c r="E111" s="178" t="s">
        <v>319</v>
      </c>
      <c r="F111" s="251"/>
      <c r="G111" s="251"/>
      <c r="H111" s="251"/>
      <c r="I111" s="251"/>
      <c r="J111" s="251"/>
      <c r="K111" s="251"/>
      <c r="L111" s="226"/>
      <c r="M111" s="226"/>
    </row>
    <row r="112" spans="1:67" ht="14.25" customHeight="1">
      <c r="C112" s="276">
        <f>SUM(C98:C111)</f>
        <v>-977.4160502951845</v>
      </c>
      <c r="D112" s="270"/>
      <c r="E112" s="271" t="s">
        <v>327</v>
      </c>
      <c r="F112" s="270"/>
      <c r="G112" s="270"/>
      <c r="H112" s="270"/>
      <c r="I112" s="270"/>
      <c r="J112" s="270"/>
      <c r="K112" s="270"/>
    </row>
    <row r="114" spans="1:67">
      <c r="C114"/>
      <c r="D114"/>
      <c r="E114"/>
      <c r="F114"/>
      <c r="G114"/>
      <c r="H114"/>
      <c r="I114"/>
      <c r="J114"/>
      <c r="K114"/>
    </row>
    <row r="115" spans="1:6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BO115">
        <v>0</v>
      </c>
    </row>
    <row r="116" spans="1:6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67">
      <c r="B117" s="26"/>
      <c r="C117" s="173"/>
    </row>
    <row r="118" spans="1:67">
      <c r="A118" s="214" t="str">
        <f ca="1">CELL("FILENAME")</f>
        <v>O:\Fin_Ops\Engysvc\PowerPlants\2000 Plants\Weekly Report\[2000 Weekly Report - 112000.xls]Summary</v>
      </c>
      <c r="B118" s="173"/>
      <c r="C118" s="173"/>
    </row>
    <row r="132" spans="67:67">
      <c r="BO132">
        <v>0</v>
      </c>
    </row>
    <row r="138" spans="67:67">
      <c r="BO138">
        <v>0</v>
      </c>
    </row>
    <row r="142" spans="67:67">
      <c r="BO142">
        <v>0</v>
      </c>
    </row>
    <row r="144" spans="67:67">
      <c r="BO144">
        <v>0</v>
      </c>
    </row>
    <row r="147" spans="67:67">
      <c r="BO147">
        <v>0</v>
      </c>
    </row>
    <row r="155" spans="67:67">
      <c r="BO155">
        <v>0</v>
      </c>
    </row>
    <row r="157" spans="67:67">
      <c r="BO157">
        <v>0</v>
      </c>
    </row>
    <row r="160" spans="67:67">
      <c r="BO160">
        <v>0</v>
      </c>
    </row>
    <row r="164" spans="67:67">
      <c r="BO164">
        <v>0</v>
      </c>
    </row>
    <row r="165" spans="67:67">
      <c r="BO165">
        <v>0</v>
      </c>
    </row>
    <row r="166" spans="67:67">
      <c r="BO166">
        <v>0</v>
      </c>
    </row>
    <row r="167" spans="67:67">
      <c r="BO167">
        <v>0</v>
      </c>
    </row>
    <row r="168" spans="67:67">
      <c r="BO168">
        <v>0</v>
      </c>
    </row>
    <row r="169" spans="67:67">
      <c r="BO169">
        <v>0</v>
      </c>
    </row>
    <row r="170" spans="67:67">
      <c r="BO170">
        <v>0</v>
      </c>
    </row>
    <row r="171" spans="67:67">
      <c r="BO171">
        <v>0</v>
      </c>
    </row>
    <row r="172" spans="67:67">
      <c r="BO172">
        <v>0</v>
      </c>
    </row>
    <row r="173" spans="67:67">
      <c r="BO173">
        <v>0</v>
      </c>
    </row>
    <row r="174" spans="67:67">
      <c r="BO174">
        <v>0</v>
      </c>
    </row>
    <row r="175" spans="67:67">
      <c r="BO175">
        <v>0</v>
      </c>
    </row>
    <row r="176" spans="67:67">
      <c r="BO176">
        <v>0</v>
      </c>
    </row>
    <row r="177" spans="67:67">
      <c r="BO177">
        <v>0</v>
      </c>
    </row>
    <row r="178" spans="67:67">
      <c r="BO178">
        <v>0</v>
      </c>
    </row>
    <row r="179" spans="67:67">
      <c r="BO179">
        <v>0</v>
      </c>
    </row>
    <row r="180" spans="67:67">
      <c r="BO180">
        <v>0</v>
      </c>
    </row>
    <row r="184" spans="67:67">
      <c r="BO184">
        <v>0</v>
      </c>
    </row>
    <row r="200" spans="67:67">
      <c r="BO200">
        <v>0</v>
      </c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3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304"/>
  <sheetViews>
    <sheetView zoomScale="80" zoomScaleNormal="66" workbookViewId="0">
      <pane xSplit="19" ySplit="8" topLeftCell="BR164" activePane="bottomRight" state="frozen"/>
      <selection activeCell="BQ9" sqref="BQ9"/>
      <selection pane="topRight" activeCell="BQ9" sqref="BQ9"/>
      <selection pane="bottomLeft" activeCell="BQ9" sqref="BQ9"/>
      <selection pane="bottomRight" activeCell="BU205" sqref="BU205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style="4" hidden="1" customWidth="1"/>
    <col min="38" max="38" width="19.42578125" style="6" hidden="1" customWidth="1"/>
    <col min="39" max="39" width="0.85546875" style="4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4" hidden="1" customWidth="1"/>
    <col min="58" max="58" width="17.85546875" style="6" hidden="1" customWidth="1"/>
    <col min="59" max="59" width="0.85546875" style="4" hidden="1" customWidth="1"/>
    <col min="60" max="60" width="17.85546875" style="6" hidden="1" customWidth="1"/>
    <col min="61" max="61" width="0.85546875" style="4" hidden="1" customWidth="1"/>
    <col min="62" max="62" width="0.140625" style="65" hidden="1" customWidth="1"/>
    <col min="63" max="63" width="0.85546875" style="4" customWidth="1"/>
    <col min="64" max="64" width="0.85546875" style="4" hidden="1" customWidth="1"/>
    <col min="65" max="65" width="21.5703125" style="65" hidden="1" customWidth="1"/>
    <col min="66" max="66" width="0.85546875" style="4" hidden="1" customWidth="1"/>
    <col min="67" max="67" width="21.5703125" style="65" hidden="1" customWidth="1"/>
    <col min="68" max="68" width="1.85546875" style="65" customWidth="1"/>
    <col min="69" max="69" width="20.85546875" style="6" customWidth="1"/>
    <col min="70" max="70" width="2.140625" style="6" customWidth="1"/>
    <col min="71" max="71" width="19.140625" style="65" customWidth="1"/>
    <col min="72" max="72" width="0.85546875" style="4" customWidth="1"/>
    <col min="73" max="73" width="23.85546875" style="6" bestFit="1" customWidth="1"/>
    <col min="74" max="74" width="1.7109375" style="6" customWidth="1"/>
    <col min="75" max="75" width="20.85546875" style="6" customWidth="1"/>
    <col min="76" max="76" width="1.7109375" style="6" customWidth="1"/>
    <col min="77" max="77" width="22.28515625" style="6" customWidth="1"/>
    <col min="78" max="78" width="0.85546875" style="4" customWidth="1"/>
    <col min="79" max="79" width="75.85546875" style="4" hidden="1" customWidth="1"/>
    <col min="80" max="16384" width="9.140625" style="4"/>
  </cols>
  <sheetData>
    <row r="1" spans="1:79" s="18" customFormat="1" ht="15.75">
      <c r="A1" s="277" t="str">
        <f>+Summary!A1</f>
        <v>ENRON CAPITAL &amp; TRADE RESOURCES</v>
      </c>
      <c r="B1" s="3"/>
      <c r="C1" s="130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431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4"/>
      <c r="AJ1" s="68"/>
      <c r="AK1" s="4"/>
      <c r="AL1" s="68"/>
      <c r="AM1" s="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4"/>
      <c r="BF1" s="68"/>
      <c r="BG1" s="4"/>
      <c r="BH1" s="68"/>
      <c r="BI1" s="4"/>
      <c r="BJ1" s="81"/>
      <c r="BK1" s="4"/>
      <c r="BL1" s="4"/>
      <c r="BM1" s="81"/>
      <c r="BN1" s="4"/>
      <c r="BO1" s="81"/>
      <c r="BP1" s="81"/>
      <c r="BQ1" s="78"/>
      <c r="BR1" s="78"/>
      <c r="BS1" s="81"/>
      <c r="BT1" s="4"/>
      <c r="BU1" s="78"/>
      <c r="BV1" s="78"/>
      <c r="BW1" s="78"/>
      <c r="BX1" s="78"/>
      <c r="BY1" s="68"/>
    </row>
    <row r="2" spans="1:79" s="18" customFormat="1" ht="15.75">
      <c r="A2" s="277" t="str">
        <f>+Summary!A2</f>
        <v>Energy Services</v>
      </c>
      <c r="B2" s="3"/>
      <c r="C2" s="130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4"/>
      <c r="AJ2" s="68"/>
      <c r="AK2" s="4"/>
      <c r="AL2" s="68"/>
      <c r="AM2" s="4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4"/>
      <c r="BF2" s="68"/>
      <c r="BG2" s="4"/>
      <c r="BH2" s="68"/>
      <c r="BI2" s="4"/>
      <c r="BJ2" s="81"/>
      <c r="BK2" s="4"/>
      <c r="BL2" s="4"/>
      <c r="BM2" s="81"/>
      <c r="BN2" s="4"/>
      <c r="BO2" s="81"/>
      <c r="BP2" s="81"/>
      <c r="BQ2" s="68"/>
      <c r="BR2" s="68"/>
      <c r="BS2" s="81"/>
      <c r="BT2" s="4"/>
      <c r="BU2" s="68"/>
      <c r="BV2" s="68"/>
      <c r="BW2" s="68"/>
      <c r="BX2" s="68"/>
      <c r="BY2" s="106" t="str">
        <f ca="1">CELL("filename")</f>
        <v>O:\Fin_Ops\Engysvc\PowerPlants\2000 Plants\Weekly Report\[2000 Weekly Report - 112000.xls]Summary</v>
      </c>
    </row>
    <row r="3" spans="1:79" s="18" customFormat="1" ht="15.75">
      <c r="A3" s="278" t="s">
        <v>253</v>
      </c>
      <c r="B3" s="3"/>
      <c r="C3" s="130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4"/>
      <c r="AJ3" s="68"/>
      <c r="AK3" s="4"/>
      <c r="AL3" s="68"/>
      <c r="AM3" s="4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4"/>
      <c r="BF3" s="68"/>
      <c r="BG3" s="4"/>
      <c r="BH3" s="68"/>
      <c r="BI3" s="4"/>
      <c r="BJ3" s="81"/>
      <c r="BK3" s="4"/>
      <c r="BL3" s="4"/>
      <c r="BM3" s="81"/>
      <c r="BN3" s="4"/>
      <c r="BO3" s="81"/>
      <c r="BP3" s="81"/>
      <c r="BQ3" s="23"/>
      <c r="BR3" s="23"/>
      <c r="BS3" s="81"/>
      <c r="BT3" s="4"/>
      <c r="BU3" s="23">
        <f ca="1">NOW()</f>
        <v>36857.654951388889</v>
      </c>
      <c r="BW3" s="23"/>
      <c r="BY3" s="78" t="str">
        <f>Summary!A5</f>
        <v>Revision # 68</v>
      </c>
      <c r="CA3" s="18" t="str">
        <f>Summary!A5</f>
        <v>Revision # 68</v>
      </c>
    </row>
    <row r="4" spans="1:79" s="18" customFormat="1" ht="15.75">
      <c r="A4" s="279"/>
      <c r="B4" s="19">
        <f>Summary!C11</f>
        <v>608</v>
      </c>
      <c r="C4" s="4"/>
      <c r="G4" s="67"/>
      <c r="J4" s="67"/>
      <c r="L4" s="74"/>
      <c r="N4" s="69"/>
      <c r="O4" s="128" t="s">
        <v>455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4"/>
      <c r="AJ4" s="82" t="s">
        <v>122</v>
      </c>
      <c r="AK4" s="4"/>
      <c r="AL4" s="82" t="s">
        <v>122</v>
      </c>
      <c r="AM4" s="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4"/>
      <c r="BF4" s="82" t="s">
        <v>122</v>
      </c>
      <c r="BG4" s="4"/>
      <c r="BH4" s="82" t="s">
        <v>122</v>
      </c>
      <c r="BI4" s="4"/>
      <c r="BJ4" s="82" t="s">
        <v>122</v>
      </c>
      <c r="BK4" s="4"/>
      <c r="BL4" s="4"/>
      <c r="BM4" s="82" t="s">
        <v>122</v>
      </c>
      <c r="BN4" s="4"/>
      <c r="BO4" s="82" t="s">
        <v>122</v>
      </c>
      <c r="BP4" s="82"/>
      <c r="BQ4" s="71"/>
      <c r="BR4" s="71"/>
      <c r="BS4" s="70" t="s">
        <v>129</v>
      </c>
      <c r="BT4" s="4"/>
      <c r="BU4" s="71"/>
      <c r="BW4" s="71"/>
      <c r="BY4" s="71"/>
    </row>
    <row r="5" spans="1:79" s="18" customFormat="1" ht="15.75">
      <c r="A5" s="280" t="str">
        <f>Summary!A5</f>
        <v>Revision # 68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4"/>
      <c r="AJ5" s="82" t="s">
        <v>123</v>
      </c>
      <c r="AK5" s="4"/>
      <c r="AL5" s="82" t="s">
        <v>123</v>
      </c>
      <c r="AM5" s="4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4"/>
      <c r="BF5" s="82" t="s">
        <v>123</v>
      </c>
      <c r="BG5" s="4"/>
      <c r="BH5" s="82" t="s">
        <v>123</v>
      </c>
      <c r="BI5" s="4"/>
      <c r="BJ5" s="82" t="s">
        <v>123</v>
      </c>
      <c r="BK5" s="4"/>
      <c r="BL5" s="4"/>
      <c r="BM5" s="82" t="s">
        <v>123</v>
      </c>
      <c r="BN5" s="4"/>
      <c r="BO5" s="82" t="s">
        <v>123</v>
      </c>
      <c r="BP5" s="82"/>
      <c r="BQ5" s="71" t="s">
        <v>44</v>
      </c>
      <c r="BR5" s="71"/>
      <c r="BS5" s="70" t="s">
        <v>130</v>
      </c>
      <c r="BT5" s="4"/>
      <c r="BU5" s="71" t="s">
        <v>42</v>
      </c>
      <c r="BW5" s="71" t="s">
        <v>144</v>
      </c>
      <c r="BY5" s="71" t="s">
        <v>315</v>
      </c>
    </row>
    <row r="6" spans="1:79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4"/>
      <c r="AJ6" s="83">
        <v>36403</v>
      </c>
      <c r="AK6" s="4"/>
      <c r="AL6" s="83">
        <v>36433</v>
      </c>
      <c r="AM6" s="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4"/>
      <c r="BF6" s="83">
        <v>36738</v>
      </c>
      <c r="BG6" s="4"/>
      <c r="BH6" s="83">
        <v>36769</v>
      </c>
      <c r="BI6" s="4"/>
      <c r="BJ6" s="83">
        <v>36799</v>
      </c>
      <c r="BK6" s="4"/>
      <c r="BL6" s="4"/>
      <c r="BM6" s="83">
        <v>36830</v>
      </c>
      <c r="BN6" s="4"/>
      <c r="BO6" s="83">
        <v>36860</v>
      </c>
      <c r="BP6" s="83"/>
      <c r="BQ6" s="75" t="s">
        <v>126</v>
      </c>
      <c r="BR6" s="75"/>
      <c r="BS6" s="73" t="s">
        <v>131</v>
      </c>
      <c r="BT6" s="4"/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4"/>
      <c r="AJ7" s="82" t="str">
        <f>+Summary!$O$4</f>
        <v xml:space="preserve"> As of 11/17/00</v>
      </c>
      <c r="AK7" s="4"/>
      <c r="AL7" s="82" t="str">
        <f>+Summary!$O$4</f>
        <v xml:space="preserve"> As of 11/17/00</v>
      </c>
      <c r="AM7" s="4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82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/>
      <c r="BA7" s="82"/>
      <c r="BB7" s="82"/>
      <c r="BC7" s="82"/>
      <c r="BD7" s="82" t="str">
        <f>+Summary!$O$4</f>
        <v xml:space="preserve"> As of 11/17/00</v>
      </c>
      <c r="BE7" s="4"/>
      <c r="BF7" s="82" t="str">
        <f>+Summary!$O$4</f>
        <v xml:space="preserve"> As of 11/17/00</v>
      </c>
      <c r="BG7" s="4"/>
      <c r="BH7" s="82" t="str">
        <f>+Summary!$O$4</f>
        <v xml:space="preserve"> As of 11/17/00</v>
      </c>
      <c r="BI7" s="4"/>
      <c r="BJ7" s="82" t="str">
        <f>+Summary!$O$4</f>
        <v xml:space="preserve"> As of 11/17/00</v>
      </c>
      <c r="BK7" s="4"/>
      <c r="BL7" s="4"/>
      <c r="BM7" s="82" t="str">
        <f>+Summary!$O$4</f>
        <v xml:space="preserve"> As of 11/17/00</v>
      </c>
      <c r="BN7" s="4"/>
      <c r="BO7" s="82" t="str">
        <f>+Summary!$O$4</f>
        <v xml:space="preserve"> As of 11/17/00</v>
      </c>
      <c r="BP7" s="82"/>
      <c r="BQ7" s="71" t="str">
        <f>Summary!O4</f>
        <v xml:space="preserve"> As of 11/17/00</v>
      </c>
      <c r="BR7" s="71"/>
      <c r="BS7" s="64" t="str">
        <f>+Summary!$O$4</f>
        <v xml:space="preserve"> As of 11/17/00</v>
      </c>
      <c r="BT7" s="4"/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 s="4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M8" s="22"/>
      <c r="BO8" s="22"/>
      <c r="BP8" s="22"/>
      <c r="BS8" s="22"/>
      <c r="BZ8" s="6"/>
    </row>
    <row r="9" spans="1:79">
      <c r="A9" s="100"/>
      <c r="B9" s="17" t="s">
        <v>262</v>
      </c>
      <c r="E9" s="4"/>
      <c r="G9" s="4"/>
      <c r="I9" s="4"/>
      <c r="J9" s="5" t="s">
        <v>0</v>
      </c>
      <c r="L9" s="138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 s="4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M9" s="6">
        <v>0</v>
      </c>
      <c r="BO9" s="6">
        <v>0</v>
      </c>
      <c r="BP9" s="6"/>
      <c r="BQ9" s="6">
        <f>SUM(T9:BP9)</f>
        <v>142064940.44</v>
      </c>
      <c r="BS9" s="6">
        <f>142064940-R9-192000</f>
        <v>1832000</v>
      </c>
      <c r="BU9" s="6">
        <f>IF(+R9-BQ9+BS9&gt;0,R9-BQ9+BS9,0)</f>
        <v>0</v>
      </c>
      <c r="BW9" s="6">
        <f>+BQ9+BU9</f>
        <v>142064940.44</v>
      </c>
      <c r="BY9" s="6">
        <f>+R9-BW9</f>
        <v>-2024000.4399999976</v>
      </c>
      <c r="BZ9" s="6"/>
    </row>
    <row r="10" spans="1:79">
      <c r="A10" s="100"/>
      <c r="B10" s="17" t="s">
        <v>121</v>
      </c>
      <c r="E10" s="4"/>
      <c r="G10" s="4"/>
      <c r="I10" s="4"/>
      <c r="J10" s="5" t="s">
        <v>0</v>
      </c>
      <c r="L10" s="138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 s="4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M10" s="6">
        <v>0</v>
      </c>
      <c r="BO10" s="6">
        <v>0</v>
      </c>
      <c r="BP10" s="6"/>
      <c r="BQ10" s="6">
        <f>SUM(T10:BP10)</f>
        <v>0</v>
      </c>
      <c r="BS10" s="6">
        <v>-192000</v>
      </c>
      <c r="BU10" s="6">
        <f>IF(+R10-BQ10+BS10&gt;0,R10-BQ10+BS10,0)</f>
        <v>0</v>
      </c>
      <c r="BW10" s="6">
        <f>+BQ10+BU10</f>
        <v>0</v>
      </c>
      <c r="BY10" s="6">
        <f>+R10-BW10</f>
        <v>192000</v>
      </c>
      <c r="BZ10" s="6"/>
    </row>
    <row r="11" spans="1:79">
      <c r="A11" s="100"/>
      <c r="B11" s="17"/>
      <c r="E11" s="4"/>
      <c r="G11" s="4"/>
      <c r="I11" s="4"/>
      <c r="L11" s="138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 s="4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M11" s="12"/>
      <c r="BO11" s="12"/>
      <c r="BP11" s="12"/>
      <c r="BQ11" s="6">
        <f>SUM(T11:BP11)</f>
        <v>0</v>
      </c>
      <c r="BR11" s="12"/>
      <c r="BS11" s="12"/>
      <c r="BU11" s="6">
        <f>IF(+R11-BQ11+BS11&gt;0,R11-BQ11+BS11,0)</f>
        <v>0</v>
      </c>
      <c r="BW11" s="12"/>
      <c r="BZ11" s="6"/>
    </row>
    <row r="12" spans="1:79">
      <c r="A12" s="100"/>
      <c r="B12" s="17" t="s">
        <v>169</v>
      </c>
      <c r="E12" s="4"/>
      <c r="G12" s="4"/>
      <c r="I12" s="4"/>
      <c r="L12" s="138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 s="4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M12" s="101">
        <f>SUM(BM9:BM11)</f>
        <v>0</v>
      </c>
      <c r="BO12" s="101">
        <f>SUM(BO9:BO11)</f>
        <v>0</v>
      </c>
      <c r="BP12" s="101"/>
      <c r="BQ12" s="101">
        <f>SUM(BQ9:BQ11)</f>
        <v>142064940.44</v>
      </c>
      <c r="BR12" s="101"/>
      <c r="BS12" s="101">
        <f>SUM(BS9:BS11)</f>
        <v>1640000</v>
      </c>
      <c r="BU12" s="101">
        <f>SUM(BU9:BU11)</f>
        <v>0</v>
      </c>
      <c r="BW12" s="101">
        <f>SUM(BW9:BW11)</f>
        <v>142064940.44</v>
      </c>
      <c r="BY12" s="101">
        <f>SUM(BY9:BY11)</f>
        <v>-1832000.4399999976</v>
      </c>
      <c r="BZ12" s="6"/>
    </row>
    <row r="13" spans="1:79">
      <c r="A13" s="100"/>
      <c r="B13" s="17"/>
      <c r="E13" s="4"/>
      <c r="G13" s="4"/>
      <c r="I13" s="4"/>
      <c r="L13" s="138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 s="4"/>
      <c r="BJ13" s="6"/>
      <c r="BM13" s="6"/>
      <c r="BO13" s="6"/>
      <c r="BP13" s="6"/>
      <c r="BS13" s="6"/>
      <c r="BZ13" s="6"/>
    </row>
    <row r="14" spans="1:79" hidden="1">
      <c r="A14" s="100"/>
      <c r="B14" s="17" t="s">
        <v>26</v>
      </c>
      <c r="E14" s="4"/>
      <c r="G14" s="4"/>
      <c r="I14" s="4"/>
      <c r="L14" s="138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 s="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M14" s="6">
        <v>0</v>
      </c>
      <c r="BO14" s="6">
        <v>0</v>
      </c>
      <c r="BP14" s="6"/>
      <c r="BQ14" s="6">
        <f>SUM(T14:BM14)</f>
        <v>0</v>
      </c>
      <c r="BS14" s="6">
        <v>0</v>
      </c>
      <c r="BU14" s="6">
        <f>+R14-BQ14+BS14</f>
        <v>0</v>
      </c>
      <c r="BW14" s="6">
        <f t="shared" ref="BW14:BW30" si="0">+BQ14+BU14</f>
        <v>0</v>
      </c>
      <c r="BY14" s="6">
        <f t="shared" ref="BY14:BY30" si="1">+R14-BW14</f>
        <v>0</v>
      </c>
      <c r="BZ14" s="6"/>
    </row>
    <row r="15" spans="1:79">
      <c r="A15" s="100"/>
      <c r="B15" s="17" t="s">
        <v>221</v>
      </c>
      <c r="E15" s="4"/>
      <c r="G15" s="4"/>
      <c r="I15" s="4"/>
      <c r="J15" s="5" t="s">
        <v>0</v>
      </c>
      <c r="L15" s="138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 s="4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M15" s="6">
        <v>0</v>
      </c>
      <c r="BO15" s="6">
        <v>0</v>
      </c>
      <c r="BP15" s="6"/>
      <c r="BQ15" s="6">
        <f t="shared" ref="BQ15:BQ29" si="2">SUM(T15:BP15)</f>
        <v>6342648</v>
      </c>
      <c r="BS15" s="6">
        <f>5916048-5878600+220650+206600</f>
        <v>464698</v>
      </c>
      <c r="BU15" s="6">
        <v>0</v>
      </c>
      <c r="BW15" s="6">
        <f t="shared" si="0"/>
        <v>6342648</v>
      </c>
      <c r="BY15" s="6">
        <f t="shared" si="1"/>
        <v>-464048</v>
      </c>
      <c r="BZ15" s="6"/>
    </row>
    <row r="16" spans="1:79">
      <c r="A16" s="100"/>
      <c r="B16" s="17" t="s">
        <v>224</v>
      </c>
      <c r="E16" s="4"/>
      <c r="G16" s="4"/>
      <c r="I16" s="4"/>
      <c r="J16" s="5" t="s">
        <v>0</v>
      </c>
      <c r="L16" s="138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 s="4"/>
      <c r="BJ16" s="6"/>
      <c r="BM16" s="6"/>
      <c r="BO16" s="6"/>
      <c r="BP16" s="6"/>
      <c r="BQ16" s="6">
        <f t="shared" si="2"/>
        <v>0</v>
      </c>
      <c r="BS16" s="6"/>
      <c r="BU16" s="6">
        <f t="shared" ref="BU16:BU30" si="3">IF(+R16-BQ16+BS16&gt;0,R16-BQ16+BS16,0)</f>
        <v>0</v>
      </c>
      <c r="BW16" s="6">
        <f t="shared" si="0"/>
        <v>0</v>
      </c>
      <c r="BY16" s="6">
        <f t="shared" si="1"/>
        <v>0</v>
      </c>
      <c r="BZ16" s="6"/>
    </row>
    <row r="17" spans="1:78">
      <c r="A17" s="100"/>
      <c r="B17" s="17" t="s">
        <v>225</v>
      </c>
      <c r="E17" s="4"/>
      <c r="G17" s="4"/>
      <c r="I17" s="4"/>
      <c r="J17" s="5" t="s">
        <v>0</v>
      </c>
      <c r="L17" s="138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 s="4"/>
      <c r="BJ17" s="6"/>
      <c r="BM17" s="6"/>
      <c r="BO17" s="6"/>
      <c r="BP17" s="6"/>
      <c r="BQ17" s="6">
        <f t="shared" si="2"/>
        <v>0</v>
      </c>
      <c r="BS17" s="6"/>
      <c r="BU17" s="6">
        <f t="shared" si="3"/>
        <v>0</v>
      </c>
      <c r="BW17" s="6">
        <f t="shared" si="0"/>
        <v>0</v>
      </c>
      <c r="BY17" s="6">
        <f t="shared" si="1"/>
        <v>0</v>
      </c>
      <c r="BZ17" s="6"/>
    </row>
    <row r="18" spans="1:78">
      <c r="A18" s="100"/>
      <c r="B18" s="17" t="s">
        <v>222</v>
      </c>
      <c r="E18" s="4"/>
      <c r="G18" s="4"/>
      <c r="I18" s="4"/>
      <c r="J18" s="5" t="s">
        <v>0</v>
      </c>
      <c r="L18" s="138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 s="4"/>
      <c r="BJ18" s="6"/>
      <c r="BM18" s="6"/>
      <c r="BO18" s="6"/>
      <c r="BP18" s="6"/>
      <c r="BQ18" s="6">
        <f t="shared" si="2"/>
        <v>0</v>
      </c>
      <c r="BS18" s="6"/>
      <c r="BU18" s="6">
        <f t="shared" si="3"/>
        <v>0</v>
      </c>
      <c r="BW18" s="6">
        <f t="shared" si="0"/>
        <v>0</v>
      </c>
      <c r="BY18" s="6">
        <f t="shared" si="1"/>
        <v>0</v>
      </c>
      <c r="BZ18" s="6"/>
    </row>
    <row r="19" spans="1:78">
      <c r="A19" s="100"/>
      <c r="B19" s="17" t="s">
        <v>223</v>
      </c>
      <c r="E19" s="4"/>
      <c r="G19" s="4"/>
      <c r="I19" s="4"/>
      <c r="J19" s="5" t="s">
        <v>0</v>
      </c>
      <c r="L19" s="138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 s="4"/>
      <c r="BJ19" s="6"/>
      <c r="BM19" s="6"/>
      <c r="BO19" s="6"/>
      <c r="BP19" s="6"/>
      <c r="BQ19" s="6">
        <f t="shared" si="2"/>
        <v>0</v>
      </c>
      <c r="BS19" s="6"/>
      <c r="BU19" s="6">
        <f t="shared" si="3"/>
        <v>0</v>
      </c>
      <c r="BW19" s="6">
        <f t="shared" si="0"/>
        <v>0</v>
      </c>
      <c r="BY19" s="6">
        <f t="shared" si="1"/>
        <v>0</v>
      </c>
      <c r="BZ19" s="6"/>
    </row>
    <row r="20" spans="1:78" hidden="1">
      <c r="A20" s="100"/>
      <c r="B20" s="17"/>
      <c r="E20" s="4"/>
      <c r="G20" s="4"/>
      <c r="I20" s="4"/>
      <c r="J20" s="5" t="s">
        <v>0</v>
      </c>
      <c r="L20" s="138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 s="4"/>
      <c r="BJ20" s="6"/>
      <c r="BM20" s="6"/>
      <c r="BO20" s="6"/>
      <c r="BP20" s="6"/>
      <c r="BQ20" s="6">
        <f t="shared" si="2"/>
        <v>0</v>
      </c>
      <c r="BS20" s="6"/>
      <c r="BU20" s="6">
        <f t="shared" si="3"/>
        <v>0</v>
      </c>
      <c r="BW20" s="6">
        <f t="shared" si="0"/>
        <v>0</v>
      </c>
      <c r="BY20" s="6">
        <f t="shared" si="1"/>
        <v>0</v>
      </c>
      <c r="BZ20" s="6"/>
    </row>
    <row r="21" spans="1:78" hidden="1">
      <c r="A21" s="100"/>
      <c r="B21" s="17" t="s">
        <v>7</v>
      </c>
      <c r="E21" s="4"/>
      <c r="G21" s="4"/>
      <c r="I21" s="4"/>
      <c r="J21" s="5" t="s">
        <v>0</v>
      </c>
      <c r="L21" s="138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4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 s="4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M21" s="6">
        <v>0</v>
      </c>
      <c r="BO21" s="6">
        <v>0</v>
      </c>
      <c r="BP21" s="6"/>
      <c r="BQ21" s="6">
        <f t="shared" si="2"/>
        <v>0</v>
      </c>
      <c r="BS21" s="6">
        <v>0</v>
      </c>
      <c r="BU21" s="6">
        <f t="shared" si="3"/>
        <v>0</v>
      </c>
      <c r="BW21" s="6">
        <f t="shared" si="0"/>
        <v>0</v>
      </c>
      <c r="BY21" s="6">
        <f t="shared" si="1"/>
        <v>0</v>
      </c>
      <c r="BZ21" s="6"/>
    </row>
    <row r="22" spans="1:78" hidden="1">
      <c r="A22" s="100"/>
      <c r="B22" s="17" t="s">
        <v>8</v>
      </c>
      <c r="E22" s="4"/>
      <c r="G22" s="4"/>
      <c r="I22" s="4"/>
      <c r="J22" s="5" t="s">
        <v>0</v>
      </c>
      <c r="L22" s="138" t="s">
        <v>202</v>
      </c>
      <c r="M22" s="6"/>
      <c r="N22" s="6">
        <v>0</v>
      </c>
      <c r="O22" s="6"/>
      <c r="P22" s="6">
        <v>0</v>
      </c>
      <c r="Q22" s="6"/>
      <c r="R22" s="6">
        <f t="shared" si="4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 s="4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M22" s="6">
        <v>0</v>
      </c>
      <c r="BO22" s="6">
        <v>0</v>
      </c>
      <c r="BP22" s="6"/>
      <c r="BQ22" s="6">
        <f t="shared" si="2"/>
        <v>0</v>
      </c>
      <c r="BS22" s="6">
        <v>0</v>
      </c>
      <c r="BU22" s="6">
        <f t="shared" si="3"/>
        <v>0</v>
      </c>
      <c r="BW22" s="6">
        <f t="shared" si="0"/>
        <v>0</v>
      </c>
      <c r="BY22" s="6">
        <f t="shared" si="1"/>
        <v>0</v>
      </c>
      <c r="BZ22" s="6"/>
    </row>
    <row r="23" spans="1:78" hidden="1">
      <c r="A23" s="100"/>
      <c r="B23" s="17" t="s">
        <v>9</v>
      </c>
      <c r="E23" s="4"/>
      <c r="G23" s="4"/>
      <c r="I23" s="4"/>
      <c r="J23" s="5" t="s">
        <v>0</v>
      </c>
      <c r="L23" s="138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 s="4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M23" s="6">
        <v>0</v>
      </c>
      <c r="BO23" s="6">
        <v>0</v>
      </c>
      <c r="BP23" s="6"/>
      <c r="BQ23" s="6">
        <f t="shared" si="2"/>
        <v>0</v>
      </c>
      <c r="BS23" s="6">
        <v>0</v>
      </c>
      <c r="BU23" s="6">
        <f t="shared" si="3"/>
        <v>0</v>
      </c>
      <c r="BW23" s="6">
        <f t="shared" si="0"/>
        <v>0</v>
      </c>
      <c r="BY23" s="6">
        <f t="shared" si="1"/>
        <v>0</v>
      </c>
      <c r="BZ23" s="6"/>
    </row>
    <row r="24" spans="1:78" hidden="1">
      <c r="A24" s="100"/>
      <c r="B24" s="17" t="s">
        <v>10</v>
      </c>
      <c r="E24" s="4"/>
      <c r="G24" s="4"/>
      <c r="I24" s="4"/>
      <c r="J24" s="5" t="s">
        <v>0</v>
      </c>
      <c r="L24" s="138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 s="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M24" s="6">
        <v>0</v>
      </c>
      <c r="BO24" s="6">
        <v>0</v>
      </c>
      <c r="BP24" s="6"/>
      <c r="BQ24" s="6">
        <f t="shared" si="2"/>
        <v>0</v>
      </c>
      <c r="BS24" s="6">
        <v>0</v>
      </c>
      <c r="BU24" s="6">
        <f t="shared" si="3"/>
        <v>0</v>
      </c>
      <c r="BW24" s="6">
        <f t="shared" si="0"/>
        <v>0</v>
      </c>
      <c r="BY24" s="6">
        <f t="shared" si="1"/>
        <v>0</v>
      </c>
      <c r="BZ24" s="6"/>
    </row>
    <row r="25" spans="1:78" hidden="1">
      <c r="A25" s="100"/>
      <c r="B25" s="17" t="s">
        <v>11</v>
      </c>
      <c r="E25" s="4"/>
      <c r="G25" s="4"/>
      <c r="I25" s="4"/>
      <c r="J25" s="5" t="s">
        <v>0</v>
      </c>
      <c r="L25" s="138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 s="4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M25" s="6">
        <v>0</v>
      </c>
      <c r="BO25" s="6">
        <v>0</v>
      </c>
      <c r="BP25" s="6"/>
      <c r="BQ25" s="6">
        <f t="shared" si="2"/>
        <v>0</v>
      </c>
      <c r="BS25" s="6">
        <v>0</v>
      </c>
      <c r="BU25" s="6">
        <f t="shared" si="3"/>
        <v>0</v>
      </c>
      <c r="BW25" s="6">
        <f t="shared" si="0"/>
        <v>0</v>
      </c>
      <c r="BY25" s="6">
        <f t="shared" si="1"/>
        <v>0</v>
      </c>
      <c r="BZ25" s="6"/>
    </row>
    <row r="26" spans="1:78" hidden="1">
      <c r="A26" s="281"/>
      <c r="B26" s="17" t="s">
        <v>12</v>
      </c>
      <c r="E26" s="4"/>
      <c r="G26" s="4"/>
      <c r="I26" s="4"/>
      <c r="J26" s="5" t="s">
        <v>0</v>
      </c>
      <c r="L26" s="138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 s="4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M26" s="6">
        <v>0</v>
      </c>
      <c r="BO26" s="6">
        <v>0</v>
      </c>
      <c r="BP26" s="6"/>
      <c r="BQ26" s="6">
        <f t="shared" si="2"/>
        <v>0</v>
      </c>
      <c r="BS26" s="6">
        <v>0</v>
      </c>
      <c r="BU26" s="6">
        <f t="shared" si="3"/>
        <v>0</v>
      </c>
      <c r="BW26" s="6">
        <f t="shared" si="0"/>
        <v>0</v>
      </c>
      <c r="BY26" s="6">
        <f t="shared" si="1"/>
        <v>0</v>
      </c>
      <c r="BZ26" s="6"/>
    </row>
    <row r="27" spans="1:78" hidden="1">
      <c r="A27" s="281"/>
      <c r="B27" s="17" t="s">
        <v>13</v>
      </c>
      <c r="E27" s="4"/>
      <c r="G27" s="4"/>
      <c r="I27" s="4"/>
      <c r="J27" s="5" t="s">
        <v>0</v>
      </c>
      <c r="L27" s="138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 s="4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M27" s="6">
        <v>0</v>
      </c>
      <c r="BO27" s="6">
        <v>0</v>
      </c>
      <c r="BP27" s="6"/>
      <c r="BQ27" s="6">
        <f t="shared" si="2"/>
        <v>0</v>
      </c>
      <c r="BS27" s="6">
        <v>0</v>
      </c>
      <c r="BU27" s="6">
        <f t="shared" si="3"/>
        <v>0</v>
      </c>
      <c r="BW27" s="6">
        <f t="shared" si="0"/>
        <v>0</v>
      </c>
      <c r="BY27" s="6">
        <f t="shared" si="1"/>
        <v>0</v>
      </c>
      <c r="BZ27" s="6"/>
    </row>
    <row r="28" spans="1:78" s="11" customFormat="1" hidden="1">
      <c r="A28" s="100"/>
      <c r="B28" s="17" t="s">
        <v>14</v>
      </c>
      <c r="J28" s="5" t="s">
        <v>0</v>
      </c>
      <c r="L28" s="138" t="s">
        <v>202</v>
      </c>
      <c r="M28" s="12"/>
      <c r="N28" s="12">
        <v>0</v>
      </c>
      <c r="O28" s="12"/>
      <c r="P28" s="12">
        <v>0</v>
      </c>
      <c r="Q28" s="12"/>
      <c r="R28" s="6">
        <f t="shared" si="4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 s="4"/>
      <c r="AJ28" s="12">
        <v>0</v>
      </c>
      <c r="AK28" s="4"/>
      <c r="AL28" s="12">
        <v>0</v>
      </c>
      <c r="AM28" s="4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 s="4"/>
      <c r="BF28" s="12">
        <v>0</v>
      </c>
      <c r="BG28" s="4"/>
      <c r="BH28" s="12">
        <v>0</v>
      </c>
      <c r="BI28" s="4"/>
      <c r="BJ28" s="12">
        <v>0</v>
      </c>
      <c r="BK28" s="4"/>
      <c r="BL28" s="4"/>
      <c r="BM28" s="12">
        <v>0</v>
      </c>
      <c r="BN28" s="4"/>
      <c r="BO28" s="12">
        <v>0</v>
      </c>
      <c r="BP28" s="12"/>
      <c r="BQ28" s="6">
        <f t="shared" si="2"/>
        <v>0</v>
      </c>
      <c r="BR28" s="12"/>
      <c r="BS28" s="12">
        <v>0</v>
      </c>
      <c r="BT28" s="4"/>
      <c r="BU28" s="6">
        <f t="shared" si="3"/>
        <v>0</v>
      </c>
      <c r="BV28" s="12"/>
      <c r="BW28" s="6">
        <f t="shared" si="0"/>
        <v>0</v>
      </c>
      <c r="BX28" s="12"/>
      <c r="BY28" s="6">
        <f t="shared" si="1"/>
        <v>0</v>
      </c>
      <c r="BZ28" s="12"/>
    </row>
    <row r="29" spans="1:78">
      <c r="A29" s="100"/>
      <c r="B29" s="17" t="s">
        <v>121</v>
      </c>
      <c r="E29" s="4"/>
      <c r="G29" s="4"/>
      <c r="I29" s="4"/>
      <c r="J29" s="5" t="s">
        <v>0</v>
      </c>
      <c r="L29" s="138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 s="4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M29" s="12">
        <v>0</v>
      </c>
      <c r="BO29" s="12">
        <v>0</v>
      </c>
      <c r="BP29" s="12"/>
      <c r="BQ29" s="6">
        <f t="shared" si="2"/>
        <v>0</v>
      </c>
      <c r="BR29" s="12"/>
      <c r="BS29" s="12">
        <v>0</v>
      </c>
      <c r="BU29" s="6">
        <f t="shared" si="3"/>
        <v>0</v>
      </c>
      <c r="BW29" s="6">
        <f t="shared" si="0"/>
        <v>0</v>
      </c>
      <c r="BY29" s="6">
        <f t="shared" si="1"/>
        <v>0</v>
      </c>
      <c r="BZ29" s="12"/>
    </row>
    <row r="30" spans="1:78">
      <c r="A30" s="100"/>
      <c r="B30" s="17"/>
      <c r="E30" s="4"/>
      <c r="G30" s="4"/>
      <c r="I30" s="4"/>
      <c r="L30" s="138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4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M30" s="12"/>
      <c r="BO30" s="12"/>
      <c r="BP30" s="12"/>
      <c r="BQ30" s="12"/>
      <c r="BR30" s="12"/>
      <c r="BS30" s="12"/>
      <c r="BU30" s="6">
        <f t="shared" si="3"/>
        <v>0</v>
      </c>
      <c r="BW30" s="6">
        <f t="shared" si="0"/>
        <v>0</v>
      </c>
      <c r="BY30" s="6">
        <f t="shared" si="1"/>
        <v>0</v>
      </c>
      <c r="BZ30" s="12"/>
    </row>
    <row r="31" spans="1:78">
      <c r="A31" s="100"/>
      <c r="B31" s="17" t="s">
        <v>226</v>
      </c>
      <c r="E31" s="4"/>
      <c r="G31" s="4"/>
      <c r="I31" s="4"/>
      <c r="L31" s="138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 s="4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M31" s="101">
        <f>SUM(BM14:BM30)</f>
        <v>0</v>
      </c>
      <c r="BO31" s="101">
        <f>SUM(BO14:BO30)</f>
        <v>0</v>
      </c>
      <c r="BP31" s="101"/>
      <c r="BQ31" s="101">
        <f>SUM(BQ14:BQ30)</f>
        <v>6342648</v>
      </c>
      <c r="BR31" s="101"/>
      <c r="BS31" s="101">
        <f>SUM(BS14:BS30)</f>
        <v>464698</v>
      </c>
      <c r="BU31" s="101">
        <f>SUM(BU14:BU30)</f>
        <v>0</v>
      </c>
      <c r="BW31" s="101">
        <f>SUM(BW14:BW30)</f>
        <v>6342648</v>
      </c>
      <c r="BY31" s="101">
        <f>SUM(BY14:BY30)</f>
        <v>-464048</v>
      </c>
      <c r="BZ31" s="12"/>
    </row>
    <row r="32" spans="1:78">
      <c r="A32" s="100"/>
      <c r="B32" s="17"/>
      <c r="E32" s="4"/>
      <c r="G32" s="4"/>
      <c r="I32" s="4"/>
      <c r="L32" s="138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M32" s="12"/>
      <c r="BO32" s="12"/>
      <c r="BP32" s="12"/>
      <c r="BQ32" s="12"/>
      <c r="BR32" s="12"/>
      <c r="BS32" s="12"/>
      <c r="BU32" s="12"/>
      <c r="BW32" s="12"/>
      <c r="BY32" s="12"/>
      <c r="BZ32" s="12"/>
    </row>
    <row r="33" spans="1:78" s="114" customFormat="1">
      <c r="A33" s="282"/>
      <c r="B33" s="113" t="s">
        <v>15</v>
      </c>
      <c r="J33" s="154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 s="4"/>
      <c r="AJ33" s="115">
        <f>+AJ31+AJ12</f>
        <v>6160327</v>
      </c>
      <c r="AK33" s="4"/>
      <c r="AL33" s="115">
        <f>+AL31+AL12</f>
        <v>6924847</v>
      </c>
      <c r="AM33" s="4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 s="4"/>
      <c r="BF33" s="115">
        <f>+BF31+BF12</f>
        <v>0</v>
      </c>
      <c r="BG33" s="4"/>
      <c r="BH33" s="115">
        <f>+BH31+BH12</f>
        <v>0</v>
      </c>
      <c r="BI33" s="4"/>
      <c r="BJ33" s="115">
        <f>+BJ31+BJ12</f>
        <v>0</v>
      </c>
      <c r="BK33" s="4"/>
      <c r="BL33" s="4"/>
      <c r="BM33" s="115">
        <f>+BM31+BM12</f>
        <v>0</v>
      </c>
      <c r="BN33" s="4"/>
      <c r="BO33" s="115">
        <f>+BO31+BO12</f>
        <v>0</v>
      </c>
      <c r="BP33" s="115"/>
      <c r="BQ33" s="115">
        <f>+BQ31+BQ12</f>
        <v>148407588.44</v>
      </c>
      <c r="BR33" s="115"/>
      <c r="BS33" s="115">
        <f>+BS31+BS12</f>
        <v>2104698</v>
      </c>
      <c r="BT33" s="4"/>
      <c r="BU33" s="115">
        <f>+BU31+BU12</f>
        <v>0</v>
      </c>
      <c r="BV33" s="115"/>
      <c r="BW33" s="115">
        <f>+BW31+BW12</f>
        <v>148407588.44</v>
      </c>
      <c r="BX33" s="115"/>
      <c r="BY33" s="115">
        <f>+BY31+BY12</f>
        <v>-2296048.4399999976</v>
      </c>
      <c r="BZ33" s="115"/>
    </row>
    <row r="34" spans="1:78">
      <c r="A34" s="100"/>
      <c r="B34" s="79"/>
      <c r="E34" s="4"/>
      <c r="G34" s="4"/>
      <c r="I34" s="4"/>
      <c r="L34" s="138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 s="4"/>
      <c r="BJ34" s="6"/>
      <c r="BM34" s="6"/>
      <c r="BO34" s="6"/>
      <c r="BP34" s="6"/>
      <c r="BS34" s="6"/>
      <c r="BZ34" s="6"/>
    </row>
    <row r="35" spans="1:78">
      <c r="A35" s="100"/>
      <c r="B35" s="17"/>
      <c r="E35" s="4"/>
      <c r="G35" s="4"/>
      <c r="I35" s="4"/>
      <c r="L35" s="138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 s="4"/>
      <c r="BJ35" s="6"/>
      <c r="BM35" s="6"/>
      <c r="BO35" s="6"/>
      <c r="BP35" s="6"/>
      <c r="BS35" s="6"/>
      <c r="BZ35" s="6"/>
    </row>
    <row r="36" spans="1:78">
      <c r="A36" s="58" t="s">
        <v>234</v>
      </c>
      <c r="B36" s="17"/>
      <c r="E36" s="4"/>
      <c r="G36" s="4"/>
      <c r="I36" s="4"/>
      <c r="L36" s="138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 s="4"/>
      <c r="BJ36" s="6"/>
      <c r="BM36" s="6"/>
      <c r="BO36" s="6"/>
      <c r="BP36" s="6"/>
      <c r="BS36" s="6"/>
      <c r="BZ36" s="6"/>
    </row>
    <row r="37" spans="1:78">
      <c r="A37" s="100"/>
      <c r="B37" s="17"/>
      <c r="E37" s="4"/>
      <c r="G37" s="4"/>
      <c r="I37" s="4"/>
      <c r="L37" s="138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 s="4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M37" s="6">
        <v>0</v>
      </c>
      <c r="BO37" s="6">
        <v>0</v>
      </c>
      <c r="BP37" s="6"/>
      <c r="BS37" s="6"/>
      <c r="BZ37" s="6"/>
    </row>
    <row r="38" spans="1:78">
      <c r="A38" s="100"/>
      <c r="B38" s="31" t="s">
        <v>294</v>
      </c>
      <c r="E38" s="4"/>
      <c r="G38" s="4"/>
      <c r="I38" s="4"/>
      <c r="L38" s="138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 s="4"/>
      <c r="BJ38" s="6"/>
      <c r="BM38" s="6"/>
      <c r="BO38" s="6"/>
      <c r="BP38" s="6"/>
      <c r="BS38" s="6"/>
      <c r="BZ38" s="6"/>
    </row>
    <row r="39" spans="1:78">
      <c r="A39" s="100"/>
      <c r="B39" s="229" t="s">
        <v>292</v>
      </c>
      <c r="E39" s="4"/>
      <c r="G39" s="4"/>
      <c r="I39" s="4"/>
      <c r="J39" s="5" t="s">
        <v>229</v>
      </c>
      <c r="L39" s="138" t="s">
        <v>202</v>
      </c>
      <c r="M39" s="6"/>
      <c r="O39" s="6"/>
      <c r="Q39" s="6"/>
      <c r="R39" s="288">
        <v>1538965</v>
      </c>
      <c r="S39" s="6"/>
      <c r="T39" s="6"/>
      <c r="U39" s="6"/>
      <c r="V39" s="6"/>
      <c r="X39" s="6"/>
      <c r="Z39" s="6"/>
      <c r="AB39" s="6"/>
      <c r="AD39" s="6"/>
      <c r="AI39" s="4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M39" s="6"/>
      <c r="BO39" s="6"/>
      <c r="BP39" s="6"/>
      <c r="BQ39" s="6">
        <f t="shared" ref="BQ39:BQ45" si="5">SUM(T39:BP39)</f>
        <v>5107000</v>
      </c>
      <c r="BS39" s="6">
        <f>5112000-R39</f>
        <v>3573035</v>
      </c>
      <c r="BU39" s="6">
        <f t="shared" ref="BU39:BU45" si="6">IF(+R39-BQ39+BS39&gt;0,R39-BQ39+BS39,0)</f>
        <v>5000</v>
      </c>
      <c r="BW39" s="6">
        <f t="shared" ref="BW39:BW45" si="7">+BQ39+BU39</f>
        <v>5112000</v>
      </c>
      <c r="BY39" s="6">
        <f t="shared" ref="BY39:BY45" si="8">+R39-BW39</f>
        <v>-3573035</v>
      </c>
      <c r="BZ39" s="6"/>
    </row>
    <row r="40" spans="1:78">
      <c r="A40" s="100"/>
      <c r="B40" s="229" t="s">
        <v>381</v>
      </c>
      <c r="E40" s="4"/>
      <c r="G40" s="4"/>
      <c r="I40" s="4"/>
      <c r="J40" s="5" t="s">
        <v>229</v>
      </c>
      <c r="L40" s="138" t="s">
        <v>202</v>
      </c>
      <c r="M40" s="6"/>
      <c r="O40" s="6"/>
      <c r="Q40" s="6"/>
      <c r="R40" s="288">
        <v>1717382</v>
      </c>
      <c r="S40" s="6"/>
      <c r="T40" s="6"/>
      <c r="U40" s="6"/>
      <c r="V40" s="6"/>
      <c r="X40" s="6"/>
      <c r="Z40" s="6"/>
      <c r="AB40" s="6"/>
      <c r="AD40" s="6"/>
      <c r="AI40" s="4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M40" s="6"/>
      <c r="BO40" s="6"/>
      <c r="BP40" s="6"/>
      <c r="BQ40" s="6">
        <f t="shared" si="5"/>
        <v>4266000</v>
      </c>
      <c r="BS40" s="6">
        <f>4269000-R40</f>
        <v>2551618</v>
      </c>
      <c r="BU40" s="6">
        <f t="shared" si="6"/>
        <v>3000</v>
      </c>
      <c r="BW40" s="6">
        <f t="shared" si="7"/>
        <v>4269000</v>
      </c>
      <c r="BY40" s="6">
        <f t="shared" si="8"/>
        <v>-2551618</v>
      </c>
      <c r="BZ40" s="6"/>
    </row>
    <row r="41" spans="1:78">
      <c r="A41" s="100"/>
      <c r="B41" s="229" t="s">
        <v>382</v>
      </c>
      <c r="E41" s="4"/>
      <c r="G41" s="4"/>
      <c r="I41" s="4"/>
      <c r="J41" s="5" t="s">
        <v>229</v>
      </c>
      <c r="L41" s="138" t="s">
        <v>202</v>
      </c>
      <c r="M41" s="6"/>
      <c r="O41" s="6"/>
      <c r="Q41" s="6"/>
      <c r="R41" s="288">
        <v>14562379</v>
      </c>
      <c r="S41" s="6"/>
      <c r="T41" s="6"/>
      <c r="U41" s="6"/>
      <c r="V41" s="6"/>
      <c r="X41" s="6"/>
      <c r="Z41" s="6"/>
      <c r="AB41" s="6"/>
      <c r="AD41" s="6"/>
      <c r="AI41" s="4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M41" s="6"/>
      <c r="BO41" s="6"/>
      <c r="BP41" s="6"/>
      <c r="BQ41" s="6">
        <f t="shared" si="5"/>
        <v>4654000</v>
      </c>
      <c r="BS41" s="6">
        <f>4707000-R41</f>
        <v>-9855379</v>
      </c>
      <c r="BU41" s="6">
        <f t="shared" si="6"/>
        <v>53000</v>
      </c>
      <c r="BW41" s="6">
        <f t="shared" si="7"/>
        <v>4707000</v>
      </c>
      <c r="BY41" s="6">
        <f t="shared" si="8"/>
        <v>9855379</v>
      </c>
      <c r="BZ41" s="6"/>
    </row>
    <row r="42" spans="1:78">
      <c r="A42" s="100"/>
      <c r="B42" s="229" t="s">
        <v>22</v>
      </c>
      <c r="E42" s="4"/>
      <c r="G42" s="4"/>
      <c r="I42" s="4"/>
      <c r="J42" s="5" t="s">
        <v>229</v>
      </c>
      <c r="L42" s="138" t="s">
        <v>202</v>
      </c>
      <c r="M42" s="6"/>
      <c r="N42" s="6">
        <v>0</v>
      </c>
      <c r="O42" s="6"/>
      <c r="P42" s="6">
        <v>0</v>
      </c>
      <c r="Q42" s="6"/>
      <c r="R42" s="288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 s="4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M42" s="6"/>
      <c r="BO42" s="6"/>
      <c r="BP42" s="6"/>
      <c r="BQ42" s="6">
        <f t="shared" si="5"/>
        <v>1192000</v>
      </c>
      <c r="BS42" s="6">
        <f>1194000-R42</f>
        <v>815312</v>
      </c>
      <c r="BU42" s="6">
        <f t="shared" si="6"/>
        <v>2000</v>
      </c>
      <c r="BW42" s="6">
        <f t="shared" si="7"/>
        <v>1194000</v>
      </c>
      <c r="BY42" s="6">
        <f t="shared" si="8"/>
        <v>-815312</v>
      </c>
      <c r="BZ42" s="6"/>
    </row>
    <row r="43" spans="1:78">
      <c r="A43" s="100"/>
      <c r="B43" s="229" t="s">
        <v>363</v>
      </c>
      <c r="E43" s="4"/>
      <c r="G43" s="4"/>
      <c r="I43" s="4"/>
      <c r="J43" s="5" t="s">
        <v>229</v>
      </c>
      <c r="L43" s="138" t="s">
        <v>202</v>
      </c>
      <c r="M43" s="6"/>
      <c r="N43" s="6">
        <v>0</v>
      </c>
      <c r="O43" s="6"/>
      <c r="P43" s="6">
        <v>0</v>
      </c>
      <c r="Q43" s="6"/>
      <c r="R43" s="288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 s="4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M43" s="6"/>
      <c r="BO43" s="6"/>
      <c r="BP43" s="6"/>
      <c r="BQ43" s="6">
        <f t="shared" si="5"/>
        <v>69000</v>
      </c>
      <c r="BS43" s="6">
        <f>70000-R43</f>
        <v>-80000</v>
      </c>
      <c r="BU43" s="6">
        <f t="shared" si="6"/>
        <v>1000</v>
      </c>
      <c r="BW43" s="6">
        <f t="shared" si="7"/>
        <v>70000</v>
      </c>
      <c r="BY43" s="6">
        <f t="shared" si="8"/>
        <v>80000</v>
      </c>
      <c r="BZ43" s="6"/>
    </row>
    <row r="44" spans="1:78">
      <c r="A44" s="100"/>
      <c r="B44" s="229" t="s">
        <v>190</v>
      </c>
      <c r="E44" s="4"/>
      <c r="G44" s="4"/>
      <c r="I44" s="4"/>
      <c r="J44" s="5" t="s">
        <v>229</v>
      </c>
      <c r="L44" s="138" t="s">
        <v>202</v>
      </c>
      <c r="M44" s="6"/>
      <c r="N44" s="6">
        <v>0</v>
      </c>
      <c r="O44" s="6"/>
      <c r="P44" s="6">
        <v>0</v>
      </c>
      <c r="Q44" s="6"/>
      <c r="R44" s="288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 s="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M44" s="6"/>
      <c r="BO44" s="6"/>
      <c r="BP44" s="6"/>
      <c r="BQ44" s="6">
        <f t="shared" si="5"/>
        <v>0</v>
      </c>
      <c r="BS44" s="6">
        <f>100000-104121</f>
        <v>-4121</v>
      </c>
      <c r="BU44" s="6">
        <f t="shared" si="6"/>
        <v>100000</v>
      </c>
      <c r="BW44" s="6">
        <f t="shared" si="7"/>
        <v>100000</v>
      </c>
      <c r="BY44" s="6">
        <f t="shared" si="8"/>
        <v>4121</v>
      </c>
      <c r="BZ44" s="6"/>
    </row>
    <row r="45" spans="1:78">
      <c r="A45" s="100"/>
      <c r="B45" s="229" t="s">
        <v>293</v>
      </c>
      <c r="E45" s="4"/>
      <c r="G45" s="4"/>
      <c r="I45" s="4"/>
      <c r="L45" s="138" t="s">
        <v>202</v>
      </c>
      <c r="M45" s="6"/>
      <c r="N45" s="6">
        <v>0</v>
      </c>
      <c r="O45" s="6"/>
      <c r="P45" s="6">
        <v>0</v>
      </c>
      <c r="Q45" s="6"/>
      <c r="R45" s="288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 s="4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M45" s="6">
        <v>0</v>
      </c>
      <c r="BO45" s="6">
        <v>0</v>
      </c>
      <c r="BP45" s="6"/>
      <c r="BQ45" s="6">
        <f t="shared" si="5"/>
        <v>147037</v>
      </c>
      <c r="BS45" s="6">
        <f>623000-R45</f>
        <v>458775</v>
      </c>
      <c r="BU45" s="6">
        <f t="shared" si="6"/>
        <v>475963</v>
      </c>
      <c r="BW45" s="6">
        <f t="shared" si="7"/>
        <v>623000</v>
      </c>
      <c r="BY45" s="6">
        <f t="shared" si="8"/>
        <v>-458775</v>
      </c>
      <c r="BZ45" s="6"/>
    </row>
    <row r="46" spans="1:78" s="21" customFormat="1">
      <c r="A46" s="283"/>
      <c r="B46" s="232" t="s">
        <v>295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Y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 s="4"/>
      <c r="BF46" s="9">
        <f t="shared" si="10"/>
        <v>1296946</v>
      </c>
      <c r="BG46" s="4"/>
      <c r="BH46" s="9">
        <f t="shared" si="10"/>
        <v>0</v>
      </c>
      <c r="BI46" s="4"/>
      <c r="BJ46" s="9">
        <f t="shared" si="10"/>
        <v>327796</v>
      </c>
      <c r="BK46" s="4"/>
      <c r="BL46" s="4"/>
      <c r="BM46" s="9">
        <f t="shared" si="10"/>
        <v>0</v>
      </c>
      <c r="BN46" s="4"/>
      <c r="BO46" s="9">
        <f t="shared" si="10"/>
        <v>0</v>
      </c>
      <c r="BP46" s="9"/>
      <c r="BQ46" s="9">
        <f t="shared" si="10"/>
        <v>15435037</v>
      </c>
      <c r="BR46" s="9"/>
      <c r="BS46" s="9">
        <f t="shared" si="10"/>
        <v>-2540760</v>
      </c>
      <c r="BT46" s="4"/>
      <c r="BU46" s="9">
        <f t="shared" si="10"/>
        <v>639963</v>
      </c>
      <c r="BV46" s="9">
        <f t="shared" si="10"/>
        <v>0</v>
      </c>
      <c r="BW46" s="9">
        <f t="shared" si="10"/>
        <v>16075000</v>
      </c>
      <c r="BX46" s="9">
        <f t="shared" si="10"/>
        <v>0</v>
      </c>
      <c r="BY46" s="9">
        <f t="shared" si="10"/>
        <v>2540760</v>
      </c>
      <c r="BZ46" s="9"/>
    </row>
    <row r="47" spans="1:78">
      <c r="A47" s="100"/>
      <c r="B47" s="232"/>
      <c r="E47" s="4"/>
      <c r="G47" s="4"/>
      <c r="I47" s="4"/>
      <c r="L47" s="138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 s="4"/>
      <c r="BJ47" s="6"/>
      <c r="BM47" s="6"/>
      <c r="BO47" s="6"/>
      <c r="BP47" s="6"/>
      <c r="BS47" s="6"/>
      <c r="BZ47" s="6"/>
    </row>
    <row r="48" spans="1:78">
      <c r="B48" s="21" t="s">
        <v>296</v>
      </c>
      <c r="E48" s="4"/>
      <c r="G48" s="4"/>
      <c r="I48" s="4"/>
      <c r="L48" s="138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 s="4"/>
      <c r="BJ48" s="6"/>
      <c r="BM48" s="6"/>
      <c r="BO48" s="6"/>
      <c r="BP48" s="6"/>
      <c r="BS48" s="6"/>
      <c r="BZ48" s="6"/>
    </row>
    <row r="49" spans="1:78">
      <c r="B49" s="229" t="s">
        <v>383</v>
      </c>
      <c r="E49" s="4"/>
      <c r="G49" s="4"/>
      <c r="I49" s="4"/>
      <c r="J49" s="5" t="s">
        <v>229</v>
      </c>
      <c r="L49" s="138"/>
      <c r="M49" s="6"/>
      <c r="O49" s="6"/>
      <c r="Q49" s="6"/>
      <c r="R49" s="288">
        <v>410304</v>
      </c>
      <c r="S49" s="6"/>
      <c r="T49" s="6"/>
      <c r="U49" s="6"/>
      <c r="V49" s="6"/>
      <c r="X49" s="6"/>
      <c r="Z49" s="6"/>
      <c r="AB49" s="6"/>
      <c r="AD49" s="6"/>
      <c r="AI49" s="4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M49" s="6"/>
      <c r="BO49" s="6"/>
      <c r="BP49" s="6"/>
      <c r="BQ49" s="6">
        <f>SUM(T49:BP49)</f>
        <v>469000</v>
      </c>
      <c r="BS49" s="6">
        <f>469000-R49</f>
        <v>58696</v>
      </c>
      <c r="BU49" s="6">
        <f>IF(+R49-BQ49+BS49&gt;0,R49-BQ49+BS49,0)</f>
        <v>0</v>
      </c>
      <c r="BW49" s="6">
        <f>+BQ49+BU49</f>
        <v>469000</v>
      </c>
      <c r="BY49" s="6">
        <f>+R49-BW49</f>
        <v>-58696</v>
      </c>
      <c r="BZ49" s="6"/>
    </row>
    <row r="50" spans="1:78">
      <c r="B50" s="229" t="s">
        <v>384</v>
      </c>
      <c r="E50" s="4"/>
      <c r="G50" s="4"/>
      <c r="I50" s="4"/>
      <c r="J50" s="5" t="s">
        <v>229</v>
      </c>
      <c r="L50" s="138"/>
      <c r="M50" s="6"/>
      <c r="O50" s="6"/>
      <c r="Q50" s="6"/>
      <c r="R50" s="288">
        <v>4987110</v>
      </c>
      <c r="S50" s="6"/>
      <c r="T50" s="6"/>
      <c r="U50" s="6"/>
      <c r="V50" s="6"/>
      <c r="X50" s="6"/>
      <c r="Z50" s="6"/>
      <c r="AB50" s="6"/>
      <c r="AD50" s="6"/>
      <c r="AI50" s="4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M50" s="6"/>
      <c r="BO50" s="6"/>
      <c r="BP50" s="6"/>
      <c r="BQ50" s="6">
        <f>SUM(T50:BP50)</f>
        <v>4936000</v>
      </c>
      <c r="BS50" s="6">
        <f>5655000-R50</f>
        <v>667890</v>
      </c>
      <c r="BU50" s="6">
        <f>IF(+R50-BQ50+BS50&gt;0,R50-BQ50+BS50,0)</f>
        <v>719000</v>
      </c>
      <c r="BW50" s="6">
        <f>+BQ50+BU50</f>
        <v>5655000</v>
      </c>
      <c r="BY50" s="6">
        <f>+R50-BW50</f>
        <v>-667890</v>
      </c>
      <c r="BZ50" s="6"/>
    </row>
    <row r="51" spans="1:78">
      <c r="B51" s="229" t="s">
        <v>19</v>
      </c>
      <c r="E51" s="4"/>
      <c r="G51" s="4"/>
      <c r="I51" s="4"/>
      <c r="J51" s="5" t="s">
        <v>229</v>
      </c>
      <c r="L51" s="138"/>
      <c r="M51" s="6"/>
      <c r="O51" s="6"/>
      <c r="Q51" s="6"/>
      <c r="R51" s="288">
        <v>786663</v>
      </c>
      <c r="S51" s="6"/>
      <c r="T51" s="6"/>
      <c r="U51" s="6"/>
      <c r="V51" s="6"/>
      <c r="X51" s="6"/>
      <c r="Z51" s="6"/>
      <c r="AB51" s="6"/>
      <c r="AD51" s="6"/>
      <c r="AI51" s="4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M51" s="6"/>
      <c r="BO51" s="6"/>
      <c r="BP51" s="6"/>
      <c r="BQ51" s="6">
        <f>SUM(T51:BP51)</f>
        <v>885000</v>
      </c>
      <c r="BS51" s="6">
        <f>885000-R51</f>
        <v>98337</v>
      </c>
      <c r="BU51" s="6">
        <f>IF(+R51-BQ51+BS51&gt;0,R51-BQ51+BS51,0)</f>
        <v>0</v>
      </c>
      <c r="BW51" s="6">
        <f>+BQ51+BU51</f>
        <v>885000</v>
      </c>
      <c r="BY51" s="6">
        <f>+R51-BW51</f>
        <v>-98337</v>
      </c>
      <c r="BZ51" s="6"/>
    </row>
    <row r="52" spans="1:78">
      <c r="B52" s="229" t="s">
        <v>385</v>
      </c>
      <c r="E52" s="4"/>
      <c r="G52" s="4"/>
      <c r="I52" s="4"/>
      <c r="J52" s="5" t="s">
        <v>229</v>
      </c>
      <c r="L52" s="138"/>
      <c r="M52" s="6"/>
      <c r="O52" s="6"/>
      <c r="Q52" s="6"/>
      <c r="R52" s="288">
        <v>654500</v>
      </c>
      <c r="S52" s="6"/>
      <c r="T52" s="6"/>
      <c r="U52" s="6"/>
      <c r="V52" s="6"/>
      <c r="X52" s="6"/>
      <c r="Z52" s="6"/>
      <c r="AB52" s="6"/>
      <c r="AD52" s="6"/>
      <c r="AI52" s="4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M52" s="6"/>
      <c r="BO52" s="6"/>
      <c r="BP52" s="6"/>
      <c r="BQ52" s="6">
        <f>SUM(T52:BP52)</f>
        <v>831000</v>
      </c>
      <c r="BS52" s="6">
        <f>831000-R52</f>
        <v>176500</v>
      </c>
      <c r="BU52" s="6">
        <f>IF(+R52-BQ52+BS52&gt;0,R52-BQ52+BS52,0)</f>
        <v>0</v>
      </c>
      <c r="BW52" s="6">
        <f>+BQ52+BU52</f>
        <v>831000</v>
      </c>
      <c r="BY52" s="6">
        <f>+R52-BW52</f>
        <v>-176500</v>
      </c>
      <c r="BZ52" s="6"/>
    </row>
    <row r="53" spans="1:78" s="21" customFormat="1">
      <c r="A53" s="31"/>
      <c r="B53" s="232" t="s">
        <v>297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Y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 s="4"/>
      <c r="BF53" s="9">
        <f t="shared" si="12"/>
        <v>295826</v>
      </c>
      <c r="BG53" s="4"/>
      <c r="BH53" s="9">
        <f t="shared" si="12"/>
        <v>0</v>
      </c>
      <c r="BI53" s="4"/>
      <c r="BJ53" s="9">
        <f t="shared" si="12"/>
        <v>45037</v>
      </c>
      <c r="BK53" s="4"/>
      <c r="BL53" s="4"/>
      <c r="BM53" s="9">
        <f t="shared" si="12"/>
        <v>0</v>
      </c>
      <c r="BN53" s="4"/>
      <c r="BO53" s="9">
        <f t="shared" si="12"/>
        <v>0</v>
      </c>
      <c r="BP53" s="9"/>
      <c r="BQ53" s="9">
        <f t="shared" si="12"/>
        <v>7121000</v>
      </c>
      <c r="BR53" s="9"/>
      <c r="BS53" s="9">
        <f t="shared" si="12"/>
        <v>1001423</v>
      </c>
      <c r="BT53" s="4"/>
      <c r="BU53" s="9">
        <f t="shared" si="12"/>
        <v>719000</v>
      </c>
      <c r="BV53" s="9">
        <f t="shared" si="12"/>
        <v>0</v>
      </c>
      <c r="BW53" s="9">
        <f t="shared" si="12"/>
        <v>7840000</v>
      </c>
      <c r="BX53" s="9">
        <f t="shared" si="12"/>
        <v>0</v>
      </c>
      <c r="BY53" s="9">
        <f t="shared" si="12"/>
        <v>-1001423</v>
      </c>
      <c r="BZ53" s="9"/>
    </row>
    <row r="54" spans="1:78" s="21" customFormat="1">
      <c r="A54" s="31"/>
      <c r="B54" s="232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4"/>
      <c r="BF54" s="9"/>
      <c r="BG54" s="4"/>
      <c r="BH54" s="9"/>
      <c r="BI54" s="4"/>
      <c r="BJ54" s="9"/>
      <c r="BK54" s="4"/>
      <c r="BL54" s="4"/>
      <c r="BM54" s="9"/>
      <c r="BN54" s="4"/>
      <c r="BO54" s="9"/>
      <c r="BP54" s="9"/>
      <c r="BQ54" s="9"/>
      <c r="BR54" s="9"/>
      <c r="BS54" s="9"/>
      <c r="BT54" s="4"/>
      <c r="BU54" s="9"/>
      <c r="BV54" s="9"/>
      <c r="BW54" s="9"/>
      <c r="BX54" s="9"/>
      <c r="BY54" s="9"/>
      <c r="BZ54" s="9"/>
    </row>
    <row r="55" spans="1:78" s="21" customFormat="1">
      <c r="A55" s="31"/>
      <c r="B55" s="289" t="s">
        <v>309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4"/>
      <c r="BF55" s="9"/>
      <c r="BG55" s="4"/>
      <c r="BH55" s="9"/>
      <c r="BI55" s="4"/>
      <c r="BJ55" s="9"/>
      <c r="BK55" s="4"/>
      <c r="BL55" s="4"/>
      <c r="BM55" s="9"/>
      <c r="BN55" s="4"/>
      <c r="BO55" s="9"/>
      <c r="BP55" s="9"/>
      <c r="BQ55" s="9"/>
      <c r="BR55" s="9"/>
      <c r="BS55" s="9"/>
      <c r="BT55" s="4"/>
      <c r="BU55" s="9"/>
      <c r="BV55" s="9"/>
      <c r="BW55" s="9"/>
      <c r="BX55" s="9"/>
      <c r="BY55" s="9"/>
      <c r="BZ55" s="9"/>
    </row>
    <row r="56" spans="1:78" s="21" customFormat="1">
      <c r="A56" s="31"/>
      <c r="B56" s="234" t="s">
        <v>298</v>
      </c>
      <c r="J56" s="8"/>
      <c r="L56" s="141"/>
      <c r="M56" s="9"/>
      <c r="N56" s="9"/>
      <c r="O56" s="9"/>
      <c r="P56" s="9"/>
      <c r="Q56" s="9"/>
      <c r="R56" s="288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 s="4"/>
      <c r="BF56" s="9">
        <f>501323+1019332-1289806</f>
        <v>230849</v>
      </c>
      <c r="BG56" s="4"/>
      <c r="BH56" s="9"/>
      <c r="BI56" s="4"/>
      <c r="BJ56" s="6">
        <f>538000+1432000-1520655</f>
        <v>449345</v>
      </c>
      <c r="BK56" s="4"/>
      <c r="BL56" s="4"/>
      <c r="BM56" s="6"/>
      <c r="BN56" s="4"/>
      <c r="BO56" s="6"/>
      <c r="BP56" s="6"/>
      <c r="BQ56" s="6">
        <f t="shared" ref="BQ56:BQ79" si="13">SUM(T56:BP56)</f>
        <v>1970000</v>
      </c>
      <c r="BR56" s="6"/>
      <c r="BS56" s="6">
        <f>1432000+538000-R56</f>
        <v>-362998</v>
      </c>
      <c r="BT56" s="4"/>
      <c r="BU56" s="6">
        <f t="shared" ref="BU56:BU79" si="14">IF(+R56-BQ56+BS56&gt;0,R56-BQ56+BS56,0)</f>
        <v>0</v>
      </c>
      <c r="BV56" s="6"/>
      <c r="BW56" s="6">
        <f t="shared" ref="BW56:BW71" si="15">+BQ56+BU56</f>
        <v>1970000</v>
      </c>
      <c r="BX56" s="6"/>
      <c r="BY56" s="6">
        <f t="shared" ref="BY56:BY79" si="16">+R56-BW56</f>
        <v>362998</v>
      </c>
      <c r="BZ56" s="9"/>
    </row>
    <row r="57" spans="1:78" s="21" customFormat="1">
      <c r="A57" s="31"/>
      <c r="B57" s="234" t="s">
        <v>364</v>
      </c>
      <c r="J57" s="8"/>
      <c r="L57" s="141"/>
      <c r="M57" s="9"/>
      <c r="N57" s="9"/>
      <c r="O57" s="9"/>
      <c r="P57" s="9"/>
      <c r="Q57" s="9"/>
      <c r="R57" s="288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 s="4"/>
      <c r="BF57" s="9">
        <f>84897-66938</f>
        <v>17959</v>
      </c>
      <c r="BG57" s="4"/>
      <c r="BH57" s="9"/>
      <c r="BI57" s="4"/>
      <c r="BJ57" s="6">
        <v>0</v>
      </c>
      <c r="BK57" s="4"/>
      <c r="BL57" s="4"/>
      <c r="BM57" s="6">
        <v>0</v>
      </c>
      <c r="BN57" s="4"/>
      <c r="BO57" s="6">
        <v>0</v>
      </c>
      <c r="BP57" s="6"/>
      <c r="BQ57" s="6">
        <f t="shared" si="13"/>
        <v>84897</v>
      </c>
      <c r="BR57" s="6"/>
      <c r="BS57" s="6">
        <v>85000</v>
      </c>
      <c r="BT57" s="4"/>
      <c r="BU57" s="6">
        <f t="shared" si="14"/>
        <v>103</v>
      </c>
      <c r="BV57" s="6"/>
      <c r="BW57" s="6">
        <f t="shared" si="15"/>
        <v>85000</v>
      </c>
      <c r="BX57" s="6"/>
      <c r="BY57" s="6">
        <f t="shared" si="16"/>
        <v>-85000</v>
      </c>
      <c r="BZ57" s="9"/>
    </row>
    <row r="58" spans="1:78" s="21" customFormat="1">
      <c r="A58" s="31"/>
      <c r="B58" s="234" t="s">
        <v>299</v>
      </c>
      <c r="J58" s="8"/>
      <c r="L58" s="141"/>
      <c r="M58" s="9"/>
      <c r="N58" s="9"/>
      <c r="O58" s="9"/>
      <c r="P58" s="9"/>
      <c r="Q58" s="9"/>
      <c r="R58" s="288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 s="4"/>
      <c r="BF58" s="9">
        <f>446090-425284</f>
        <v>20806</v>
      </c>
      <c r="BG58" s="4"/>
      <c r="BH58" s="9"/>
      <c r="BI58" s="4"/>
      <c r="BJ58" s="6">
        <v>0</v>
      </c>
      <c r="BK58" s="4"/>
      <c r="BL58" s="4"/>
      <c r="BM58" s="6">
        <v>0</v>
      </c>
      <c r="BN58" s="4"/>
      <c r="BO58" s="6">
        <v>0</v>
      </c>
      <c r="BP58" s="6"/>
      <c r="BQ58" s="6">
        <f t="shared" si="13"/>
        <v>446090</v>
      </c>
      <c r="BR58" s="6"/>
      <c r="BS58" s="6">
        <f>446000-R58</f>
        <v>-51417</v>
      </c>
      <c r="BT58" s="4"/>
      <c r="BU58" s="6">
        <f t="shared" si="14"/>
        <v>0</v>
      </c>
      <c r="BV58" s="6"/>
      <c r="BW58" s="6">
        <f t="shared" si="15"/>
        <v>446090</v>
      </c>
      <c r="BX58" s="6"/>
      <c r="BY58" s="6">
        <f t="shared" si="16"/>
        <v>51327</v>
      </c>
      <c r="BZ58" s="9"/>
    </row>
    <row r="59" spans="1:78" s="21" customFormat="1">
      <c r="A59" s="31"/>
      <c r="B59" s="234" t="s">
        <v>386</v>
      </c>
      <c r="J59" s="8"/>
      <c r="L59" s="141"/>
      <c r="M59" s="9"/>
      <c r="N59" s="9"/>
      <c r="O59" s="9"/>
      <c r="P59" s="9"/>
      <c r="Q59" s="9"/>
      <c r="R59" s="288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 s="4"/>
      <c r="BF59" s="9">
        <f>2348535-2311396</f>
        <v>37139</v>
      </c>
      <c r="BG59" s="4"/>
      <c r="BH59" s="9"/>
      <c r="BI59" s="4"/>
      <c r="BJ59" s="6">
        <v>0</v>
      </c>
      <c r="BK59" s="4"/>
      <c r="BL59" s="4"/>
      <c r="BM59" s="6">
        <v>0</v>
      </c>
      <c r="BN59" s="4"/>
      <c r="BO59" s="6">
        <v>0</v>
      </c>
      <c r="BP59" s="6"/>
      <c r="BQ59" s="6">
        <f t="shared" si="13"/>
        <v>2348535</v>
      </c>
      <c r="BR59" s="6"/>
      <c r="BS59" s="6">
        <f>2349000-R59</f>
        <v>1514695</v>
      </c>
      <c r="BT59" s="4"/>
      <c r="BU59" s="6">
        <f t="shared" si="14"/>
        <v>465</v>
      </c>
      <c r="BV59" s="6"/>
      <c r="BW59" s="6">
        <f t="shared" si="15"/>
        <v>2349000</v>
      </c>
      <c r="BX59" s="6"/>
      <c r="BY59" s="6">
        <f t="shared" si="16"/>
        <v>-1514695</v>
      </c>
      <c r="BZ59" s="9"/>
    </row>
    <row r="60" spans="1:78" s="21" customFormat="1">
      <c r="A60" s="31"/>
      <c r="B60" s="234" t="s">
        <v>387</v>
      </c>
      <c r="J60" s="8"/>
      <c r="L60" s="141"/>
      <c r="M60" s="9"/>
      <c r="N60" s="9"/>
      <c r="O60" s="9"/>
      <c r="P60" s="9"/>
      <c r="Q60" s="9"/>
      <c r="R60" s="288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 s="4"/>
      <c r="BF60" s="9">
        <f>1329939-1323463</f>
        <v>6476</v>
      </c>
      <c r="BG60" s="4"/>
      <c r="BH60" s="9"/>
      <c r="BI60" s="4"/>
      <c r="BJ60" s="6"/>
      <c r="BK60" s="4"/>
      <c r="BL60" s="4"/>
      <c r="BM60" s="6"/>
      <c r="BN60" s="4"/>
      <c r="BO60" s="6"/>
      <c r="BP60" s="6"/>
      <c r="BQ60" s="6">
        <f t="shared" si="13"/>
        <v>1329939</v>
      </c>
      <c r="BR60" s="6"/>
      <c r="BS60" s="6">
        <f>1328000-R60</f>
        <v>609461</v>
      </c>
      <c r="BT60" s="4"/>
      <c r="BU60" s="6">
        <f t="shared" si="14"/>
        <v>0</v>
      </c>
      <c r="BV60" s="6"/>
      <c r="BW60" s="6">
        <f t="shared" si="15"/>
        <v>1329939</v>
      </c>
      <c r="BX60" s="6"/>
      <c r="BY60" s="6">
        <f t="shared" si="16"/>
        <v>-611400</v>
      </c>
      <c r="BZ60" s="9"/>
    </row>
    <row r="61" spans="1:78" s="21" customFormat="1">
      <c r="A61" s="31"/>
      <c r="B61" s="234" t="s">
        <v>300</v>
      </c>
      <c r="J61" s="8"/>
      <c r="L61" s="141"/>
      <c r="M61" s="9"/>
      <c r="N61" s="9"/>
      <c r="O61" s="9"/>
      <c r="P61" s="9"/>
      <c r="Q61" s="9"/>
      <c r="R61" s="288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 s="4"/>
      <c r="BF61" s="9">
        <v>0</v>
      </c>
      <c r="BG61" s="4"/>
      <c r="BH61" s="9"/>
      <c r="BI61" s="4"/>
      <c r="BJ61" s="6">
        <f>266000-262512</f>
        <v>3488</v>
      </c>
      <c r="BK61" s="4"/>
      <c r="BL61" s="4"/>
      <c r="BM61" s="6"/>
      <c r="BN61" s="4"/>
      <c r="BO61" s="6"/>
      <c r="BP61" s="6"/>
      <c r="BQ61" s="6">
        <f t="shared" si="13"/>
        <v>266000</v>
      </c>
      <c r="BR61" s="6"/>
      <c r="BS61" s="6">
        <f>266000-R61</f>
        <v>-187000</v>
      </c>
      <c r="BT61" s="4"/>
      <c r="BU61" s="6">
        <f t="shared" si="14"/>
        <v>0</v>
      </c>
      <c r="BV61" s="6"/>
      <c r="BW61" s="6">
        <f t="shared" si="15"/>
        <v>266000</v>
      </c>
      <c r="BX61" s="6"/>
      <c r="BY61" s="6">
        <f t="shared" si="16"/>
        <v>187000</v>
      </c>
      <c r="BZ61" s="9"/>
    </row>
    <row r="62" spans="1:78" s="21" customFormat="1">
      <c r="A62" s="31"/>
      <c r="B62" s="234" t="s">
        <v>393</v>
      </c>
      <c r="J62" s="8"/>
      <c r="L62" s="141"/>
      <c r="M62" s="9"/>
      <c r="N62" s="9"/>
      <c r="O62" s="9"/>
      <c r="P62" s="9"/>
      <c r="Q62" s="9"/>
      <c r="R62" s="288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 s="4"/>
      <c r="BF62" s="9">
        <f>3538842-3375904</f>
        <v>162938</v>
      </c>
      <c r="BG62" s="4"/>
      <c r="BH62" s="9"/>
      <c r="BI62" s="4"/>
      <c r="BJ62" s="6">
        <f>3703000-3538842</f>
        <v>164158</v>
      </c>
      <c r="BK62" s="4"/>
      <c r="BL62" s="4"/>
      <c r="BM62" s="6"/>
      <c r="BN62" s="4"/>
      <c r="BO62" s="6"/>
      <c r="BP62" s="6"/>
      <c r="BQ62" s="6">
        <f t="shared" si="13"/>
        <v>3703000</v>
      </c>
      <c r="BR62" s="6"/>
      <c r="BS62" s="6">
        <f>3874000-R62</f>
        <v>1608979</v>
      </c>
      <c r="BT62" s="4"/>
      <c r="BU62" s="6">
        <f t="shared" si="14"/>
        <v>171000</v>
      </c>
      <c r="BV62" s="6"/>
      <c r="BW62" s="6">
        <f t="shared" si="15"/>
        <v>3874000</v>
      </c>
      <c r="BX62" s="6"/>
      <c r="BY62" s="6">
        <f t="shared" si="16"/>
        <v>-1608979</v>
      </c>
      <c r="BZ62" s="9"/>
    </row>
    <row r="63" spans="1:78" s="21" customFormat="1">
      <c r="A63" s="31"/>
      <c r="B63" s="234" t="s">
        <v>301</v>
      </c>
      <c r="J63" s="8"/>
      <c r="L63" s="141"/>
      <c r="M63" s="9"/>
      <c r="N63" s="9"/>
      <c r="O63" s="9"/>
      <c r="P63" s="9"/>
      <c r="Q63" s="9"/>
      <c r="R63" s="288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 s="4"/>
      <c r="BF63" s="9">
        <f>1443041-1438156</f>
        <v>4885</v>
      </c>
      <c r="BG63" s="4"/>
      <c r="BH63" s="9"/>
      <c r="BI63" s="4"/>
      <c r="BJ63" s="6">
        <f>1444000-1443041</f>
        <v>959</v>
      </c>
      <c r="BK63" s="4"/>
      <c r="BL63" s="4"/>
      <c r="BM63" s="6"/>
      <c r="BN63" s="4"/>
      <c r="BO63" s="6"/>
      <c r="BP63" s="6"/>
      <c r="BQ63" s="6">
        <f t="shared" si="13"/>
        <v>1444000</v>
      </c>
      <c r="BR63" s="6"/>
      <c r="BS63" s="6">
        <f>1446000-R63</f>
        <v>295538</v>
      </c>
      <c r="BT63" s="4"/>
      <c r="BU63" s="6">
        <f t="shared" si="14"/>
        <v>2000</v>
      </c>
      <c r="BV63" s="6"/>
      <c r="BW63" s="6">
        <f t="shared" si="15"/>
        <v>1446000</v>
      </c>
      <c r="BX63" s="6"/>
      <c r="BY63" s="6">
        <f t="shared" si="16"/>
        <v>-295538</v>
      </c>
      <c r="BZ63" s="9"/>
    </row>
    <row r="64" spans="1:78" s="21" customFormat="1">
      <c r="A64" s="31"/>
      <c r="B64" s="234" t="s">
        <v>388</v>
      </c>
      <c r="J64" s="8"/>
      <c r="L64" s="141"/>
      <c r="M64" s="9"/>
      <c r="N64" s="9"/>
      <c r="O64" s="9"/>
      <c r="P64" s="9"/>
      <c r="Q64" s="9"/>
      <c r="R64" s="288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 s="4"/>
      <c r="BF64" s="9">
        <f>1031462-1008815</f>
        <v>22647</v>
      </c>
      <c r="BG64" s="4"/>
      <c r="BH64" s="9"/>
      <c r="BI64" s="4"/>
      <c r="BJ64" s="6">
        <v>0</v>
      </c>
      <c r="BK64" s="4"/>
      <c r="BL64" s="4"/>
      <c r="BM64" s="6">
        <v>0</v>
      </c>
      <c r="BN64" s="4"/>
      <c r="BO64" s="6">
        <v>0</v>
      </c>
      <c r="BP64" s="6"/>
      <c r="BQ64" s="6">
        <f t="shared" si="13"/>
        <v>1031462</v>
      </c>
      <c r="BR64" s="6"/>
      <c r="BS64" s="6">
        <f>1031000-R64</f>
        <v>841051</v>
      </c>
      <c r="BT64" s="4"/>
      <c r="BU64" s="6">
        <f t="shared" si="14"/>
        <v>0</v>
      </c>
      <c r="BV64" s="6"/>
      <c r="BW64" s="6">
        <f t="shared" si="15"/>
        <v>1031462</v>
      </c>
      <c r="BX64" s="6"/>
      <c r="BY64" s="6">
        <f t="shared" si="16"/>
        <v>-841513</v>
      </c>
      <c r="BZ64" s="9"/>
    </row>
    <row r="65" spans="1:78" s="21" customFormat="1">
      <c r="A65" s="31"/>
      <c r="B65" s="234" t="s">
        <v>392</v>
      </c>
      <c r="J65" s="8"/>
      <c r="L65" s="141"/>
      <c r="M65" s="9"/>
      <c r="N65" s="9"/>
      <c r="O65" s="9"/>
      <c r="P65" s="9"/>
      <c r="Q65" s="9"/>
      <c r="R65" s="288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 s="4"/>
      <c r="BF65" s="9">
        <f>37948-34894</f>
        <v>3054</v>
      </c>
      <c r="BG65" s="4"/>
      <c r="BH65" s="9"/>
      <c r="BI65" s="4"/>
      <c r="BJ65" s="6">
        <f>40000-37948</f>
        <v>2052</v>
      </c>
      <c r="BK65" s="4"/>
      <c r="BL65" s="4"/>
      <c r="BM65" s="6"/>
      <c r="BN65" s="4"/>
      <c r="BO65" s="6"/>
      <c r="BP65" s="6"/>
      <c r="BQ65" s="6">
        <f t="shared" si="13"/>
        <v>40000</v>
      </c>
      <c r="BR65" s="6"/>
      <c r="BS65" s="6">
        <f>40000-R65</f>
        <v>-37621</v>
      </c>
      <c r="BT65" s="4"/>
      <c r="BU65" s="6">
        <f t="shared" si="14"/>
        <v>0</v>
      </c>
      <c r="BV65" s="6"/>
      <c r="BW65" s="6">
        <f t="shared" si="15"/>
        <v>40000</v>
      </c>
      <c r="BX65" s="6"/>
      <c r="BY65" s="6">
        <f t="shared" si="16"/>
        <v>37621</v>
      </c>
      <c r="BZ65" s="9"/>
    </row>
    <row r="66" spans="1:78" s="21" customFormat="1">
      <c r="A66" s="31"/>
      <c r="B66" s="234" t="s">
        <v>302</v>
      </c>
      <c r="J66" s="8"/>
      <c r="L66" s="141"/>
      <c r="M66" s="9"/>
      <c r="N66" s="9"/>
      <c r="O66" s="9"/>
      <c r="P66" s="9"/>
      <c r="Q66" s="9"/>
      <c r="R66" s="288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 s="4"/>
      <c r="BF66" s="9">
        <f>548568-534755</f>
        <v>13813</v>
      </c>
      <c r="BG66" s="4"/>
      <c r="BH66" s="9"/>
      <c r="BI66" s="4"/>
      <c r="BJ66" s="6">
        <v>0</v>
      </c>
      <c r="BK66" s="4"/>
      <c r="BL66" s="4"/>
      <c r="BM66" s="6">
        <v>0</v>
      </c>
      <c r="BN66" s="4"/>
      <c r="BO66" s="6">
        <v>0</v>
      </c>
      <c r="BP66" s="6"/>
      <c r="BQ66" s="6">
        <f t="shared" si="13"/>
        <v>548568</v>
      </c>
      <c r="BR66" s="6"/>
      <c r="BS66" s="6">
        <f>549000-R66</f>
        <v>404563</v>
      </c>
      <c r="BT66" s="4"/>
      <c r="BU66" s="6">
        <f t="shared" si="14"/>
        <v>432</v>
      </c>
      <c r="BV66" s="6"/>
      <c r="BW66" s="6">
        <f t="shared" si="15"/>
        <v>549000</v>
      </c>
      <c r="BX66" s="6"/>
      <c r="BY66" s="6">
        <f t="shared" si="16"/>
        <v>-404563</v>
      </c>
      <c r="BZ66" s="9"/>
    </row>
    <row r="67" spans="1:78" s="21" customFormat="1">
      <c r="A67" s="31"/>
      <c r="B67" s="234" t="s">
        <v>303</v>
      </c>
      <c r="J67" s="8"/>
      <c r="L67" s="141"/>
      <c r="M67" s="9"/>
      <c r="N67" s="9"/>
      <c r="O67" s="9"/>
      <c r="P67" s="9"/>
      <c r="Q67" s="9"/>
      <c r="R67" s="288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 s="4"/>
      <c r="BF67" s="9">
        <v>0</v>
      </c>
      <c r="BG67" s="4"/>
      <c r="BH67" s="9"/>
      <c r="BI67" s="4"/>
      <c r="BJ67" s="6">
        <v>0</v>
      </c>
      <c r="BK67" s="4"/>
      <c r="BL67" s="4"/>
      <c r="BM67" s="6">
        <v>0</v>
      </c>
      <c r="BN67" s="4"/>
      <c r="BO67" s="6">
        <v>0</v>
      </c>
      <c r="BP67" s="6"/>
      <c r="BQ67" s="6">
        <f t="shared" si="13"/>
        <v>350311</v>
      </c>
      <c r="BR67" s="6"/>
      <c r="BS67" s="6">
        <f>350000-R67</f>
        <v>22686</v>
      </c>
      <c r="BT67" s="4"/>
      <c r="BU67" s="6">
        <f t="shared" si="14"/>
        <v>0</v>
      </c>
      <c r="BV67" s="6"/>
      <c r="BW67" s="6">
        <f t="shared" si="15"/>
        <v>350311</v>
      </c>
      <c r="BX67" s="6"/>
      <c r="BY67" s="6">
        <f t="shared" si="16"/>
        <v>-22997</v>
      </c>
      <c r="BZ67" s="9"/>
    </row>
    <row r="68" spans="1:78" s="21" customFormat="1">
      <c r="A68" s="31"/>
      <c r="B68" s="234" t="s">
        <v>304</v>
      </c>
      <c r="J68" s="8"/>
      <c r="L68" s="141"/>
      <c r="M68" s="9"/>
      <c r="N68" s="9"/>
      <c r="O68" s="9"/>
      <c r="P68" s="9"/>
      <c r="Q68" s="9"/>
      <c r="R68" s="288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 s="4"/>
      <c r="BF68" s="9">
        <f>17674-2746</f>
        <v>14928</v>
      </c>
      <c r="BG68" s="4"/>
      <c r="BH68" s="9"/>
      <c r="BI68" s="4"/>
      <c r="BJ68" s="6">
        <v>0</v>
      </c>
      <c r="BK68" s="4"/>
      <c r="BL68" s="4"/>
      <c r="BM68" s="6">
        <v>0</v>
      </c>
      <c r="BN68" s="4"/>
      <c r="BO68" s="6">
        <v>0</v>
      </c>
      <c r="BP68" s="6"/>
      <c r="BQ68" s="6">
        <f t="shared" si="13"/>
        <v>17674</v>
      </c>
      <c r="BR68" s="6"/>
      <c r="BS68" s="6">
        <f>18000-R68</f>
        <v>-312460</v>
      </c>
      <c r="BT68" s="4"/>
      <c r="BU68" s="6">
        <f t="shared" si="14"/>
        <v>326</v>
      </c>
      <c r="BV68" s="6"/>
      <c r="BW68" s="6">
        <f t="shared" si="15"/>
        <v>18000</v>
      </c>
      <c r="BX68" s="6"/>
      <c r="BY68" s="6">
        <f t="shared" si="16"/>
        <v>312460</v>
      </c>
      <c r="BZ68" s="9"/>
    </row>
    <row r="69" spans="1:78" s="21" customFormat="1">
      <c r="A69" s="31"/>
      <c r="B69" s="234" t="s">
        <v>389</v>
      </c>
      <c r="J69" s="8"/>
      <c r="L69" s="141"/>
      <c r="M69" s="9"/>
      <c r="N69" s="9"/>
      <c r="O69" s="9"/>
      <c r="P69" s="9"/>
      <c r="Q69" s="9"/>
      <c r="R69" s="288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 s="4"/>
      <c r="BF69" s="9">
        <f>495063-479383</f>
        <v>15680</v>
      </c>
      <c r="BG69" s="4"/>
      <c r="BH69" s="9"/>
      <c r="BI69" s="4"/>
      <c r="BJ69" s="6">
        <f>562000-495063</f>
        <v>66937</v>
      </c>
      <c r="BK69" s="4"/>
      <c r="BL69" s="4"/>
      <c r="BM69" s="6"/>
      <c r="BN69" s="4"/>
      <c r="BO69" s="6"/>
      <c r="BP69" s="6"/>
      <c r="BQ69" s="6">
        <f t="shared" si="13"/>
        <v>562000</v>
      </c>
      <c r="BR69" s="6"/>
      <c r="BS69" s="6">
        <f>562000-R69</f>
        <v>-246591</v>
      </c>
      <c r="BT69" s="4"/>
      <c r="BU69" s="6">
        <f t="shared" si="14"/>
        <v>0</v>
      </c>
      <c r="BV69" s="6"/>
      <c r="BW69" s="6">
        <f t="shared" si="15"/>
        <v>562000</v>
      </c>
      <c r="BX69" s="6"/>
      <c r="BY69" s="6">
        <f t="shared" si="16"/>
        <v>246591</v>
      </c>
      <c r="BZ69" s="9"/>
    </row>
    <row r="70" spans="1:78" s="21" customFormat="1">
      <c r="A70" s="31"/>
      <c r="B70" s="234" t="s">
        <v>390</v>
      </c>
      <c r="J70" s="8"/>
      <c r="L70" s="141"/>
      <c r="M70" s="9"/>
      <c r="N70" s="9"/>
      <c r="O70" s="9"/>
      <c r="P70" s="9"/>
      <c r="Q70" s="9"/>
      <c r="R70" s="288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 s="4"/>
      <c r="BF70" s="9">
        <f>1282165-1258968</f>
        <v>23197</v>
      </c>
      <c r="BG70" s="4"/>
      <c r="BH70" s="9"/>
      <c r="BI70" s="4"/>
      <c r="BJ70" s="6">
        <v>0</v>
      </c>
      <c r="BK70" s="4"/>
      <c r="BL70" s="4"/>
      <c r="BM70" s="6">
        <v>0</v>
      </c>
      <c r="BN70" s="4"/>
      <c r="BO70" s="6">
        <v>0</v>
      </c>
      <c r="BP70" s="6"/>
      <c r="BQ70" s="6">
        <f t="shared" si="13"/>
        <v>1282165</v>
      </c>
      <c r="BR70" s="6"/>
      <c r="BS70" s="6">
        <f>1282000-R70</f>
        <v>423657</v>
      </c>
      <c r="BT70" s="4"/>
      <c r="BU70" s="6">
        <f t="shared" si="14"/>
        <v>0</v>
      </c>
      <c r="BV70" s="6"/>
      <c r="BW70" s="6">
        <f t="shared" si="15"/>
        <v>1282165</v>
      </c>
      <c r="BX70" s="6"/>
      <c r="BY70" s="6">
        <f t="shared" si="16"/>
        <v>-423822</v>
      </c>
      <c r="BZ70" s="9"/>
    </row>
    <row r="71" spans="1:78" s="21" customFormat="1">
      <c r="A71" s="31"/>
      <c r="B71" s="234" t="s">
        <v>391</v>
      </c>
      <c r="J71" s="8"/>
      <c r="L71" s="141"/>
      <c r="M71" s="9"/>
      <c r="N71" s="9"/>
      <c r="O71" s="9"/>
      <c r="P71" s="9"/>
      <c r="Q71" s="9"/>
      <c r="R71" s="288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 s="4"/>
      <c r="BF71" s="9">
        <f>6038190-5717361</f>
        <v>320829</v>
      </c>
      <c r="BG71" s="4"/>
      <c r="BH71" s="9"/>
      <c r="BI71" s="4"/>
      <c r="BJ71" s="6">
        <f>6079000-6038190</f>
        <v>40810</v>
      </c>
      <c r="BK71" s="4"/>
      <c r="BL71" s="4"/>
      <c r="BM71" s="6"/>
      <c r="BN71" s="4"/>
      <c r="BO71" s="6"/>
      <c r="BP71" s="6"/>
      <c r="BQ71" s="6">
        <f t="shared" si="13"/>
        <v>6079000</v>
      </c>
      <c r="BR71" s="6"/>
      <c r="BS71" s="6">
        <f>6083000-R71</f>
        <v>4337485</v>
      </c>
      <c r="BT71" s="4"/>
      <c r="BU71" s="6">
        <f t="shared" si="14"/>
        <v>4000</v>
      </c>
      <c r="BV71" s="6"/>
      <c r="BW71" s="6">
        <f t="shared" si="15"/>
        <v>6083000</v>
      </c>
      <c r="BX71" s="6"/>
      <c r="BY71" s="6">
        <f t="shared" si="16"/>
        <v>-4337485</v>
      </c>
      <c r="BZ71" s="9"/>
    </row>
    <row r="72" spans="1:78" s="21" customFormat="1">
      <c r="A72" s="31"/>
      <c r="B72" s="234" t="s">
        <v>306</v>
      </c>
      <c r="J72" s="8"/>
      <c r="L72" s="141"/>
      <c r="M72" s="9"/>
      <c r="N72" s="9"/>
      <c r="O72" s="9"/>
      <c r="P72" s="9"/>
      <c r="Q72" s="9"/>
      <c r="R72" s="288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 s="4"/>
      <c r="BF72" s="9">
        <f>222321-221751</f>
        <v>570</v>
      </c>
      <c r="BG72" s="4"/>
      <c r="BH72" s="9"/>
      <c r="BI72" s="4"/>
      <c r="BJ72" s="6">
        <f>223000-222321</f>
        <v>679</v>
      </c>
      <c r="BK72" s="4"/>
      <c r="BL72" s="4"/>
      <c r="BM72" s="6"/>
      <c r="BN72" s="4"/>
      <c r="BO72" s="6"/>
      <c r="BP72" s="6"/>
      <c r="BQ72" s="6">
        <f t="shared" si="13"/>
        <v>223000</v>
      </c>
      <c r="BR72" s="6"/>
      <c r="BS72" s="6">
        <f>223000-R72</f>
        <v>-348564</v>
      </c>
      <c r="BT72" s="4"/>
      <c r="BU72" s="6">
        <f t="shared" si="14"/>
        <v>0</v>
      </c>
      <c r="BV72" s="6"/>
      <c r="BW72" s="6">
        <f>+BQ72+BU72-3</f>
        <v>222997</v>
      </c>
      <c r="BX72" s="6"/>
      <c r="BY72" s="6">
        <f t="shared" si="16"/>
        <v>348567</v>
      </c>
      <c r="BZ72" s="9"/>
    </row>
    <row r="73" spans="1:78" s="21" customFormat="1">
      <c r="A73" s="31"/>
      <c r="B73" s="234" t="s">
        <v>307</v>
      </c>
      <c r="J73" s="8"/>
      <c r="L73" s="141"/>
      <c r="M73" s="9"/>
      <c r="N73" s="9"/>
      <c r="O73" s="9"/>
      <c r="P73" s="9"/>
      <c r="Q73" s="9"/>
      <c r="R73" s="288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 s="4"/>
      <c r="BF73" s="9">
        <f>304652+375201-423025</f>
        <v>256828</v>
      </c>
      <c r="BG73" s="4"/>
      <c r="BH73" s="9"/>
      <c r="BI73" s="4"/>
      <c r="BJ73" s="6">
        <f>951000-679853</f>
        <v>271147</v>
      </c>
      <c r="BK73" s="4"/>
      <c r="BL73" s="4"/>
      <c r="BM73" s="6"/>
      <c r="BN73" s="4"/>
      <c r="BO73" s="6"/>
      <c r="BP73" s="6"/>
      <c r="BQ73" s="6">
        <f t="shared" si="13"/>
        <v>951000</v>
      </c>
      <c r="BR73" s="6"/>
      <c r="BS73" s="6">
        <f>351000+600000-R73</f>
        <v>19359</v>
      </c>
      <c r="BT73" s="4"/>
      <c r="BU73" s="6">
        <f t="shared" si="14"/>
        <v>0</v>
      </c>
      <c r="BV73" s="6"/>
      <c r="BW73" s="6">
        <f t="shared" ref="BW73:BW79" si="17">+BQ73+BU73</f>
        <v>951000</v>
      </c>
      <c r="BX73" s="6"/>
      <c r="BY73" s="6">
        <f t="shared" si="16"/>
        <v>-19359</v>
      </c>
      <c r="BZ73" s="9"/>
    </row>
    <row r="74" spans="1:78" s="21" customFormat="1">
      <c r="A74" s="31"/>
      <c r="B74" s="234" t="s">
        <v>395</v>
      </c>
      <c r="J74" s="8"/>
      <c r="L74" s="141"/>
      <c r="M74" s="9"/>
      <c r="N74" s="9"/>
      <c r="O74" s="9"/>
      <c r="P74" s="9"/>
      <c r="Q74" s="9"/>
      <c r="R74" s="288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 s="4"/>
      <c r="BF74" s="9">
        <f>18841458-18615518</f>
        <v>225940</v>
      </c>
      <c r="BG74" s="4"/>
      <c r="BH74" s="9"/>
      <c r="BI74" s="4"/>
      <c r="BJ74" s="6">
        <f>18854000-18841458</f>
        <v>12542</v>
      </c>
      <c r="BK74" s="4"/>
      <c r="BL74" s="4"/>
      <c r="BM74" s="6"/>
      <c r="BN74" s="4"/>
      <c r="BO74" s="6"/>
      <c r="BP74" s="6"/>
      <c r="BQ74" s="6">
        <f t="shared" si="13"/>
        <v>18854000</v>
      </c>
      <c r="BR74" s="6"/>
      <c r="BS74" s="6">
        <f>18854000-R74</f>
        <v>12556135</v>
      </c>
      <c r="BT74" s="4"/>
      <c r="BU74" s="6">
        <f t="shared" si="14"/>
        <v>0</v>
      </c>
      <c r="BV74" s="6"/>
      <c r="BW74" s="6">
        <f t="shared" si="17"/>
        <v>18854000</v>
      </c>
      <c r="BX74" s="6"/>
      <c r="BY74" s="6">
        <f t="shared" si="16"/>
        <v>-12556135</v>
      </c>
      <c r="BZ74" s="9"/>
    </row>
    <row r="75" spans="1:78" s="21" customFormat="1">
      <c r="A75" s="31"/>
      <c r="B75" s="234" t="s">
        <v>394</v>
      </c>
      <c r="J75" s="8"/>
      <c r="L75" s="141"/>
      <c r="M75" s="9"/>
      <c r="N75" s="9"/>
      <c r="O75" s="9"/>
      <c r="P75" s="9"/>
      <c r="Q75" s="9"/>
      <c r="R75" s="288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 s="4"/>
      <c r="BF75" s="9">
        <f>4411227-4019526</f>
        <v>391701</v>
      </c>
      <c r="BG75" s="4"/>
      <c r="BH75" s="9"/>
      <c r="BI75" s="4"/>
      <c r="BJ75" s="6">
        <f>4455000-4411227</f>
        <v>43773</v>
      </c>
      <c r="BK75" s="4"/>
      <c r="BL75" s="4"/>
      <c r="BM75" s="6"/>
      <c r="BN75" s="4"/>
      <c r="BO75" s="6"/>
      <c r="BP75" s="6"/>
      <c r="BQ75" s="6">
        <f t="shared" si="13"/>
        <v>4455000</v>
      </c>
      <c r="BR75" s="6"/>
      <c r="BS75" s="6">
        <f>4457000-R75</f>
        <v>3588660</v>
      </c>
      <c r="BT75" s="4"/>
      <c r="BU75" s="6">
        <f t="shared" si="14"/>
        <v>2000</v>
      </c>
      <c r="BV75" s="6"/>
      <c r="BW75" s="6">
        <f t="shared" si="17"/>
        <v>4457000</v>
      </c>
      <c r="BX75" s="6"/>
      <c r="BY75" s="6">
        <f t="shared" si="16"/>
        <v>-3588660</v>
      </c>
      <c r="BZ75" s="9"/>
    </row>
    <row r="76" spans="1:78" s="21" customFormat="1">
      <c r="A76" s="31"/>
      <c r="B76" s="234" t="s">
        <v>308</v>
      </c>
      <c r="J76" s="8"/>
      <c r="L76" s="141"/>
      <c r="M76" s="9"/>
      <c r="N76" s="9"/>
      <c r="O76" s="9"/>
      <c r="P76" s="9"/>
      <c r="Q76" s="9"/>
      <c r="R76" s="288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 s="4"/>
      <c r="BF76" s="9"/>
      <c r="BG76" s="4"/>
      <c r="BH76" s="9"/>
      <c r="BI76" s="4"/>
      <c r="BJ76" s="6">
        <v>0</v>
      </c>
      <c r="BK76" s="4"/>
      <c r="BL76" s="4"/>
      <c r="BM76" s="6">
        <v>0</v>
      </c>
      <c r="BN76" s="4"/>
      <c r="BO76" s="6">
        <v>0</v>
      </c>
      <c r="BP76" s="6"/>
      <c r="BQ76" s="6">
        <f t="shared" si="13"/>
        <v>0</v>
      </c>
      <c r="BR76" s="6"/>
      <c r="BS76" s="6">
        <v>1225177</v>
      </c>
      <c r="BT76" s="4"/>
      <c r="BU76" s="6">
        <f t="shared" si="14"/>
        <v>0</v>
      </c>
      <c r="BV76" s="6"/>
      <c r="BW76" s="6">
        <f t="shared" si="17"/>
        <v>0</v>
      </c>
      <c r="BX76" s="6"/>
      <c r="BY76" s="6">
        <f t="shared" si="16"/>
        <v>-1225177</v>
      </c>
      <c r="BZ76" s="9"/>
    </row>
    <row r="77" spans="1:78" s="21" customFormat="1">
      <c r="A77" s="31"/>
      <c r="B77" s="234" t="s">
        <v>368</v>
      </c>
      <c r="J77" s="8"/>
      <c r="L77" s="141"/>
      <c r="M77" s="9"/>
      <c r="N77" s="9"/>
      <c r="O77" s="9"/>
      <c r="P77" s="9"/>
      <c r="Q77" s="9"/>
      <c r="R77" s="28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 s="4"/>
      <c r="BF77" s="9">
        <f>286812-259919</f>
        <v>26893</v>
      </c>
      <c r="BG77" s="4"/>
      <c r="BH77" s="9"/>
      <c r="BI77" s="4"/>
      <c r="BJ77" s="6">
        <f>292000-286812</f>
        <v>5188</v>
      </c>
      <c r="BK77" s="4"/>
      <c r="BL77" s="4"/>
      <c r="BM77" s="6"/>
      <c r="BN77" s="4"/>
      <c r="BO77" s="6"/>
      <c r="BP77" s="6"/>
      <c r="BQ77" s="6">
        <f t="shared" si="13"/>
        <v>292000</v>
      </c>
      <c r="BR77" s="6"/>
      <c r="BS77" s="6">
        <f>292000-R77</f>
        <v>292000</v>
      </c>
      <c r="BT77" s="4"/>
      <c r="BU77" s="6">
        <f t="shared" si="14"/>
        <v>0</v>
      </c>
      <c r="BV77" s="6"/>
      <c r="BW77" s="6">
        <f t="shared" si="17"/>
        <v>292000</v>
      </c>
      <c r="BX77" s="6"/>
      <c r="BY77" s="6">
        <f t="shared" si="16"/>
        <v>-292000</v>
      </c>
      <c r="BZ77" s="9"/>
    </row>
    <row r="78" spans="1:78" s="21" customFormat="1">
      <c r="A78" s="31"/>
      <c r="B78" s="234" t="s">
        <v>369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 s="4"/>
      <c r="BF78" s="9">
        <f>254882-236705</f>
        <v>18177</v>
      </c>
      <c r="BG78" s="4"/>
      <c r="BH78" s="9"/>
      <c r="BI78" s="4"/>
      <c r="BJ78" s="6">
        <f>251000-254882</f>
        <v>-3882</v>
      </c>
      <c r="BK78" s="4"/>
      <c r="BL78" s="4"/>
      <c r="BM78" s="6"/>
      <c r="BN78" s="4"/>
      <c r="BO78" s="6"/>
      <c r="BP78" s="6"/>
      <c r="BQ78" s="6">
        <f t="shared" si="13"/>
        <v>251000</v>
      </c>
      <c r="BR78" s="6"/>
      <c r="BS78" s="9">
        <v>251000</v>
      </c>
      <c r="BT78" s="4"/>
      <c r="BU78" s="6">
        <f t="shared" si="14"/>
        <v>0</v>
      </c>
      <c r="BV78" s="6"/>
      <c r="BW78" s="6">
        <f t="shared" si="17"/>
        <v>251000</v>
      </c>
      <c r="BX78" s="6"/>
      <c r="BY78" s="6">
        <f t="shared" si="16"/>
        <v>-251000</v>
      </c>
      <c r="BZ78" s="9"/>
    </row>
    <row r="79" spans="1:78" s="21" customFormat="1">
      <c r="A79" s="31"/>
      <c r="B79" s="229" t="s">
        <v>370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 s="4"/>
      <c r="BF79" s="9">
        <f>234280-421031</f>
        <v>-186751</v>
      </c>
      <c r="BG79" s="4"/>
      <c r="BH79" s="9"/>
      <c r="BI79" s="4"/>
      <c r="BJ79" s="6">
        <f>240000-234280</f>
        <v>5720</v>
      </c>
      <c r="BK79" s="4"/>
      <c r="BL79" s="4"/>
      <c r="BM79" s="6"/>
      <c r="BN79" s="4"/>
      <c r="BO79" s="6"/>
      <c r="BP79" s="6"/>
      <c r="BQ79" s="6">
        <f t="shared" si="13"/>
        <v>240000</v>
      </c>
      <c r="BR79" s="6"/>
      <c r="BS79" s="6">
        <v>-51000</v>
      </c>
      <c r="BT79" s="4"/>
      <c r="BU79" s="6">
        <f t="shared" si="14"/>
        <v>0</v>
      </c>
      <c r="BV79" s="9"/>
      <c r="BW79" s="6">
        <f t="shared" si="17"/>
        <v>240000</v>
      </c>
      <c r="BX79" s="9"/>
      <c r="BY79" s="6">
        <f t="shared" si="16"/>
        <v>-240000</v>
      </c>
      <c r="BZ79" s="9"/>
    </row>
    <row r="80" spans="1:78" s="21" customFormat="1">
      <c r="A80" s="31"/>
      <c r="B80" s="232" t="s">
        <v>310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Z80" si="18">SUM(S56:S79)</f>
        <v>0</v>
      </c>
      <c r="T80" s="9">
        <f t="shared" si="18"/>
        <v>0</v>
      </c>
      <c r="U80" s="9">
        <f t="shared" si="18"/>
        <v>0</v>
      </c>
      <c r="V80" s="9">
        <f t="shared" si="18"/>
        <v>0</v>
      </c>
      <c r="W80" s="9">
        <f t="shared" si="18"/>
        <v>0</v>
      </c>
      <c r="X80" s="9">
        <f t="shared" si="18"/>
        <v>0</v>
      </c>
      <c r="Y80" s="9">
        <f t="shared" si="18"/>
        <v>0</v>
      </c>
      <c r="Z80" s="9">
        <f t="shared" si="18"/>
        <v>0</v>
      </c>
      <c r="AA80" s="9">
        <f t="shared" si="18"/>
        <v>0</v>
      </c>
      <c r="AB80" s="9">
        <f t="shared" si="18"/>
        <v>0</v>
      </c>
      <c r="AC80" s="9">
        <f t="shared" si="18"/>
        <v>0</v>
      </c>
      <c r="AD80" s="9">
        <f t="shared" si="18"/>
        <v>0</v>
      </c>
      <c r="AE80" s="9"/>
      <c r="AF80" s="9">
        <f t="shared" si="18"/>
        <v>0</v>
      </c>
      <c r="AG80" s="9"/>
      <c r="AH80" s="9">
        <f t="shared" si="18"/>
        <v>0</v>
      </c>
      <c r="AI80" s="9"/>
      <c r="AJ80" s="9">
        <f t="shared" si="18"/>
        <v>0</v>
      </c>
      <c r="AK80" s="9">
        <f t="shared" si="18"/>
        <v>0</v>
      </c>
      <c r="AL80" s="9">
        <f t="shared" si="18"/>
        <v>0</v>
      </c>
      <c r="AM80" s="9">
        <f t="shared" si="18"/>
        <v>0</v>
      </c>
      <c r="AN80" s="9">
        <f t="shared" si="18"/>
        <v>0</v>
      </c>
      <c r="AO80" s="9">
        <f t="shared" si="18"/>
        <v>0</v>
      </c>
      <c r="AP80" s="9">
        <f t="shared" si="18"/>
        <v>0</v>
      </c>
      <c r="AQ80" s="9">
        <f t="shared" si="18"/>
        <v>0</v>
      </c>
      <c r="AR80" s="9">
        <f t="shared" si="18"/>
        <v>2569929</v>
      </c>
      <c r="AS80" s="9">
        <f t="shared" si="18"/>
        <v>0</v>
      </c>
      <c r="AT80" s="9">
        <f t="shared" si="18"/>
        <v>4657660</v>
      </c>
      <c r="AU80" s="9">
        <f t="shared" si="18"/>
        <v>0</v>
      </c>
      <c r="AV80" s="9">
        <f t="shared" si="18"/>
        <v>0</v>
      </c>
      <c r="AW80" s="9">
        <f t="shared" si="18"/>
        <v>0</v>
      </c>
      <c r="AX80" s="9">
        <f t="shared" si="18"/>
        <v>9133979</v>
      </c>
      <c r="AY80" s="9">
        <f t="shared" si="18"/>
        <v>0</v>
      </c>
      <c r="AZ80" s="9">
        <f t="shared" si="18"/>
        <v>0</v>
      </c>
      <c r="BA80" s="9">
        <f t="shared" si="18"/>
        <v>0</v>
      </c>
      <c r="BB80" s="9">
        <f t="shared" si="18"/>
        <v>0</v>
      </c>
      <c r="BC80" s="9"/>
      <c r="BD80" s="9">
        <f t="shared" si="18"/>
        <v>27716599</v>
      </c>
      <c r="BE80" s="4"/>
      <c r="BF80" s="9">
        <f t="shared" si="18"/>
        <v>1628558</v>
      </c>
      <c r="BG80" s="4"/>
      <c r="BH80" s="9">
        <f t="shared" si="18"/>
        <v>0</v>
      </c>
      <c r="BI80" s="4"/>
      <c r="BJ80" s="9">
        <f t="shared" si="18"/>
        <v>1062916</v>
      </c>
      <c r="BK80" s="4"/>
      <c r="BL80" s="4"/>
      <c r="BM80" s="9">
        <f t="shared" si="18"/>
        <v>0</v>
      </c>
      <c r="BN80" s="4"/>
      <c r="BO80" s="9">
        <f t="shared" si="18"/>
        <v>0</v>
      </c>
      <c r="BP80" s="9"/>
      <c r="BQ80" s="9">
        <f t="shared" si="18"/>
        <v>46769641</v>
      </c>
      <c r="BR80" s="9"/>
      <c r="BS80" s="9">
        <f t="shared" si="18"/>
        <v>26477795</v>
      </c>
      <c r="BT80" s="4"/>
      <c r="BU80" s="9">
        <f t="shared" si="18"/>
        <v>180326</v>
      </c>
      <c r="BV80" s="9">
        <f t="shared" si="18"/>
        <v>0</v>
      </c>
      <c r="BW80" s="9">
        <f t="shared" si="18"/>
        <v>46949964</v>
      </c>
      <c r="BX80" s="9">
        <f t="shared" si="18"/>
        <v>0</v>
      </c>
      <c r="BY80" s="9">
        <f t="shared" si="18"/>
        <v>-26771759</v>
      </c>
      <c r="BZ80" s="9">
        <f t="shared" si="18"/>
        <v>0</v>
      </c>
    </row>
    <row r="81" spans="1:78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4"/>
      <c r="BF81" s="9"/>
      <c r="BG81" s="4"/>
      <c r="BH81" s="9"/>
      <c r="BI81" s="4"/>
      <c r="BJ81" s="9"/>
      <c r="BK81" s="4"/>
      <c r="BL81" s="4"/>
      <c r="BM81" s="9"/>
      <c r="BN81" s="4"/>
      <c r="BO81" s="9"/>
      <c r="BP81" s="9"/>
      <c r="BQ81" s="9"/>
      <c r="BR81" s="9"/>
      <c r="BS81" s="9"/>
      <c r="BT81" s="4"/>
      <c r="BU81" s="9"/>
      <c r="BV81" s="9"/>
      <c r="BW81" s="9"/>
      <c r="BX81" s="9"/>
      <c r="BY81" s="9"/>
      <c r="BZ81" s="9"/>
    </row>
    <row r="82" spans="1:78" s="21" customFormat="1">
      <c r="A82" s="31"/>
      <c r="B82" s="242" t="s">
        <v>312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4"/>
      <c r="BF82" s="9"/>
      <c r="BG82" s="4"/>
      <c r="BH82" s="9"/>
      <c r="BI82" s="4"/>
      <c r="BJ82" s="9"/>
      <c r="BK82" s="4"/>
      <c r="BL82" s="4"/>
      <c r="BM82" s="9"/>
      <c r="BN82" s="4"/>
      <c r="BO82" s="9"/>
      <c r="BP82" s="9"/>
      <c r="BQ82" s="9"/>
      <c r="BR82" s="9"/>
      <c r="BS82" s="9"/>
      <c r="BT82" s="4"/>
      <c r="BU82" s="9"/>
      <c r="BV82" s="9"/>
      <c r="BW82" s="9"/>
      <c r="BX82" s="9"/>
      <c r="BY82" s="9"/>
      <c r="BZ82" s="9"/>
    </row>
    <row r="83" spans="1:78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88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 s="4"/>
      <c r="BF83" s="9">
        <f>4901020-4470197</f>
        <v>430823</v>
      </c>
      <c r="BG83" s="4"/>
      <c r="BH83" s="9"/>
      <c r="BI83" s="4"/>
      <c r="BJ83" s="6">
        <f>4563000-4901020</f>
        <v>-338020</v>
      </c>
      <c r="BK83" s="4"/>
      <c r="BL83" s="4"/>
      <c r="BM83" s="6"/>
      <c r="BN83" s="4"/>
      <c r="BO83" s="6"/>
      <c r="BP83" s="6"/>
      <c r="BQ83" s="6">
        <f>SUM(T83:BP83)</f>
        <v>4563000</v>
      </c>
      <c r="BR83" s="6"/>
      <c r="BS83" s="6">
        <f>4660000-R83</f>
        <v>-652100</v>
      </c>
      <c r="BT83" s="4"/>
      <c r="BU83" s="6">
        <f>IF(+R83-BQ83+BS83&gt;0,R83-BQ83+BS83,0)</f>
        <v>97000</v>
      </c>
      <c r="BV83" s="6"/>
      <c r="BW83" s="6">
        <f>+BQ83+BU83</f>
        <v>4660000</v>
      </c>
      <c r="BX83" s="6"/>
      <c r="BY83" s="6">
        <f>+R83-BW83</f>
        <v>652100</v>
      </c>
      <c r="BZ83" s="9"/>
    </row>
    <row r="84" spans="1:78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4"/>
      <c r="BF84" s="9"/>
      <c r="BG84" s="4"/>
      <c r="BH84" s="9"/>
      <c r="BI84" s="4"/>
      <c r="BJ84" s="9"/>
      <c r="BK84" s="4"/>
      <c r="BL84" s="4"/>
      <c r="BM84" s="9"/>
      <c r="BN84" s="4"/>
      <c r="BO84" s="9"/>
      <c r="BP84" s="9"/>
      <c r="BQ84" s="9"/>
      <c r="BR84" s="9"/>
      <c r="BS84" s="9"/>
      <c r="BT84" s="4"/>
      <c r="BU84" s="9"/>
      <c r="BV84" s="9"/>
      <c r="BW84" s="9"/>
      <c r="BX84" s="9"/>
      <c r="BY84" s="9"/>
      <c r="BZ84" s="9"/>
    </row>
    <row r="85" spans="1:78" s="21" customFormat="1">
      <c r="A85" s="31"/>
      <c r="B85" s="232" t="s">
        <v>311</v>
      </c>
      <c r="J85" s="8"/>
      <c r="L85" s="141"/>
      <c r="M85" s="9"/>
      <c r="N85" s="9"/>
      <c r="O85" s="9"/>
      <c r="P85" s="9"/>
      <c r="Q85" s="9"/>
      <c r="R85" s="9">
        <f t="shared" ref="R85:AD85" si="19">SUM(R83:R84)</f>
        <v>5312100</v>
      </c>
      <c r="S85" s="9">
        <f t="shared" si="19"/>
        <v>0</v>
      </c>
      <c r="T85" s="9">
        <f t="shared" si="19"/>
        <v>0</v>
      </c>
      <c r="U85" s="9">
        <f t="shared" si="19"/>
        <v>0</v>
      </c>
      <c r="V85" s="9">
        <f t="shared" si="19"/>
        <v>0</v>
      </c>
      <c r="W85" s="9">
        <f t="shared" si="19"/>
        <v>0</v>
      </c>
      <c r="X85" s="9">
        <f t="shared" si="19"/>
        <v>0</v>
      </c>
      <c r="Y85" s="9">
        <f t="shared" si="19"/>
        <v>0</v>
      </c>
      <c r="Z85" s="9">
        <f t="shared" si="19"/>
        <v>0</v>
      </c>
      <c r="AA85" s="9">
        <f t="shared" si="19"/>
        <v>0</v>
      </c>
      <c r="AB85" s="9">
        <f t="shared" si="19"/>
        <v>0</v>
      </c>
      <c r="AC85" s="9">
        <f t="shared" si="19"/>
        <v>0</v>
      </c>
      <c r="AD85" s="9">
        <f t="shared" si="19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20">SUM(AJ83:AJ84)</f>
        <v>0</v>
      </c>
      <c r="AK85" s="9">
        <f t="shared" si="20"/>
        <v>0</v>
      </c>
      <c r="AL85" s="9">
        <f t="shared" si="20"/>
        <v>0</v>
      </c>
      <c r="AM85" s="9">
        <f t="shared" si="20"/>
        <v>0</v>
      </c>
      <c r="AN85" s="9">
        <f t="shared" si="20"/>
        <v>0</v>
      </c>
      <c r="AO85" s="9">
        <f t="shared" si="20"/>
        <v>0</v>
      </c>
      <c r="AP85" s="9">
        <f t="shared" si="20"/>
        <v>0</v>
      </c>
      <c r="AQ85" s="9">
        <f t="shared" si="20"/>
        <v>0</v>
      </c>
      <c r="AR85" s="6">
        <f t="shared" si="20"/>
        <v>28388</v>
      </c>
      <c r="AS85" s="9">
        <f t="shared" si="20"/>
        <v>0</v>
      </c>
      <c r="AT85" s="9">
        <f t="shared" si="20"/>
        <v>763285</v>
      </c>
      <c r="AU85" s="9">
        <f t="shared" si="20"/>
        <v>0</v>
      </c>
      <c r="AV85" s="9">
        <f t="shared" si="20"/>
        <v>0</v>
      </c>
      <c r="AW85" s="9">
        <f t="shared" si="20"/>
        <v>0</v>
      </c>
      <c r="AX85" s="9">
        <f t="shared" si="20"/>
        <v>2460865</v>
      </c>
      <c r="AY85" s="9">
        <f t="shared" si="20"/>
        <v>0</v>
      </c>
      <c r="AZ85" s="9">
        <f t="shared" si="20"/>
        <v>0</v>
      </c>
      <c r="BA85" s="9">
        <f t="shared" si="20"/>
        <v>0</v>
      </c>
      <c r="BB85" s="9">
        <f t="shared" si="20"/>
        <v>0</v>
      </c>
      <c r="BC85" s="9"/>
      <c r="BD85" s="9">
        <f>SUM(BD83:BD84)</f>
        <v>1217659</v>
      </c>
      <c r="BE85" s="4"/>
      <c r="BF85" s="9">
        <f>SUM(BF83:BF84)</f>
        <v>430823</v>
      </c>
      <c r="BG85" s="4"/>
      <c r="BH85" s="9">
        <f>SUM(BH83:BH84)</f>
        <v>0</v>
      </c>
      <c r="BI85" s="4"/>
      <c r="BJ85" s="9">
        <f>SUM(BJ83:BJ84)</f>
        <v>-338020</v>
      </c>
      <c r="BK85" s="4"/>
      <c r="BL85" s="4"/>
      <c r="BM85" s="9">
        <f>SUM(BM83:BM84)</f>
        <v>0</v>
      </c>
      <c r="BN85" s="4"/>
      <c r="BO85" s="9">
        <f>SUM(BO83:BO84)</f>
        <v>0</v>
      </c>
      <c r="BP85" s="9"/>
      <c r="BQ85" s="9">
        <f>SUM(BQ83:BQ84)</f>
        <v>4563000</v>
      </c>
      <c r="BR85" s="9"/>
      <c r="BS85" s="9">
        <f>SUM(BS83:BS84)</f>
        <v>-652100</v>
      </c>
      <c r="BT85" s="4"/>
      <c r="BU85" s="9">
        <f>SUM(BU83:BU84)</f>
        <v>97000</v>
      </c>
      <c r="BV85" s="9">
        <f>SUM(BV83:BV84)</f>
        <v>0</v>
      </c>
      <c r="BW85" s="9">
        <f>SUM(BW83:BW84)</f>
        <v>4660000</v>
      </c>
      <c r="BX85" s="9">
        <f>SUM(BX83:BX84)</f>
        <v>0</v>
      </c>
      <c r="BY85" s="6">
        <f>+R85-BW85</f>
        <v>652100</v>
      </c>
      <c r="BZ85" s="9"/>
    </row>
    <row r="86" spans="1:78" s="21" customFormat="1">
      <c r="A86" s="31"/>
      <c r="B86" s="242" t="s">
        <v>399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 s="4"/>
      <c r="BF86" s="9"/>
      <c r="BG86" s="4"/>
      <c r="BH86" s="9"/>
      <c r="BI86" s="4"/>
      <c r="BJ86" s="9"/>
      <c r="BK86" s="4"/>
      <c r="BL86" s="4"/>
      <c r="BM86" s="9"/>
      <c r="BN86" s="4"/>
      <c r="BO86" s="9"/>
      <c r="BP86" s="9"/>
      <c r="BQ86" s="6">
        <f>SUM(T86:BM86)</f>
        <v>0</v>
      </c>
      <c r="BR86" s="6"/>
      <c r="BS86" s="9"/>
      <c r="BT86" s="4"/>
      <c r="BU86" s="6"/>
      <c r="BV86" s="9">
        <f>SUM(BV84:BV85)</f>
        <v>0</v>
      </c>
      <c r="BW86" s="6">
        <v>0</v>
      </c>
      <c r="BX86" s="9">
        <f>SUM(BX84:BX85)</f>
        <v>0</v>
      </c>
      <c r="BY86" s="6">
        <f>+R86-BW86</f>
        <v>0</v>
      </c>
      <c r="BZ86" s="9"/>
    </row>
    <row r="87" spans="1:78" s="21" customFormat="1">
      <c r="A87" s="31"/>
      <c r="B87" s="242" t="s">
        <v>322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 s="4"/>
      <c r="BF87" s="9">
        <f>-3652153+977079</f>
        <v>-2675074</v>
      </c>
      <c r="BG87" s="4"/>
      <c r="BH87" s="9"/>
      <c r="BI87" s="4"/>
      <c r="BJ87" s="9">
        <v>-1097729</v>
      </c>
      <c r="BK87" s="4"/>
      <c r="BL87" s="4"/>
      <c r="BM87" s="9"/>
      <c r="BN87" s="4"/>
      <c r="BO87" s="9"/>
      <c r="BP87" s="9"/>
      <c r="BQ87" s="9">
        <f>SUM(T87:BP87)</f>
        <v>2855719</v>
      </c>
      <c r="BR87" s="9"/>
      <c r="BS87" s="9">
        <v>0</v>
      </c>
      <c r="BT87" s="4"/>
      <c r="BU87" s="22">
        <f>-2855719-292964</f>
        <v>-3148683</v>
      </c>
      <c r="BV87" s="9">
        <f>SUM(BV85:BV86)</f>
        <v>0</v>
      </c>
      <c r="BW87" s="6">
        <f>+BQ87+BU87</f>
        <v>-292964</v>
      </c>
      <c r="BX87" s="9">
        <f>SUM(BX85:BX86)</f>
        <v>0</v>
      </c>
      <c r="BY87" s="6">
        <f>+R87-BW87</f>
        <v>292964</v>
      </c>
      <c r="BZ87" s="9"/>
    </row>
    <row r="88" spans="1:78" s="21" customFormat="1">
      <c r="A88" s="31"/>
      <c r="B88" s="242" t="s">
        <v>321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4"/>
      <c r="BF88" s="9"/>
      <c r="BG88" s="4"/>
      <c r="BH88" s="9"/>
      <c r="BI88" s="4"/>
      <c r="BJ88" s="9"/>
      <c r="BK88" s="4"/>
      <c r="BL88" s="4"/>
      <c r="BM88" s="9"/>
      <c r="BN88" s="4"/>
      <c r="BO88" s="9"/>
      <c r="BP88" s="9"/>
      <c r="BQ88" s="9"/>
      <c r="BR88" s="9"/>
      <c r="BS88" s="9"/>
      <c r="BT88" s="4"/>
      <c r="BU88" s="9"/>
      <c r="BV88" s="9"/>
      <c r="BW88" s="6"/>
      <c r="BX88" s="9"/>
      <c r="BY88" s="6">
        <v>0</v>
      </c>
      <c r="BZ88" s="9"/>
    </row>
    <row r="89" spans="1:78" s="105" customFormat="1">
      <c r="A89" s="54"/>
      <c r="B89" s="238" t="s">
        <v>243</v>
      </c>
      <c r="J89" s="155"/>
      <c r="L89" s="142"/>
      <c r="M89" s="13"/>
      <c r="N89" s="239">
        <f>SUM(N37:N88)</f>
        <v>0</v>
      </c>
      <c r="O89" s="13"/>
      <c r="P89" s="239">
        <f>SUM(P37:P88)</f>
        <v>0</v>
      </c>
      <c r="Q89" s="13"/>
      <c r="R89" s="239">
        <f t="shared" ref="R89:AD89" si="21">R85+R80+R53+R46+R87</f>
        <v>50944642</v>
      </c>
      <c r="S89" s="239">
        <f t="shared" si="21"/>
        <v>0</v>
      </c>
      <c r="T89" s="239">
        <f t="shared" si="21"/>
        <v>0</v>
      </c>
      <c r="U89" s="239">
        <f t="shared" si="21"/>
        <v>0</v>
      </c>
      <c r="V89" s="239">
        <f t="shared" si="21"/>
        <v>0</v>
      </c>
      <c r="W89" s="239">
        <f t="shared" si="21"/>
        <v>0</v>
      </c>
      <c r="X89" s="239">
        <f t="shared" si="21"/>
        <v>0</v>
      </c>
      <c r="Y89" s="239">
        <f t="shared" si="21"/>
        <v>0</v>
      </c>
      <c r="Z89" s="239">
        <f t="shared" si="21"/>
        <v>0</v>
      </c>
      <c r="AA89" s="239">
        <f t="shared" si="21"/>
        <v>0</v>
      </c>
      <c r="AB89" s="239">
        <f t="shared" si="21"/>
        <v>0</v>
      </c>
      <c r="AC89" s="239">
        <f t="shared" si="21"/>
        <v>0</v>
      </c>
      <c r="AD89" s="239">
        <f t="shared" si="21"/>
        <v>0</v>
      </c>
      <c r="AE89" s="239"/>
      <c r="AF89" s="239">
        <f>AF85+AF80+AF53+AF46+AF87</f>
        <v>0</v>
      </c>
      <c r="AG89" s="239"/>
      <c r="AH89" s="239">
        <f>AH85+AH80+AH53+AH46+AH87</f>
        <v>0</v>
      </c>
      <c r="AI89" s="239"/>
      <c r="AJ89" s="239">
        <f t="shared" ref="AJ89:BZ89" si="22">AJ85+AJ80+AJ53+AJ46+AJ87</f>
        <v>0</v>
      </c>
      <c r="AK89" s="239">
        <f t="shared" si="22"/>
        <v>0</v>
      </c>
      <c r="AL89" s="239">
        <f t="shared" si="22"/>
        <v>0</v>
      </c>
      <c r="AM89" s="239">
        <f t="shared" si="22"/>
        <v>0</v>
      </c>
      <c r="AN89" s="239">
        <f t="shared" si="22"/>
        <v>0</v>
      </c>
      <c r="AO89" s="239">
        <f t="shared" si="22"/>
        <v>0</v>
      </c>
      <c r="AP89" s="239">
        <f t="shared" si="22"/>
        <v>9438462</v>
      </c>
      <c r="AQ89" s="239">
        <f t="shared" si="22"/>
        <v>0</v>
      </c>
      <c r="AR89" s="239">
        <f t="shared" si="22"/>
        <v>10717074</v>
      </c>
      <c r="AS89" s="239">
        <f t="shared" si="22"/>
        <v>0</v>
      </c>
      <c r="AT89" s="239">
        <f t="shared" si="22"/>
        <v>744251</v>
      </c>
      <c r="AU89" s="239">
        <f t="shared" si="22"/>
        <v>0</v>
      </c>
      <c r="AV89" s="239">
        <f t="shared" si="22"/>
        <v>12922196</v>
      </c>
      <c r="AW89" s="239">
        <f t="shared" si="22"/>
        <v>0</v>
      </c>
      <c r="AX89" s="239">
        <f t="shared" si="22"/>
        <v>11527832</v>
      </c>
      <c r="AY89" s="239">
        <f t="shared" si="22"/>
        <v>0</v>
      </c>
      <c r="AZ89" s="239">
        <f t="shared" si="22"/>
        <v>19510321</v>
      </c>
      <c r="BA89" s="239">
        <f t="shared" si="22"/>
        <v>0</v>
      </c>
      <c r="BB89" s="239">
        <f t="shared" si="22"/>
        <v>0</v>
      </c>
      <c r="BC89" s="239"/>
      <c r="BD89" s="239">
        <f t="shared" si="22"/>
        <v>10907182</v>
      </c>
      <c r="BE89" s="4"/>
      <c r="BF89" s="239">
        <f t="shared" si="22"/>
        <v>977079</v>
      </c>
      <c r="BG89" s="4"/>
      <c r="BH89" s="239">
        <f t="shared" si="22"/>
        <v>0</v>
      </c>
      <c r="BI89" s="4"/>
      <c r="BJ89" s="239">
        <f t="shared" si="22"/>
        <v>0</v>
      </c>
      <c r="BK89" s="4"/>
      <c r="BL89" s="4"/>
      <c r="BM89" s="239">
        <f>BM85+BM80+BM53+BM46+BM87</f>
        <v>0</v>
      </c>
      <c r="BN89" s="4"/>
      <c r="BO89" s="239">
        <f>BO85+BO80+BO53+BO46+BO87</f>
        <v>0</v>
      </c>
      <c r="BP89" s="239"/>
      <c r="BQ89" s="239">
        <f>BQ85+BQ80+BQ53+BQ46+BQ87+BQ86</f>
        <v>76744397</v>
      </c>
      <c r="BR89" s="239"/>
      <c r="BS89" s="239">
        <f t="shared" si="22"/>
        <v>24286358</v>
      </c>
      <c r="BT89" s="4"/>
      <c r="BU89" s="239">
        <f>BU85+BU80+BU53+BU46+BU87+BU86</f>
        <v>-1512394</v>
      </c>
      <c r="BV89" s="239">
        <f t="shared" si="22"/>
        <v>0</v>
      </c>
      <c r="BW89" s="239">
        <f>BW85+BW80+BW53+BW46+BW87+BW86+BW88</f>
        <v>75232000</v>
      </c>
      <c r="BX89" s="239">
        <f t="shared" si="22"/>
        <v>0</v>
      </c>
      <c r="BY89" s="239">
        <f>BY85+BY80+BY53+BY46+BY87+BY86</f>
        <v>-24287358</v>
      </c>
      <c r="BZ89" s="239">
        <f t="shared" si="22"/>
        <v>0</v>
      </c>
    </row>
    <row r="90" spans="1:78">
      <c r="A90" s="100"/>
      <c r="B90" s="17"/>
      <c r="E90" s="4"/>
      <c r="G90" s="4"/>
      <c r="I90" s="4"/>
      <c r="L90" s="138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 s="4"/>
      <c r="BJ90" s="6"/>
      <c r="BM90" s="6"/>
      <c r="BO90" s="6"/>
      <c r="BP90" s="6"/>
      <c r="BS90" s="6"/>
      <c r="BZ90" s="6"/>
    </row>
    <row r="91" spans="1:78">
      <c r="A91" s="58" t="s">
        <v>227</v>
      </c>
      <c r="B91" s="11"/>
      <c r="E91" s="4"/>
      <c r="G91" s="4"/>
      <c r="I91" s="4"/>
      <c r="L91" s="138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 s="4"/>
      <c r="BJ91" s="6"/>
      <c r="BM91" s="6"/>
      <c r="BO91" s="6"/>
      <c r="BP91" s="6"/>
      <c r="BS91" s="6"/>
      <c r="BZ91" s="6"/>
    </row>
    <row r="92" spans="1:78">
      <c r="A92" s="17"/>
      <c r="B92" s="17" t="s">
        <v>228</v>
      </c>
      <c r="E92" s="4"/>
      <c r="G92" s="4"/>
      <c r="I92" s="4"/>
      <c r="J92" s="5" t="s">
        <v>236</v>
      </c>
      <c r="L92" s="138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 s="4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M92" s="6">
        <v>0</v>
      </c>
      <c r="BO92" s="6">
        <v>0</v>
      </c>
      <c r="BP92" s="6"/>
      <c r="BQ92" s="6">
        <f t="shared" ref="BQ92:BQ98" si="23">SUM(T92:BP92)</f>
        <v>946940.33333333314</v>
      </c>
      <c r="BS92" s="6"/>
      <c r="BU92" s="6">
        <f t="shared" ref="BU92:BU98" si="24">IF(+R92-BQ92+BS92&gt;0,R92-BQ92+BS92,0)</f>
        <v>0</v>
      </c>
      <c r="BW92" s="6">
        <f t="shared" ref="BW92:BW97" si="25">+BQ92+BU92</f>
        <v>946940.33333333314</v>
      </c>
      <c r="BY92" s="6">
        <f t="shared" ref="BY92:BY97" si="26">+R92-BW92</f>
        <v>-11740.333333333139</v>
      </c>
      <c r="BZ92" s="6"/>
    </row>
    <row r="93" spans="1:78">
      <c r="A93" s="17"/>
      <c r="B93" s="17" t="s">
        <v>230</v>
      </c>
      <c r="E93" s="4"/>
      <c r="G93" s="4"/>
      <c r="I93" s="4"/>
      <c r="J93" s="5" t="s">
        <v>230</v>
      </c>
      <c r="L93" s="138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 s="4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M93" s="6">
        <v>0</v>
      </c>
      <c r="BO93" s="6">
        <v>0</v>
      </c>
      <c r="BP93" s="6"/>
      <c r="BQ93" s="6">
        <f t="shared" si="23"/>
        <v>2824792</v>
      </c>
      <c r="BS93" s="6">
        <v>-8</v>
      </c>
      <c r="BU93" s="6">
        <f t="shared" si="24"/>
        <v>0</v>
      </c>
      <c r="BW93" s="6">
        <f t="shared" si="25"/>
        <v>2824792</v>
      </c>
      <c r="BY93" s="6">
        <f t="shared" si="26"/>
        <v>8</v>
      </c>
      <c r="BZ93" s="6"/>
    </row>
    <row r="94" spans="1:78">
      <c r="A94" s="17"/>
      <c r="B94" s="17" t="s">
        <v>231</v>
      </c>
      <c r="E94" s="4"/>
      <c r="G94" s="4"/>
      <c r="I94" s="4"/>
      <c r="J94" s="5" t="s">
        <v>236</v>
      </c>
      <c r="L94" s="138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 s="4"/>
      <c r="AJ94" s="6">
        <v>0</v>
      </c>
      <c r="AL94" s="224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M94" s="6">
        <v>0</v>
      </c>
      <c r="BO94" s="6">
        <v>0</v>
      </c>
      <c r="BP94" s="6"/>
      <c r="BQ94" s="6">
        <f t="shared" si="23"/>
        <v>0</v>
      </c>
      <c r="BS94" s="6">
        <v>0</v>
      </c>
      <c r="BU94" s="6">
        <f t="shared" si="24"/>
        <v>0</v>
      </c>
      <c r="BW94" s="6">
        <f t="shared" si="25"/>
        <v>0</v>
      </c>
      <c r="BY94" s="6">
        <f t="shared" si="26"/>
        <v>0</v>
      </c>
      <c r="BZ94" s="6"/>
    </row>
    <row r="95" spans="1:78">
      <c r="A95" s="17"/>
      <c r="B95" s="17" t="s">
        <v>232</v>
      </c>
      <c r="E95" s="4"/>
      <c r="G95" s="4"/>
      <c r="I95" s="4"/>
      <c r="J95" s="5" t="s">
        <v>236</v>
      </c>
      <c r="L95" s="138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 s="4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M95" s="12">
        <v>0</v>
      </c>
      <c r="BO95" s="12">
        <v>0</v>
      </c>
      <c r="BP95" s="12"/>
      <c r="BQ95" s="6">
        <f t="shared" si="23"/>
        <v>0</v>
      </c>
      <c r="BR95" s="12"/>
      <c r="BS95" s="12">
        <v>0</v>
      </c>
      <c r="BU95" s="6">
        <f t="shared" si="24"/>
        <v>0</v>
      </c>
      <c r="BV95" s="12"/>
      <c r="BW95" s="6">
        <f t="shared" si="25"/>
        <v>0</v>
      </c>
      <c r="BX95" s="12"/>
      <c r="BY95" s="6">
        <f t="shared" si="26"/>
        <v>0</v>
      </c>
      <c r="BZ95" s="12"/>
    </row>
    <row r="96" spans="1:78" s="11" customFormat="1">
      <c r="A96" s="17"/>
      <c r="B96" s="17" t="s">
        <v>233</v>
      </c>
      <c r="J96" s="157" t="s">
        <v>236</v>
      </c>
      <c r="L96" s="138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 s="4"/>
      <c r="AJ96" s="12">
        <v>0</v>
      </c>
      <c r="AK96" s="4"/>
      <c r="AL96" s="12">
        <v>0</v>
      </c>
      <c r="AM96" s="4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 s="4"/>
      <c r="BF96" s="12">
        <v>0</v>
      </c>
      <c r="BG96" s="4"/>
      <c r="BH96" s="12">
        <v>0</v>
      </c>
      <c r="BI96" s="4"/>
      <c r="BJ96" s="12">
        <v>0</v>
      </c>
      <c r="BK96" s="4"/>
      <c r="BL96" s="4"/>
      <c r="BM96" s="12">
        <v>0</v>
      </c>
      <c r="BN96" s="4"/>
      <c r="BO96" s="12">
        <v>0</v>
      </c>
      <c r="BP96" s="12"/>
      <c r="BQ96" s="6">
        <f t="shared" si="23"/>
        <v>0</v>
      </c>
      <c r="BR96" s="12"/>
      <c r="BS96" s="12">
        <v>0</v>
      </c>
      <c r="BT96" s="4"/>
      <c r="BU96" s="6">
        <f t="shared" si="24"/>
        <v>0</v>
      </c>
      <c r="BV96" s="12"/>
      <c r="BW96" s="6">
        <f t="shared" si="25"/>
        <v>0</v>
      </c>
      <c r="BX96" s="12"/>
      <c r="BY96" s="6">
        <f t="shared" si="26"/>
        <v>0</v>
      </c>
      <c r="BZ96" s="12"/>
    </row>
    <row r="97" spans="1:78">
      <c r="A97" s="17"/>
      <c r="B97" s="17" t="s">
        <v>121</v>
      </c>
      <c r="E97" s="4"/>
      <c r="G97" s="4"/>
      <c r="I97" s="4"/>
      <c r="L97" s="138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 s="4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M97" s="12">
        <v>0</v>
      </c>
      <c r="BO97" s="12">
        <v>0</v>
      </c>
      <c r="BP97" s="12"/>
      <c r="BQ97" s="6">
        <f t="shared" si="23"/>
        <v>0</v>
      </c>
      <c r="BR97" s="12"/>
      <c r="BS97" s="12">
        <v>0</v>
      </c>
      <c r="BU97" s="6">
        <f t="shared" si="24"/>
        <v>0</v>
      </c>
      <c r="BV97" s="12"/>
      <c r="BW97" s="6">
        <f t="shared" si="25"/>
        <v>0</v>
      </c>
      <c r="BX97" s="12"/>
      <c r="BY97" s="6">
        <f t="shared" si="26"/>
        <v>0</v>
      </c>
      <c r="BZ97" s="12"/>
    </row>
    <row r="98" spans="1:78">
      <c r="A98" s="17"/>
      <c r="B98" s="17"/>
      <c r="E98" s="4"/>
      <c r="G98" s="4"/>
      <c r="I98" s="4"/>
      <c r="L98" s="138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 s="4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M98" s="12"/>
      <c r="BO98" s="12"/>
      <c r="BP98" s="12"/>
      <c r="BQ98" s="6">
        <f t="shared" si="23"/>
        <v>0</v>
      </c>
      <c r="BR98" s="12"/>
      <c r="BS98" s="12"/>
      <c r="BU98" s="6">
        <f t="shared" si="24"/>
        <v>0</v>
      </c>
      <c r="BV98" s="12"/>
      <c r="BW98" s="12"/>
      <c r="BX98" s="12"/>
      <c r="BY98" s="12"/>
      <c r="BZ98" s="12"/>
    </row>
    <row r="99" spans="1:78" s="114" customFormat="1">
      <c r="A99" s="282"/>
      <c r="B99" s="113" t="s">
        <v>244</v>
      </c>
      <c r="J99" s="154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 s="4"/>
      <c r="AJ99" s="116">
        <f>SUM(AJ92:AJ98)</f>
        <v>313333.34999999998</v>
      </c>
      <c r="AK99" s="4"/>
      <c r="AL99" s="116">
        <f>SUM(AL92:AL98)</f>
        <v>313332</v>
      </c>
      <c r="AM99" s="4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 s="4"/>
      <c r="BF99" s="116">
        <f>SUM(BF92:BF98)</f>
        <v>0</v>
      </c>
      <c r="BG99" s="4"/>
      <c r="BH99" s="116">
        <f>SUM(BH92:BH98)</f>
        <v>0</v>
      </c>
      <c r="BI99" s="4"/>
      <c r="BJ99" s="116">
        <f>SUM(BJ92:BJ98)</f>
        <v>6741</v>
      </c>
      <c r="BK99" s="4"/>
      <c r="BL99" s="4"/>
      <c r="BM99" s="116">
        <f>SUM(BM92:BM98)</f>
        <v>0</v>
      </c>
      <c r="BN99" s="4"/>
      <c r="BO99" s="116">
        <f>SUM(BO92:BO98)</f>
        <v>0</v>
      </c>
      <c r="BP99" s="116"/>
      <c r="BQ99" s="116">
        <f>SUM(BQ92:BQ98)</f>
        <v>3771732.333333333</v>
      </c>
      <c r="BR99" s="116"/>
      <c r="BS99" s="116">
        <f>SUM(BS92:BS98)</f>
        <v>-8</v>
      </c>
      <c r="BT99" s="4"/>
      <c r="BU99" s="116">
        <f>SUM(BU92:BU98)</f>
        <v>0</v>
      </c>
      <c r="BV99" s="115"/>
      <c r="BW99" s="116">
        <f>SUM(BW92:BW98)</f>
        <v>3771732.333333333</v>
      </c>
      <c r="BX99" s="115"/>
      <c r="BY99" s="116">
        <f>SUM(BY92:BY98)</f>
        <v>-11732.333333333139</v>
      </c>
      <c r="BZ99" s="117"/>
    </row>
    <row r="100" spans="1:78">
      <c r="E100" s="4"/>
      <c r="G100" s="4"/>
      <c r="I100" s="4"/>
      <c r="J100" s="4"/>
      <c r="L100" s="4"/>
      <c r="N100" s="4"/>
      <c r="P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H100" s="4"/>
      <c r="BJ100" s="4"/>
      <c r="BM100" s="4"/>
      <c r="BO100" s="4"/>
      <c r="BP100" s="4"/>
      <c r="BQ100" s="4"/>
      <c r="BR100" s="4"/>
      <c r="BS100" s="4"/>
      <c r="BU100" s="4"/>
      <c r="BV100" s="4"/>
      <c r="BW100" s="4"/>
      <c r="BX100" s="4"/>
      <c r="BY100" s="4"/>
    </row>
    <row r="101" spans="1:78" s="15" customFormat="1">
      <c r="A101" s="77" t="s">
        <v>242</v>
      </c>
      <c r="B101" s="17"/>
      <c r="C101" s="4"/>
      <c r="D101" s="4"/>
      <c r="E101" s="4"/>
      <c r="F101" s="4"/>
      <c r="G101" s="4"/>
      <c r="H101" s="4"/>
      <c r="I101" s="4"/>
      <c r="J101" s="5"/>
      <c r="K101" s="4"/>
      <c r="L101" s="138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4"/>
      <c r="AJ101" s="22"/>
      <c r="AK101" s="4"/>
      <c r="AL101" s="22"/>
      <c r="AM101" s="4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4"/>
      <c r="BF101" s="22"/>
      <c r="BG101" s="4"/>
      <c r="BH101" s="22"/>
      <c r="BI101" s="4"/>
      <c r="BJ101" s="22"/>
      <c r="BK101" s="4"/>
      <c r="BL101" s="4"/>
      <c r="BM101" s="22"/>
      <c r="BN101" s="4"/>
      <c r="BO101" s="22"/>
      <c r="BP101" s="22"/>
      <c r="BQ101" s="22"/>
      <c r="BR101" s="22"/>
      <c r="BS101" s="22"/>
      <c r="BT101" s="4"/>
      <c r="BU101" s="22"/>
      <c r="BV101" s="22"/>
      <c r="BW101" s="22"/>
      <c r="BX101" s="22"/>
      <c r="BY101" s="22"/>
      <c r="BZ101" s="22"/>
    </row>
    <row r="102" spans="1:78" s="15" customFormat="1">
      <c r="A102" s="77"/>
      <c r="B102" s="17" t="s">
        <v>254</v>
      </c>
      <c r="C102" s="4"/>
      <c r="D102" s="4"/>
      <c r="E102" s="4"/>
      <c r="F102" s="4"/>
      <c r="G102" s="4"/>
      <c r="H102" s="4"/>
      <c r="I102" s="4"/>
      <c r="J102" s="5" t="s">
        <v>0</v>
      </c>
      <c r="K102" s="4"/>
      <c r="L102" s="138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 s="4"/>
      <c r="AJ102" s="22">
        <v>0</v>
      </c>
      <c r="AK102" s="4"/>
      <c r="AL102" s="22">
        <v>0</v>
      </c>
      <c r="AM102" s="4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4"/>
      <c r="BF102" s="22">
        <v>0</v>
      </c>
      <c r="BG102" s="4"/>
      <c r="BH102" s="22">
        <v>0</v>
      </c>
      <c r="BI102" s="4"/>
      <c r="BJ102" s="22">
        <v>368146</v>
      </c>
      <c r="BK102" s="4"/>
      <c r="BL102" s="4"/>
      <c r="BM102" s="22"/>
      <c r="BN102" s="4"/>
      <c r="BO102" s="22"/>
      <c r="BP102" s="22"/>
      <c r="BQ102" s="6">
        <f>SUM(T102:BP102)</f>
        <v>9230771</v>
      </c>
      <c r="BR102" s="22"/>
      <c r="BS102" s="22">
        <v>0</v>
      </c>
      <c r="BT102" s="4"/>
      <c r="BU102" s="292">
        <f t="shared" ref="BU102:BU107" si="27">IF(+R102-BQ102+BS102&gt;0,R102-BQ102+BS102,0)</f>
        <v>248308</v>
      </c>
      <c r="BV102" s="22"/>
      <c r="BW102" s="6">
        <f>+BQ102+BU102</f>
        <v>9479079</v>
      </c>
      <c r="BX102" s="22"/>
      <c r="BY102" s="6">
        <f>+R102-BW102</f>
        <v>0</v>
      </c>
      <c r="BZ102" s="22"/>
    </row>
    <row r="103" spans="1:78" s="15" customFormat="1">
      <c r="A103" s="77"/>
      <c r="B103" s="17" t="s">
        <v>255</v>
      </c>
      <c r="C103" s="4"/>
      <c r="D103" s="4"/>
      <c r="E103" s="4"/>
      <c r="F103" s="4"/>
      <c r="G103" s="4"/>
      <c r="H103" s="4"/>
      <c r="I103" s="4"/>
      <c r="J103" s="5" t="s">
        <v>0</v>
      </c>
      <c r="K103" s="4"/>
      <c r="L103" s="138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4"/>
      <c r="AJ103" s="22">
        <v>0</v>
      </c>
      <c r="AK103" s="4"/>
      <c r="AL103" s="22">
        <v>0</v>
      </c>
      <c r="AM103" s="4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4"/>
      <c r="BF103" s="22">
        <v>0</v>
      </c>
      <c r="BG103" s="4"/>
      <c r="BH103" s="22">
        <v>0</v>
      </c>
      <c r="BI103" s="4"/>
      <c r="BJ103" s="22">
        <v>0</v>
      </c>
      <c r="BK103" s="4"/>
      <c r="BL103" s="4"/>
      <c r="BM103" s="22">
        <v>0</v>
      </c>
      <c r="BN103" s="4"/>
      <c r="BO103" s="22">
        <v>0</v>
      </c>
      <c r="BP103" s="22"/>
      <c r="BQ103" s="6">
        <f>SUM(T103:BP103)</f>
        <v>0</v>
      </c>
      <c r="BR103" s="22"/>
      <c r="BS103" s="22">
        <v>0</v>
      </c>
      <c r="BT103" s="4"/>
      <c r="BU103" s="6">
        <f t="shared" si="27"/>
        <v>0</v>
      </c>
      <c r="BV103" s="22"/>
      <c r="BW103" s="6">
        <f>+BQ103+BU103</f>
        <v>0</v>
      </c>
      <c r="BX103" s="22"/>
      <c r="BY103" s="6">
        <f>+R103-BW103</f>
        <v>0</v>
      </c>
      <c r="BZ103" s="22"/>
    </row>
    <row r="104" spans="1:78" s="15" customFormat="1">
      <c r="A104" s="100"/>
      <c r="B104" s="17" t="s">
        <v>256</v>
      </c>
      <c r="C104" s="4"/>
      <c r="D104" s="4"/>
      <c r="E104" s="4"/>
      <c r="F104" s="4"/>
      <c r="G104" s="4"/>
      <c r="H104" s="4"/>
      <c r="I104" s="4"/>
      <c r="J104" s="5" t="s">
        <v>0</v>
      </c>
      <c r="K104" s="4"/>
      <c r="L104" s="138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4"/>
      <c r="AJ104" s="22">
        <v>0</v>
      </c>
      <c r="AK104" s="4"/>
      <c r="AL104" s="22">
        <v>0</v>
      </c>
      <c r="AM104" s="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4"/>
      <c r="BF104" s="22">
        <v>0</v>
      </c>
      <c r="BG104" s="4"/>
      <c r="BH104" s="22">
        <v>0</v>
      </c>
      <c r="BI104" s="4"/>
      <c r="BJ104" s="22">
        <v>0</v>
      </c>
      <c r="BK104" s="4"/>
      <c r="BL104" s="4"/>
      <c r="BM104" s="22">
        <v>0</v>
      </c>
      <c r="BN104" s="4"/>
      <c r="BO104" s="22">
        <v>0</v>
      </c>
      <c r="BP104" s="22"/>
      <c r="BQ104" s="6">
        <f>SUM(T104:BP104)</f>
        <v>0</v>
      </c>
      <c r="BR104" s="22"/>
      <c r="BS104" s="22">
        <v>0</v>
      </c>
      <c r="BT104" s="4"/>
      <c r="BU104" s="6">
        <f t="shared" si="27"/>
        <v>0</v>
      </c>
      <c r="BV104" s="22"/>
      <c r="BW104" s="6">
        <f>+BQ104+BU104</f>
        <v>0</v>
      </c>
      <c r="BX104" s="22"/>
      <c r="BY104" s="6">
        <f>+R104-BW104</f>
        <v>0</v>
      </c>
      <c r="BZ104" s="22"/>
    </row>
    <row r="105" spans="1:78" s="109" customFormat="1">
      <c r="A105" s="100"/>
      <c r="B105" s="17" t="s">
        <v>257</v>
      </c>
      <c r="C105" s="11"/>
      <c r="D105" s="11"/>
      <c r="E105" s="11"/>
      <c r="F105" s="11"/>
      <c r="G105" s="11"/>
      <c r="H105" s="11"/>
      <c r="I105" s="11"/>
      <c r="J105" s="5" t="s">
        <v>0</v>
      </c>
      <c r="K105" s="11"/>
      <c r="L105" s="138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 s="4"/>
      <c r="AJ105" s="80">
        <v>0</v>
      </c>
      <c r="AK105" s="4"/>
      <c r="AL105" s="80">
        <v>0</v>
      </c>
      <c r="AM105" s="4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 s="4"/>
      <c r="BF105" s="80">
        <v>0</v>
      </c>
      <c r="BG105" s="4"/>
      <c r="BH105" s="80">
        <v>0</v>
      </c>
      <c r="BI105" s="4"/>
      <c r="BJ105" s="80">
        <v>0</v>
      </c>
      <c r="BK105" s="4"/>
      <c r="BL105" s="4"/>
      <c r="BM105" s="80">
        <v>0</v>
      </c>
      <c r="BN105" s="4"/>
      <c r="BO105" s="80">
        <v>0</v>
      </c>
      <c r="BP105" s="80"/>
      <c r="BQ105" s="6">
        <f>SUM(T105:BP105)</f>
        <v>0</v>
      </c>
      <c r="BR105" s="80"/>
      <c r="BS105" s="80">
        <v>0</v>
      </c>
      <c r="BT105" s="4"/>
      <c r="BU105" s="6">
        <f t="shared" si="27"/>
        <v>0</v>
      </c>
      <c r="BV105" s="80"/>
      <c r="BW105" s="6">
        <f>+BQ105+BU105</f>
        <v>0</v>
      </c>
      <c r="BX105" s="80"/>
      <c r="BY105" s="6">
        <f>+R105-BW105</f>
        <v>0</v>
      </c>
      <c r="BZ105" s="80"/>
    </row>
    <row r="106" spans="1:78" s="15" customFormat="1">
      <c r="A106" s="100"/>
      <c r="B106" s="17" t="s">
        <v>258</v>
      </c>
      <c r="C106" s="4"/>
      <c r="D106" s="4"/>
      <c r="E106" s="4"/>
      <c r="F106" s="4"/>
      <c r="G106" s="4"/>
      <c r="H106" s="4"/>
      <c r="I106" s="4"/>
      <c r="J106" s="5" t="s">
        <v>0</v>
      </c>
      <c r="K106" s="4"/>
      <c r="L106" s="138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 s="4"/>
      <c r="AJ106" s="80">
        <v>0</v>
      </c>
      <c r="AK106" s="4"/>
      <c r="AL106" s="80">
        <v>0</v>
      </c>
      <c r="AM106" s="4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 s="4"/>
      <c r="BF106" s="80">
        <v>0</v>
      </c>
      <c r="BG106" s="4"/>
      <c r="BH106" s="80">
        <v>0</v>
      </c>
      <c r="BI106" s="4"/>
      <c r="BJ106" s="80">
        <v>0</v>
      </c>
      <c r="BK106" s="4"/>
      <c r="BL106" s="4"/>
      <c r="BM106" s="80">
        <v>0</v>
      </c>
      <c r="BN106" s="4"/>
      <c r="BO106" s="80">
        <v>0</v>
      </c>
      <c r="BP106" s="80"/>
      <c r="BQ106" s="6">
        <f>SUM(T106:BP106)</f>
        <v>0</v>
      </c>
      <c r="BR106" s="80"/>
      <c r="BS106" s="80">
        <v>0</v>
      </c>
      <c r="BT106" s="4"/>
      <c r="BU106" s="6">
        <f t="shared" si="27"/>
        <v>0</v>
      </c>
      <c r="BV106" s="22"/>
      <c r="BW106" s="6">
        <f>+BQ106+BU106</f>
        <v>0</v>
      </c>
      <c r="BX106" s="22"/>
      <c r="BY106" s="6">
        <f>+R106-BW106</f>
        <v>0</v>
      </c>
      <c r="BZ106" s="80"/>
    </row>
    <row r="107" spans="1:78" s="15" customFormat="1">
      <c r="A107" s="100"/>
      <c r="B107" s="17"/>
      <c r="C107" s="4"/>
      <c r="D107" s="4"/>
      <c r="E107" s="4"/>
      <c r="F107" s="4"/>
      <c r="G107" s="4"/>
      <c r="H107" s="4"/>
      <c r="I107" s="4"/>
      <c r="J107" s="5"/>
      <c r="K107" s="4"/>
      <c r="L107" s="138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4"/>
      <c r="AJ107" s="80"/>
      <c r="AK107" s="4"/>
      <c r="AL107" s="80"/>
      <c r="AM107" s="4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4"/>
      <c r="BF107" s="80"/>
      <c r="BG107" s="4"/>
      <c r="BH107" s="80"/>
      <c r="BI107" s="4"/>
      <c r="BJ107" s="80"/>
      <c r="BK107" s="4"/>
      <c r="BL107" s="4"/>
      <c r="BM107" s="80"/>
      <c r="BN107" s="4"/>
      <c r="BO107" s="80"/>
      <c r="BP107" s="80"/>
      <c r="BQ107" s="80"/>
      <c r="BR107" s="80"/>
      <c r="BS107" s="80"/>
      <c r="BT107" s="4"/>
      <c r="BU107" s="6">
        <f t="shared" si="27"/>
        <v>0</v>
      </c>
      <c r="BV107" s="22"/>
      <c r="BW107" s="80"/>
      <c r="BX107" s="22"/>
      <c r="BY107" s="80"/>
      <c r="BZ107" s="80"/>
    </row>
    <row r="108" spans="1:78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 s="4"/>
      <c r="AJ108" s="108">
        <f>SUM(AJ102:AJ107)</f>
        <v>0</v>
      </c>
      <c r="AK108" s="4"/>
      <c r="AL108" s="108">
        <f>SUM(AL102:AL107)</f>
        <v>0</v>
      </c>
      <c r="AM108" s="4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 s="4"/>
      <c r="BF108" s="108">
        <f>SUM(BF102:BF107)</f>
        <v>0</v>
      </c>
      <c r="BG108" s="4"/>
      <c r="BH108" s="108">
        <f>SUM(BH102:BH107)</f>
        <v>0</v>
      </c>
      <c r="BI108" s="4"/>
      <c r="BJ108" s="108">
        <f>SUM(BJ102:BJ107)</f>
        <v>368146</v>
      </c>
      <c r="BK108" s="4"/>
      <c r="BL108" s="4"/>
      <c r="BM108" s="108">
        <f>SUM(BM102:BM107)</f>
        <v>0</v>
      </c>
      <c r="BN108" s="4"/>
      <c r="BO108" s="108">
        <f>SUM(BO102:BO107)</f>
        <v>0</v>
      </c>
      <c r="BP108" s="108"/>
      <c r="BQ108" s="108">
        <f>SUM(BQ102:BQ107)</f>
        <v>9230771</v>
      </c>
      <c r="BR108" s="108"/>
      <c r="BS108" s="108">
        <f>SUM(BS102:BS107)</f>
        <v>0</v>
      </c>
      <c r="BT108" s="4"/>
      <c r="BU108" s="108">
        <f>SUM(BU102:BU107)</f>
        <v>248308</v>
      </c>
      <c r="BV108" s="16"/>
      <c r="BW108" s="108">
        <f>SUM(BW102:BW107)</f>
        <v>9479079</v>
      </c>
      <c r="BX108" s="16"/>
      <c r="BY108" s="108">
        <f>SUM(BY102:BY107)</f>
        <v>0</v>
      </c>
      <c r="BZ108" s="16"/>
    </row>
    <row r="109" spans="1:78" s="15" customFormat="1">
      <c r="A109" s="100"/>
      <c r="B109" s="17"/>
      <c r="C109" s="4"/>
      <c r="D109" s="4"/>
      <c r="E109" s="4"/>
      <c r="F109" s="4"/>
      <c r="G109" s="4"/>
      <c r="H109" s="4"/>
      <c r="I109" s="4"/>
      <c r="J109" s="5"/>
      <c r="K109" s="4"/>
      <c r="L109" s="13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4"/>
      <c r="AJ109" s="22"/>
      <c r="AK109" s="4"/>
      <c r="AL109" s="22"/>
      <c r="AM109" s="4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4"/>
      <c r="BF109" s="22"/>
      <c r="BG109" s="4"/>
      <c r="BH109" s="22"/>
      <c r="BI109" s="4"/>
      <c r="BJ109" s="22"/>
      <c r="BK109" s="4"/>
      <c r="BL109" s="4"/>
      <c r="BM109" s="22"/>
      <c r="BN109" s="4"/>
      <c r="BO109" s="22"/>
      <c r="BP109" s="22"/>
      <c r="BQ109" s="22"/>
      <c r="BR109" s="22"/>
      <c r="BS109" s="22"/>
      <c r="BT109" s="4"/>
      <c r="BU109" s="22"/>
      <c r="BV109" s="22"/>
      <c r="BW109" s="22"/>
      <c r="BX109" s="22"/>
      <c r="BY109" s="22"/>
      <c r="BZ109" s="22"/>
    </row>
    <row r="110" spans="1:78" s="105" customFormat="1">
      <c r="A110" s="238" t="s">
        <v>246</v>
      </c>
      <c r="B110" s="63"/>
      <c r="J110" s="155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4"/>
      <c r="AJ110" s="13"/>
      <c r="AK110" s="4"/>
      <c r="AL110" s="13"/>
      <c r="AM110" s="4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4"/>
      <c r="BF110" s="13"/>
      <c r="BG110" s="4"/>
      <c r="BH110" s="13"/>
      <c r="BI110" s="4"/>
      <c r="BJ110" s="13"/>
      <c r="BK110" s="4"/>
      <c r="BL110" s="4"/>
      <c r="BM110" s="13"/>
      <c r="BN110" s="4"/>
      <c r="BO110" s="13"/>
      <c r="BP110" s="13"/>
      <c r="BQ110" s="13"/>
      <c r="BR110" s="13"/>
      <c r="BS110" s="13"/>
      <c r="BT110" s="4"/>
      <c r="BU110" s="13"/>
      <c r="BV110" s="13"/>
      <c r="BW110" s="13"/>
      <c r="BX110" s="13"/>
      <c r="BY110" s="13"/>
      <c r="BZ110" s="13"/>
    </row>
    <row r="111" spans="1:78" s="15" customFormat="1">
      <c r="A111" s="109"/>
      <c r="B111" s="60"/>
      <c r="C111" s="4"/>
      <c r="D111" s="4"/>
      <c r="E111" s="4"/>
      <c r="F111" s="4"/>
      <c r="G111" s="4"/>
      <c r="H111" s="4"/>
      <c r="I111" s="4"/>
      <c r="J111" s="5"/>
      <c r="K111" s="4"/>
      <c r="L111" s="13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"/>
      <c r="AJ111" s="22"/>
      <c r="AK111" s="4"/>
      <c r="AL111" s="22"/>
      <c r="AM111" s="4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4"/>
      <c r="BF111" s="22"/>
      <c r="BG111" s="4"/>
      <c r="BH111" s="22"/>
      <c r="BI111" s="4"/>
      <c r="BJ111" s="22"/>
      <c r="BK111" s="4"/>
      <c r="BL111" s="4"/>
      <c r="BM111" s="22"/>
      <c r="BN111" s="4"/>
      <c r="BO111" s="22"/>
      <c r="BP111" s="22"/>
      <c r="BQ111" s="22"/>
      <c r="BR111" s="22"/>
      <c r="BS111" s="22"/>
      <c r="BT111" s="4"/>
      <c r="BU111" s="22"/>
      <c r="BV111" s="22"/>
      <c r="BW111" s="22"/>
      <c r="BX111" s="22"/>
      <c r="BY111" s="22"/>
      <c r="BZ111" s="22"/>
    </row>
    <row r="112" spans="1:78" s="15" customFormat="1">
      <c r="A112" s="109"/>
      <c r="B112" s="60"/>
      <c r="C112" s="4"/>
      <c r="D112" s="4"/>
      <c r="E112" s="4"/>
      <c r="F112" s="4"/>
      <c r="G112" s="4"/>
      <c r="H112" s="4"/>
      <c r="I112" s="4"/>
      <c r="J112" s="5"/>
      <c r="K112" s="4"/>
      <c r="L112" s="13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4"/>
      <c r="AJ112" s="22">
        <f>83584768.91+2296826</f>
        <v>85881594.909999996</v>
      </c>
      <c r="AK112" s="4"/>
      <c r="AL112" s="22"/>
      <c r="AM112" s="4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4"/>
      <c r="BF112" s="22"/>
      <c r="BG112" s="4"/>
      <c r="BH112" s="22"/>
      <c r="BI112" s="4"/>
      <c r="BJ112" s="22"/>
      <c r="BK112" s="4"/>
      <c r="BL112" s="4"/>
      <c r="BM112" s="22"/>
      <c r="BN112" s="4"/>
      <c r="BO112" s="22"/>
      <c r="BP112" s="22"/>
      <c r="BQ112" s="22"/>
      <c r="BR112" s="22"/>
      <c r="BS112" s="22"/>
      <c r="BT112" s="4"/>
      <c r="BU112" s="22"/>
      <c r="BV112" s="22"/>
      <c r="BW112" s="22"/>
      <c r="BX112" s="22"/>
      <c r="BY112" s="22"/>
      <c r="BZ112" s="22"/>
    </row>
    <row r="113" spans="1:78">
      <c r="A113" s="58" t="s">
        <v>25</v>
      </c>
      <c r="B113" s="58"/>
      <c r="E113" s="4"/>
      <c r="G113" s="4"/>
      <c r="I113" s="4"/>
      <c r="L113" s="138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 s="4"/>
      <c r="BJ113" s="6"/>
      <c r="BM113" s="6"/>
      <c r="BO113" s="6"/>
      <c r="BP113" s="6"/>
      <c r="BS113" s="6"/>
      <c r="BV113" s="22"/>
      <c r="BX113" s="22"/>
      <c r="BZ113" s="6"/>
    </row>
    <row r="114" spans="1:78">
      <c r="A114" s="17"/>
      <c r="B114" s="17" t="s">
        <v>376</v>
      </c>
      <c r="E114" s="4"/>
      <c r="G114" s="4"/>
      <c r="I114" s="4"/>
      <c r="J114" s="5" t="s">
        <v>0</v>
      </c>
      <c r="L114" s="138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 s="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M114" s="6">
        <v>0</v>
      </c>
      <c r="BO114" s="6">
        <v>0</v>
      </c>
      <c r="BP114" s="6"/>
      <c r="BQ114" s="6">
        <f>SUM(T114:BP114)</f>
        <v>185000</v>
      </c>
      <c r="BS114" s="6">
        <v>0</v>
      </c>
      <c r="BU114" s="6">
        <f>IF(+R114-BQ114+BS114&gt;0,R114-BQ114+BS114,0)</f>
        <v>0</v>
      </c>
      <c r="BV114" s="22"/>
      <c r="BW114" s="6">
        <f>+BQ114+BU114</f>
        <v>185000</v>
      </c>
      <c r="BX114" s="22"/>
      <c r="BY114" s="6">
        <f>+R114-BW114</f>
        <v>0</v>
      </c>
      <c r="BZ114" s="6"/>
    </row>
    <row r="115" spans="1:78">
      <c r="A115" s="17"/>
      <c r="B115" s="17" t="s">
        <v>378</v>
      </c>
      <c r="E115" s="4"/>
      <c r="G115" s="4"/>
      <c r="I115" s="4"/>
      <c r="L115" s="138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 s="4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M115" s="6">
        <v>20139</v>
      </c>
      <c r="BO115" s="6">
        <v>0</v>
      </c>
      <c r="BP115" s="6"/>
      <c r="BQ115" s="6">
        <f>SUM(T115:BP115)</f>
        <v>727028.62000000011</v>
      </c>
      <c r="BS115" s="6">
        <v>0</v>
      </c>
      <c r="BU115" s="6">
        <v>0</v>
      </c>
      <c r="BV115" s="22"/>
      <c r="BW115" s="6">
        <f>+BQ115+BU115</f>
        <v>727028.62000000011</v>
      </c>
      <c r="BX115" s="22"/>
      <c r="BY115" s="6">
        <f>+R115-BW115</f>
        <v>-3242.6200000001118</v>
      </c>
      <c r="BZ115" s="6"/>
    </row>
    <row r="116" spans="1:78" hidden="1">
      <c r="A116" s="17"/>
      <c r="B116" s="17" t="s">
        <v>121</v>
      </c>
      <c r="E116" s="4"/>
      <c r="G116" s="4"/>
      <c r="I116" s="4"/>
      <c r="L116" s="138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 s="4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M116" s="6">
        <v>0</v>
      </c>
      <c r="BO116" s="6">
        <v>0</v>
      </c>
      <c r="BP116" s="6"/>
      <c r="BQ116" s="6">
        <f>SUM(T116:BM116)</f>
        <v>0</v>
      </c>
      <c r="BS116" s="6">
        <v>0</v>
      </c>
      <c r="BU116" s="6">
        <f>+R116-BQ116+BS116</f>
        <v>0</v>
      </c>
      <c r="BV116" s="22"/>
      <c r="BW116" s="6">
        <f>+BQ116+BU116</f>
        <v>0</v>
      </c>
      <c r="BX116" s="22"/>
      <c r="BY116" s="6">
        <f>+R116-BW116</f>
        <v>0</v>
      </c>
      <c r="BZ116" s="6"/>
    </row>
    <row r="117" spans="1:78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 s="4"/>
      <c r="AJ117" s="102">
        <f>SUM(AJ114:AJ116)</f>
        <v>0</v>
      </c>
      <c r="AK117" s="4"/>
      <c r="AL117" s="102">
        <f>SUM(AL114:AL116)</f>
        <v>0</v>
      </c>
      <c r="AM117" s="4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 s="4"/>
      <c r="BF117" s="102">
        <f>SUM(BF114:BF116)</f>
        <v>64914.39</v>
      </c>
      <c r="BG117" s="4"/>
      <c r="BH117" s="102">
        <f>SUM(BH114:BH116)</f>
        <v>33881.379999999997</v>
      </c>
      <c r="BI117" s="4"/>
      <c r="BJ117" s="102">
        <f>SUM(BJ114:BJ116)</f>
        <v>37188</v>
      </c>
      <c r="BK117" s="4"/>
      <c r="BL117" s="4"/>
      <c r="BM117" s="102">
        <f>SUM(BM114:BM116)</f>
        <v>20139</v>
      </c>
      <c r="BN117" s="4"/>
      <c r="BO117" s="102">
        <f>SUM(BO114:BO116)</f>
        <v>0</v>
      </c>
      <c r="BP117" s="102"/>
      <c r="BQ117" s="108">
        <f>SUM(BQ114:BQ116)</f>
        <v>912028.62000000011</v>
      </c>
      <c r="BR117" s="108"/>
      <c r="BS117" s="102">
        <f>SUM(BS114:BS116)</f>
        <v>0</v>
      </c>
      <c r="BT117" s="4"/>
      <c r="BU117" s="102">
        <f>SUM(BU114:BU116)</f>
        <v>0</v>
      </c>
      <c r="BV117" s="16"/>
      <c r="BW117" s="102">
        <f>SUM(BW114:BW116)</f>
        <v>912028.62000000011</v>
      </c>
      <c r="BX117" s="16"/>
      <c r="BY117" s="102">
        <f>SUM(BY114:BY116)</f>
        <v>-3242.6200000001118</v>
      </c>
      <c r="BZ117" s="9"/>
    </row>
    <row r="118" spans="1:78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4"/>
      <c r="AJ118" s="10"/>
      <c r="AK118" s="4"/>
      <c r="AL118" s="10"/>
      <c r="AM118" s="4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4"/>
      <c r="BF118" s="10"/>
      <c r="BG118" s="4"/>
      <c r="BH118" s="10"/>
      <c r="BI118" s="4"/>
      <c r="BJ118" s="10"/>
      <c r="BK118" s="4"/>
      <c r="BL118" s="4"/>
      <c r="BM118" s="10"/>
      <c r="BN118" s="4"/>
      <c r="BO118" s="10"/>
      <c r="BP118" s="10"/>
      <c r="BQ118" s="10"/>
      <c r="BR118" s="10"/>
      <c r="BS118" s="10"/>
      <c r="BT118" s="4"/>
      <c r="BU118" s="10"/>
      <c r="BV118" s="16"/>
      <c r="BW118" s="10"/>
      <c r="BX118" s="16"/>
      <c r="BY118" s="10"/>
      <c r="BZ118" s="9"/>
    </row>
    <row r="120" spans="1:78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4"/>
      <c r="AJ120" s="9"/>
      <c r="AK120" s="4"/>
      <c r="AL120" s="9"/>
      <c r="AM120" s="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4"/>
      <c r="BF120" s="9"/>
      <c r="BG120" s="4"/>
      <c r="BH120" s="9"/>
      <c r="BI120" s="4"/>
      <c r="BJ120" s="9"/>
      <c r="BK120" s="4"/>
      <c r="BL120" s="4"/>
      <c r="BM120" s="9"/>
      <c r="BN120" s="4"/>
      <c r="BO120" s="9"/>
      <c r="BP120" s="9"/>
      <c r="BQ120" s="9"/>
      <c r="BR120" s="9"/>
      <c r="BS120" s="9"/>
      <c r="BT120" s="4"/>
      <c r="BU120" s="9"/>
      <c r="BV120" s="9"/>
      <c r="BW120" s="9"/>
      <c r="BX120" s="9"/>
      <c r="BY120" s="9"/>
      <c r="BZ120" s="9"/>
    </row>
    <row r="121" spans="1:78" s="21" customFormat="1">
      <c r="A121" s="58" t="s">
        <v>216</v>
      </c>
      <c r="B121" s="31"/>
      <c r="J121" s="8" t="s">
        <v>0</v>
      </c>
      <c r="L121" s="138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 s="4"/>
      <c r="AJ121" s="9">
        <v>0</v>
      </c>
      <c r="AK121" s="4"/>
      <c r="AL121" s="9">
        <v>0</v>
      </c>
      <c r="AM121" s="4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 s="4"/>
      <c r="BF121" s="9">
        <v>2743.49</v>
      </c>
      <c r="BG121" s="4"/>
      <c r="BH121" s="9">
        <v>0</v>
      </c>
      <c r="BI121" s="4"/>
      <c r="BJ121" s="9">
        <v>0</v>
      </c>
      <c r="BK121" s="4"/>
      <c r="BL121" s="4"/>
      <c r="BM121" s="9">
        <v>0</v>
      </c>
      <c r="BN121" s="4"/>
      <c r="BO121" s="9">
        <v>0</v>
      </c>
      <c r="BP121" s="9"/>
      <c r="BQ121" s="9">
        <f>SUM(T121:BP121)</f>
        <v>396663.21</v>
      </c>
      <c r="BR121" s="9"/>
      <c r="BS121" s="9">
        <v>0</v>
      </c>
      <c r="BT121" s="4"/>
      <c r="BU121" s="6">
        <f>IF(+R121-BQ121+BS121&gt;0,R121-BQ121+BS121,0)</f>
        <v>0</v>
      </c>
      <c r="BV121" s="9"/>
      <c r="BW121" s="9">
        <f>+BQ121+BU121</f>
        <v>396663.21</v>
      </c>
      <c r="BX121" s="9"/>
      <c r="BY121" s="9">
        <f>+R121-BW121</f>
        <v>-396663.21</v>
      </c>
      <c r="BZ121" s="9"/>
    </row>
    <row r="122" spans="1:78" s="21" customFormat="1">
      <c r="A122" s="58"/>
      <c r="B122" s="31"/>
      <c r="J122" s="8"/>
      <c r="L122" s="13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4"/>
      <c r="AJ122" s="9"/>
      <c r="AK122" s="4"/>
      <c r="AL122" s="9"/>
      <c r="AM122" s="4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4"/>
      <c r="BF122" s="9"/>
      <c r="BG122" s="4"/>
      <c r="BH122" s="9"/>
      <c r="BI122" s="4"/>
      <c r="BJ122" s="9"/>
      <c r="BK122" s="4"/>
      <c r="BL122" s="4"/>
      <c r="BM122" s="9"/>
      <c r="BN122" s="4"/>
      <c r="BO122" s="9"/>
      <c r="BP122" s="9"/>
      <c r="BQ122" s="9"/>
      <c r="BR122" s="9"/>
      <c r="BS122" s="9"/>
      <c r="BT122" s="4"/>
      <c r="BU122" s="9"/>
      <c r="BV122" s="9"/>
      <c r="BW122" s="9"/>
      <c r="BX122" s="9"/>
      <c r="BY122" s="9"/>
      <c r="BZ122" s="9"/>
    </row>
    <row r="123" spans="1:78" s="31" customFormat="1">
      <c r="A123" s="58" t="s">
        <v>30</v>
      </c>
      <c r="J123" s="156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 s="4"/>
      <c r="AJ123" s="10">
        <v>0</v>
      </c>
      <c r="AK123" s="4"/>
      <c r="AL123" s="10">
        <v>0</v>
      </c>
      <c r="AM123" s="4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 s="4"/>
      <c r="BF123" s="10"/>
      <c r="BG123" s="4"/>
      <c r="BH123" s="10">
        <v>0</v>
      </c>
      <c r="BI123" s="4"/>
      <c r="BJ123" s="10">
        <v>359494</v>
      </c>
      <c r="BK123" s="4"/>
      <c r="BL123" s="4"/>
      <c r="BM123" s="10">
        <v>0</v>
      </c>
      <c r="BN123" s="4"/>
      <c r="BO123" s="10">
        <v>0</v>
      </c>
      <c r="BP123" s="10"/>
      <c r="BQ123" s="9">
        <f>SUM(T123:BP123)</f>
        <v>359494</v>
      </c>
      <c r="BR123" s="10"/>
      <c r="BS123" s="10">
        <v>0</v>
      </c>
      <c r="BT123" s="4"/>
      <c r="BU123" s="6">
        <f>IF(+R123-BQ123+BS123&gt;0,R123-BQ123+BS123,0)</f>
        <v>140506</v>
      </c>
      <c r="BV123" s="10"/>
      <c r="BW123" s="9">
        <f>+BQ123+BU123</f>
        <v>500000</v>
      </c>
      <c r="BX123" s="10"/>
      <c r="BY123" s="9">
        <f>+R123-BW123</f>
        <v>0</v>
      </c>
      <c r="BZ123" s="10"/>
    </row>
    <row r="124" spans="1:78" s="21" customFormat="1">
      <c r="A124" s="58"/>
      <c r="B124" s="31"/>
      <c r="J124" s="8"/>
      <c r="L124" s="13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4"/>
      <c r="AJ124" s="9"/>
      <c r="AK124" s="4"/>
      <c r="AL124" s="9"/>
      <c r="AM124" s="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4"/>
      <c r="BF124" s="9"/>
      <c r="BG124" s="4"/>
      <c r="BH124" s="9"/>
      <c r="BI124" s="4"/>
      <c r="BJ124" s="9"/>
      <c r="BK124" s="4"/>
      <c r="BL124" s="4"/>
      <c r="BM124" s="9"/>
      <c r="BN124" s="4"/>
      <c r="BO124" s="9"/>
      <c r="BP124" s="9"/>
      <c r="BQ124" s="9"/>
      <c r="BR124" s="9"/>
      <c r="BS124" s="9"/>
      <c r="BT124" s="4"/>
      <c r="BU124" s="9"/>
      <c r="BV124" s="9"/>
      <c r="BW124" s="9"/>
      <c r="BX124" s="9"/>
      <c r="BY124" s="9"/>
      <c r="BZ124" s="9"/>
    </row>
    <row r="125" spans="1:78" s="21" customFormat="1">
      <c r="A125" s="58" t="s">
        <v>26</v>
      </c>
      <c r="B125" s="58"/>
      <c r="J125" s="8" t="s">
        <v>0</v>
      </c>
      <c r="L125" s="138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 s="4"/>
      <c r="AJ125" s="9">
        <v>0</v>
      </c>
      <c r="AK125" s="4"/>
      <c r="AL125" s="9">
        <v>0</v>
      </c>
      <c r="AM125" s="4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 s="4"/>
      <c r="BF125" s="9">
        <v>271859.17</v>
      </c>
      <c r="BG125" s="4"/>
      <c r="BH125" s="9">
        <v>201156.09</v>
      </c>
      <c r="BI125" s="4"/>
      <c r="BJ125" s="9">
        <v>3218</v>
      </c>
      <c r="BK125" s="4"/>
      <c r="BL125" s="4"/>
      <c r="BM125" s="9">
        <v>0</v>
      </c>
      <c r="BN125" s="4"/>
      <c r="BO125" s="9">
        <v>0</v>
      </c>
      <c r="BP125" s="9"/>
      <c r="BQ125" s="9">
        <f>SUM(T125:BP125)</f>
        <v>505702.68999999994</v>
      </c>
      <c r="BR125" s="16"/>
      <c r="BS125" s="9">
        <v>0</v>
      </c>
      <c r="BT125" s="4"/>
      <c r="BU125" s="6">
        <v>0</v>
      </c>
      <c r="BV125" s="16"/>
      <c r="BW125" s="9">
        <f>+BQ125+BU125</f>
        <v>505702.68999999994</v>
      </c>
      <c r="BX125" s="16"/>
      <c r="BY125" s="9">
        <f>+R125-BW125</f>
        <v>748178.31</v>
      </c>
      <c r="BZ125" s="9"/>
    </row>
    <row r="126" spans="1:78" s="21" customFormat="1">
      <c r="A126" s="58"/>
      <c r="B126" s="31"/>
      <c r="J126" s="8"/>
      <c r="L126" s="13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4"/>
      <c r="AJ126" s="9"/>
      <c r="AK126" s="4"/>
      <c r="AL126" s="9"/>
      <c r="AM126" s="4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4"/>
      <c r="BF126" s="9"/>
      <c r="BG126" s="4"/>
      <c r="BH126" s="9"/>
      <c r="BI126" s="4"/>
      <c r="BJ126" s="9"/>
      <c r="BK126" s="4"/>
      <c r="BL126" s="4"/>
      <c r="BM126" s="9"/>
      <c r="BN126" s="4"/>
      <c r="BO126" s="9"/>
      <c r="BP126" s="9"/>
      <c r="BQ126" s="9"/>
      <c r="BR126" s="9"/>
      <c r="BS126" s="9"/>
      <c r="BT126" s="4"/>
      <c r="BU126" s="9"/>
      <c r="BV126" s="9"/>
      <c r="BW126" s="9"/>
      <c r="BX126" s="9"/>
      <c r="BY126" s="9"/>
      <c r="BZ126" s="9"/>
    </row>
    <row r="127" spans="1:78">
      <c r="A127" s="58" t="s">
        <v>27</v>
      </c>
      <c r="B127" s="11"/>
      <c r="E127" s="4"/>
      <c r="G127" s="4"/>
      <c r="I127" s="4"/>
      <c r="L127" s="138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 s="4"/>
      <c r="BJ127" s="6"/>
      <c r="BM127" s="6"/>
      <c r="BO127" s="6"/>
      <c r="BP127" s="6"/>
      <c r="BS127" s="6"/>
      <c r="BZ127" s="6"/>
    </row>
    <row r="128" spans="1:78">
      <c r="A128" s="17"/>
      <c r="B128" s="11" t="s">
        <v>207</v>
      </c>
      <c r="E128" s="4"/>
      <c r="G128" s="4"/>
      <c r="I128" s="4"/>
      <c r="J128" s="5" t="s">
        <v>0</v>
      </c>
      <c r="L128" s="138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 s="4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M128" s="6">
        <v>0</v>
      </c>
      <c r="BO128" s="6">
        <v>0</v>
      </c>
      <c r="BP128" s="6"/>
      <c r="BQ128" s="6">
        <f>SUM(T128:BP128)</f>
        <v>28500</v>
      </c>
      <c r="BS128" s="6">
        <v>0</v>
      </c>
      <c r="BU128" s="6">
        <f>IF(+R128-BQ128+BS128&gt;0,R128-BQ128+BS128,0)</f>
        <v>0</v>
      </c>
      <c r="BW128" s="6">
        <f>+BQ128+BU128</f>
        <v>28500</v>
      </c>
      <c r="BY128" s="6">
        <f>+R128-BW128</f>
        <v>0</v>
      </c>
      <c r="BZ128" s="6"/>
    </row>
    <row r="129" spans="1:78">
      <c r="A129" s="17"/>
      <c r="B129" s="11" t="s">
        <v>208</v>
      </c>
      <c r="E129" s="4"/>
      <c r="G129" s="4"/>
      <c r="I129" s="4"/>
      <c r="J129" s="5" t="s">
        <v>0</v>
      </c>
      <c r="L129" s="138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 s="4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M129" s="6">
        <v>0</v>
      </c>
      <c r="BO129" s="6">
        <v>0</v>
      </c>
      <c r="BP129" s="6"/>
      <c r="BQ129" s="6">
        <f>SUM(T129:BP129)</f>
        <v>0</v>
      </c>
      <c r="BS129" s="6">
        <v>0</v>
      </c>
      <c r="BU129" s="6">
        <f>+R129-BQ129+BS129</f>
        <v>0</v>
      </c>
      <c r="BW129" s="6">
        <f>+BQ129+BU129</f>
        <v>0</v>
      </c>
      <c r="BY129" s="6">
        <f>+R129-BW129</f>
        <v>0</v>
      </c>
      <c r="BZ129" s="6"/>
    </row>
    <row r="130" spans="1:78">
      <c r="A130" s="17"/>
      <c r="B130" s="11" t="s">
        <v>209</v>
      </c>
      <c r="E130" s="4"/>
      <c r="G130" s="4"/>
      <c r="I130" s="4"/>
      <c r="J130" s="5" t="s">
        <v>0</v>
      </c>
      <c r="L130" s="138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 s="4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M130" s="6">
        <v>0</v>
      </c>
      <c r="BO130" s="6">
        <v>30281</v>
      </c>
      <c r="BP130" s="6"/>
      <c r="BQ130" s="6">
        <f>SUM(T130:BP130)</f>
        <v>2476443.2800000003</v>
      </c>
      <c r="BS130" s="6">
        <v>0</v>
      </c>
      <c r="BU130" s="6">
        <f>IF(+R130-BQ130+BS130&gt;0,R130-BQ130+BS130,0)</f>
        <v>0</v>
      </c>
      <c r="BW130" s="6">
        <f>+BQ130+BU130</f>
        <v>2476443.2800000003</v>
      </c>
      <c r="BY130" s="6">
        <f>+R130-BW130</f>
        <v>-224943.28000000026</v>
      </c>
      <c r="BZ130" s="6"/>
    </row>
    <row r="131" spans="1:78">
      <c r="A131" s="17"/>
      <c r="B131" s="11" t="s">
        <v>210</v>
      </c>
      <c r="E131" s="4"/>
      <c r="G131" s="4"/>
      <c r="I131" s="4"/>
      <c r="J131" s="5" t="s">
        <v>0</v>
      </c>
      <c r="L131" s="138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 s="4"/>
      <c r="BJ131" s="6"/>
      <c r="BM131" s="6"/>
      <c r="BO131" s="6"/>
      <c r="BP131" s="6"/>
      <c r="BQ131" s="6">
        <f>SUM(T131:BP131)</f>
        <v>0</v>
      </c>
      <c r="BS131" s="6"/>
      <c r="BU131" s="6">
        <f>+R131-BQ131+BS131</f>
        <v>0</v>
      </c>
      <c r="BW131" s="6">
        <f>+BQ131+BU131</f>
        <v>0</v>
      </c>
      <c r="BY131" s="6">
        <f>+R131-BW131</f>
        <v>0</v>
      </c>
      <c r="BZ131" s="6"/>
    </row>
    <row r="132" spans="1:78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 s="4"/>
      <c r="AJ132" s="102">
        <f>SUM(AJ128:AJ131)</f>
        <v>0</v>
      </c>
      <c r="AK132" s="4"/>
      <c r="AL132" s="102">
        <f>SUM(AL128:AL131)</f>
        <v>0</v>
      </c>
      <c r="AM132" s="4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 s="4"/>
      <c r="BF132" s="102">
        <f>SUM(BF128:BF131)</f>
        <v>0</v>
      </c>
      <c r="BG132" s="4"/>
      <c r="BH132" s="102">
        <f>SUM(BH128:BH131)</f>
        <v>350</v>
      </c>
      <c r="BI132" s="4"/>
      <c r="BJ132" s="102">
        <f>SUM(BJ128:BJ131)</f>
        <v>0</v>
      </c>
      <c r="BK132" s="4"/>
      <c r="BL132" s="4"/>
      <c r="BM132" s="102">
        <f>SUM(BM128:BM131)</f>
        <v>0</v>
      </c>
      <c r="BN132" s="4"/>
      <c r="BO132" s="102">
        <f>SUM(BO128:BO131)</f>
        <v>30281</v>
      </c>
      <c r="BP132" s="102"/>
      <c r="BQ132" s="102">
        <f>SUM(BQ128:BQ131)</f>
        <v>2504943.2800000003</v>
      </c>
      <c r="BR132" s="102"/>
      <c r="BS132" s="102">
        <f>SUM(BS128:BS131)</f>
        <v>0</v>
      </c>
      <c r="BT132" s="4"/>
      <c r="BU132" s="102">
        <f>SUM(BU128:BU131)</f>
        <v>0</v>
      </c>
      <c r="BV132" s="9"/>
      <c r="BW132" s="102">
        <f>SUM(BW128:BW131)</f>
        <v>2504943.2800000003</v>
      </c>
      <c r="BX132" s="9"/>
      <c r="BY132" s="102">
        <f>SUM(BY128:BY131)</f>
        <v>-224943.28000000026</v>
      </c>
      <c r="BZ132" s="9"/>
    </row>
    <row r="133" spans="1:78" s="21" customFormat="1">
      <c r="A133" s="58"/>
      <c r="B133" s="31"/>
      <c r="J133" s="8"/>
      <c r="L133" s="13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4"/>
      <c r="AJ133" s="9"/>
      <c r="AK133" s="4"/>
      <c r="AL133" s="9"/>
      <c r="AM133" s="4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4"/>
      <c r="BF133" s="9"/>
      <c r="BG133" s="4"/>
      <c r="BH133" s="9"/>
      <c r="BI133" s="4"/>
      <c r="BJ133" s="9"/>
      <c r="BK133" s="4"/>
      <c r="BL133" s="4"/>
      <c r="BM133" s="9"/>
      <c r="BN133" s="4"/>
      <c r="BO133" s="9"/>
      <c r="BP133" s="9"/>
      <c r="BQ133" s="9"/>
      <c r="BR133" s="9"/>
      <c r="BS133" s="9"/>
      <c r="BT133" s="4"/>
      <c r="BU133" s="9"/>
      <c r="BV133" s="9"/>
      <c r="BW133" s="9"/>
      <c r="BX133" s="9"/>
      <c r="BY133" s="9"/>
      <c r="BZ133" s="9"/>
    </row>
    <row r="134" spans="1:78">
      <c r="A134" s="58" t="s">
        <v>28</v>
      </c>
      <c r="B134" s="11"/>
      <c r="E134" s="4"/>
      <c r="G134" s="4"/>
      <c r="I134" s="4"/>
      <c r="L134" s="138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 s="4"/>
      <c r="BJ134" s="6"/>
      <c r="BM134" s="6"/>
      <c r="BO134" s="6"/>
      <c r="BP134" s="6"/>
      <c r="BS134" s="6"/>
      <c r="BZ134" s="6"/>
    </row>
    <row r="135" spans="1:78">
      <c r="A135" s="58"/>
      <c r="B135" s="11" t="s">
        <v>259</v>
      </c>
      <c r="E135" s="4"/>
      <c r="G135" s="4"/>
      <c r="I135" s="4"/>
      <c r="L135" s="138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 s="4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M135" s="6">
        <v>0</v>
      </c>
      <c r="BO135" s="6">
        <v>0</v>
      </c>
      <c r="BP135" s="6"/>
      <c r="BQ135" s="6">
        <f>SUM(T135:BP135)</f>
        <v>0</v>
      </c>
      <c r="BS135" s="6">
        <v>0</v>
      </c>
      <c r="BU135" s="6">
        <f>IF(+R135-BQ135+BS135&gt;0,R135-BQ135+BS135,0)</f>
        <v>0</v>
      </c>
      <c r="BW135" s="6">
        <f>+BQ135+BU135</f>
        <v>0</v>
      </c>
      <c r="BY135" s="6">
        <f>+R135-BW135</f>
        <v>0</v>
      </c>
      <c r="BZ135" s="6"/>
    </row>
    <row r="136" spans="1:78">
      <c r="A136" s="100"/>
      <c r="B136" s="17" t="s">
        <v>260</v>
      </c>
      <c r="E136" s="4"/>
      <c r="G136" s="4"/>
      <c r="I136" s="4"/>
      <c r="L136" s="138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 s="4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M136" s="6">
        <v>0</v>
      </c>
      <c r="BO136" s="6">
        <v>0</v>
      </c>
      <c r="BP136" s="6"/>
      <c r="BQ136" s="6">
        <f>SUM(T136:BP136)</f>
        <v>0</v>
      </c>
      <c r="BS136" s="6">
        <v>0</v>
      </c>
      <c r="BU136" s="6">
        <f>IF(+R136-BQ136+BS136&gt;0,R136-BQ136+BS136,0)</f>
        <v>0</v>
      </c>
      <c r="BW136" s="6">
        <f>+BQ136+BU136</f>
        <v>0</v>
      </c>
      <c r="BY136" s="6">
        <f>+R136-BW136</f>
        <v>0</v>
      </c>
      <c r="BZ136" s="6"/>
    </row>
    <row r="137" spans="1:78">
      <c r="A137" s="100"/>
      <c r="B137" s="17" t="s">
        <v>261</v>
      </c>
      <c r="E137" s="4"/>
      <c r="G137" s="4"/>
      <c r="I137" s="4"/>
      <c r="L137" s="138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 s="4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M137" s="6"/>
      <c r="BO137" s="6"/>
      <c r="BP137" s="6"/>
      <c r="BQ137" s="6">
        <f>SUM(T137:BP137)</f>
        <v>417167.89</v>
      </c>
      <c r="BR137" s="22"/>
      <c r="BS137" s="6">
        <v>0</v>
      </c>
      <c r="BU137" s="6">
        <f>IF(+R137-BQ137+BS137&gt;0,R137-BQ137+BS137,0)</f>
        <v>0</v>
      </c>
      <c r="BW137" s="6">
        <f>+BQ137+BU137</f>
        <v>417167.89</v>
      </c>
      <c r="BY137" s="6">
        <f>+R137-BW137</f>
        <v>-17167.890000000014</v>
      </c>
      <c r="BZ137" s="6"/>
    </row>
    <row r="138" spans="1:78">
      <c r="A138" s="100"/>
      <c r="B138" s="17" t="s">
        <v>434</v>
      </c>
      <c r="E138" s="4"/>
      <c r="G138" s="4"/>
      <c r="I138" s="4"/>
      <c r="L138" s="138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 s="4"/>
      <c r="BJ138" s="6">
        <f>8057+4672+7631</f>
        <v>20360</v>
      </c>
      <c r="BM138" s="6">
        <v>5572</v>
      </c>
      <c r="BO138" s="6">
        <f>432252+2869</f>
        <v>435121</v>
      </c>
      <c r="BP138" s="6"/>
      <c r="BQ138" s="6">
        <f>SUM(T138:BP138)</f>
        <v>461053</v>
      </c>
      <c r="BR138" s="22"/>
      <c r="BS138" s="6">
        <v>0</v>
      </c>
      <c r="BU138" s="6">
        <f>IF(+R138-BQ138+BS138&gt;0,R138-BQ138+BS138,0)</f>
        <v>0</v>
      </c>
      <c r="BW138" s="9">
        <f>+BQ138+BU138</f>
        <v>461053</v>
      </c>
      <c r="BY138" s="6">
        <f>+R138-BW138</f>
        <v>-461053</v>
      </c>
      <c r="BZ138" s="6"/>
    </row>
    <row r="139" spans="1:78">
      <c r="A139" s="100"/>
      <c r="B139" s="17"/>
      <c r="E139" s="4"/>
      <c r="G139" s="4"/>
      <c r="I139" s="4"/>
      <c r="L139" s="138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 s="4"/>
      <c r="BJ139" s="6"/>
      <c r="BM139" s="6"/>
      <c r="BO139" s="6"/>
      <c r="BP139" s="6"/>
      <c r="BS139" s="6"/>
      <c r="BU139" s="6">
        <f>IF(+R139-BQ139+BS139&gt;0,R139-BQ139+BS139,0)</f>
        <v>0</v>
      </c>
      <c r="BZ139" s="6"/>
    </row>
    <row r="140" spans="1:78" s="21" customFormat="1">
      <c r="A140" s="283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 s="4"/>
      <c r="AJ140" s="102">
        <f>SUM(AJ135:AJ139)</f>
        <v>11821.22</v>
      </c>
      <c r="AK140" s="4"/>
      <c r="AL140" s="102">
        <f>SUM(AL135:AL139)</f>
        <v>11746.18</v>
      </c>
      <c r="AM140" s="4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 s="4"/>
      <c r="BF140" s="102">
        <f>SUM(BF135:BF139)</f>
        <v>2377</v>
      </c>
      <c r="BG140" s="4"/>
      <c r="BH140" s="102">
        <f>SUM(BH135:BH139)</f>
        <v>125613.51</v>
      </c>
      <c r="BI140" s="4"/>
      <c r="BJ140" s="102">
        <f>SUM(BJ135:BJ139)</f>
        <v>20360</v>
      </c>
      <c r="BK140" s="4"/>
      <c r="BL140" s="4"/>
      <c r="BM140" s="102">
        <f>SUM(BM135:BM139)</f>
        <v>5572</v>
      </c>
      <c r="BN140" s="4"/>
      <c r="BO140" s="102">
        <f>SUM(BO135:BO139)</f>
        <v>435121</v>
      </c>
      <c r="BP140" s="102"/>
      <c r="BQ140" s="102">
        <f>SUM(BQ135:BQ139)</f>
        <v>878220.89</v>
      </c>
      <c r="BR140" s="102"/>
      <c r="BS140" s="102">
        <f>SUM(BS135:BS139)</f>
        <v>0</v>
      </c>
      <c r="BT140" s="4"/>
      <c r="BU140" s="102">
        <f>SUM(BU135:BU139)</f>
        <v>0</v>
      </c>
      <c r="BV140" s="9"/>
      <c r="BW140" s="102">
        <f>SUM(BW135:BW139)</f>
        <v>878220.89</v>
      </c>
      <c r="BX140" s="9"/>
      <c r="BY140" s="102">
        <f>SUM(BY135:BY139)</f>
        <v>-478220.89</v>
      </c>
      <c r="BZ140" s="9"/>
    </row>
    <row r="141" spans="1:78" s="21" customFormat="1">
      <c r="A141" s="283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 s="4"/>
      <c r="AJ141" s="10"/>
      <c r="AK141" s="4"/>
      <c r="AL141" s="10"/>
      <c r="AM141" s="4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4"/>
      <c r="BF141" s="10"/>
      <c r="BG141" s="4"/>
      <c r="BH141" s="10"/>
      <c r="BI141" s="4"/>
      <c r="BJ141" s="10"/>
      <c r="BK141" s="4"/>
      <c r="BL141" s="4"/>
      <c r="BM141" s="10"/>
      <c r="BN141" s="4"/>
      <c r="BO141" s="10"/>
      <c r="BP141" s="10"/>
      <c r="BQ141" s="10"/>
      <c r="BR141" s="10"/>
      <c r="BS141" s="10"/>
      <c r="BT141" s="4"/>
      <c r="BU141" s="10"/>
      <c r="BV141" s="9"/>
      <c r="BW141" s="10"/>
      <c r="BX141" s="9"/>
      <c r="BY141" s="10"/>
      <c r="BZ141" s="9"/>
    </row>
    <row r="142" spans="1:78" s="21" customFormat="1">
      <c r="A142" s="58" t="s">
        <v>372</v>
      </c>
      <c r="B142" s="31"/>
      <c r="J142" s="8" t="s">
        <v>0</v>
      </c>
      <c r="L142" s="138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4"/>
      <c r="AJ142" s="9">
        <v>0</v>
      </c>
      <c r="AK142" s="4"/>
      <c r="AL142" s="9">
        <v>0</v>
      </c>
      <c r="AM142" s="4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 s="4"/>
      <c r="BF142" s="9">
        <v>0</v>
      </c>
      <c r="BG142" s="4"/>
      <c r="BH142" s="9">
        <v>8574.66</v>
      </c>
      <c r="BI142" s="4"/>
      <c r="BJ142" s="9">
        <v>0</v>
      </c>
      <c r="BK142" s="4"/>
      <c r="BL142" s="4"/>
      <c r="BM142" s="9">
        <v>0</v>
      </c>
      <c r="BN142" s="4"/>
      <c r="BO142" s="9">
        <v>-335262</v>
      </c>
      <c r="BP142" s="9"/>
      <c r="BQ142" s="9">
        <f>SUM(T142:BP142)</f>
        <v>459318.1</v>
      </c>
      <c r="BR142" s="9"/>
      <c r="BS142" s="9">
        <v>0</v>
      </c>
      <c r="BT142" s="4"/>
      <c r="BU142" s="6">
        <v>0</v>
      </c>
      <c r="BV142" s="9"/>
      <c r="BW142" s="9">
        <f>+BQ142+BU142</f>
        <v>459318.1</v>
      </c>
      <c r="BX142" s="9"/>
      <c r="BY142" s="9">
        <f>+R142-BW142</f>
        <v>540681.9</v>
      </c>
      <c r="BZ142" s="9"/>
    </row>
    <row r="143" spans="1:78" s="21" customFormat="1">
      <c r="A143" s="283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4"/>
      <c r="AJ143" s="10"/>
      <c r="AK143" s="4"/>
      <c r="AL143" s="10"/>
      <c r="AM143" s="4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4"/>
      <c r="BF143" s="10"/>
      <c r="BG143" s="4"/>
      <c r="BH143" s="10"/>
      <c r="BI143" s="4"/>
      <c r="BJ143" s="10"/>
      <c r="BK143" s="4"/>
      <c r="BL143" s="4"/>
      <c r="BM143" s="10"/>
      <c r="BN143" s="4"/>
      <c r="BO143" s="10"/>
      <c r="BP143" s="10"/>
      <c r="BQ143" s="10"/>
      <c r="BR143" s="10"/>
      <c r="BS143" s="10"/>
      <c r="BT143" s="4"/>
      <c r="BU143" s="10"/>
      <c r="BV143" s="9"/>
      <c r="BW143" s="10"/>
      <c r="BX143" s="9"/>
      <c r="BY143" s="10"/>
      <c r="BZ143" s="9"/>
    </row>
    <row r="144" spans="1:78" s="21" customFormat="1">
      <c r="A144" s="58" t="s">
        <v>29</v>
      </c>
      <c r="B144" s="31"/>
      <c r="J144" s="8" t="s">
        <v>0</v>
      </c>
      <c r="L144" s="138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 s="4"/>
      <c r="AJ144" s="9">
        <v>0</v>
      </c>
      <c r="AK144" s="4"/>
      <c r="AL144" s="9">
        <v>0</v>
      </c>
      <c r="AM144" s="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 s="4"/>
      <c r="BF144" s="9">
        <v>0</v>
      </c>
      <c r="BG144" s="4"/>
      <c r="BH144" s="9">
        <v>0</v>
      </c>
      <c r="BI144" s="4"/>
      <c r="BJ144" s="9">
        <v>4364175</v>
      </c>
      <c r="BK144" s="4"/>
      <c r="BL144" s="4"/>
      <c r="BM144" s="9">
        <v>127353</v>
      </c>
      <c r="BN144" s="4"/>
      <c r="BO144" s="9">
        <f>687754</f>
        <v>687754</v>
      </c>
      <c r="BP144" s="9"/>
      <c r="BQ144" s="9">
        <f>SUM(T144:BP144)</f>
        <v>9389395.2199999988</v>
      </c>
      <c r="BR144" s="9"/>
      <c r="BS144" s="9">
        <f>4500000+2900000</f>
        <v>7400000</v>
      </c>
      <c r="BT144" s="4"/>
      <c r="BU144" s="6">
        <v>1100000</v>
      </c>
      <c r="BV144" s="9"/>
      <c r="BW144" s="9">
        <f>+BQ144+BU144</f>
        <v>10489395.219999999</v>
      </c>
      <c r="BX144" s="9"/>
      <c r="BY144" s="9">
        <f>+R144-BW144</f>
        <v>-6989395.2199999988</v>
      </c>
      <c r="BZ144" s="9"/>
    </row>
    <row r="145" spans="1:78" s="21" customFormat="1">
      <c r="A145" s="283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4"/>
      <c r="AJ145" s="10"/>
      <c r="AK145" s="4"/>
      <c r="AL145" s="10"/>
      <c r="AM145" s="4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4"/>
      <c r="BF145" s="10"/>
      <c r="BG145" s="4"/>
      <c r="BH145" s="10"/>
      <c r="BI145" s="4"/>
      <c r="BJ145" s="10"/>
      <c r="BK145" s="4"/>
      <c r="BL145" s="4"/>
      <c r="BM145" s="10"/>
      <c r="BN145" s="4"/>
      <c r="BO145" s="10"/>
      <c r="BP145" s="10"/>
      <c r="BQ145" s="10"/>
      <c r="BR145" s="10"/>
      <c r="BS145" s="10"/>
      <c r="BT145" s="4"/>
      <c r="BU145" s="10"/>
      <c r="BV145" s="9"/>
      <c r="BW145" s="10"/>
      <c r="BX145" s="9"/>
      <c r="BY145" s="10"/>
      <c r="BZ145" s="9"/>
    </row>
    <row r="146" spans="1:78" s="15" customFormat="1">
      <c r="A146" s="32" t="s">
        <v>178</v>
      </c>
      <c r="B146" s="60"/>
      <c r="C146" s="4"/>
      <c r="D146" s="4"/>
      <c r="E146" s="4"/>
      <c r="F146" s="4"/>
      <c r="G146" s="4"/>
      <c r="H146" s="4"/>
      <c r="I146" s="4"/>
      <c r="J146" s="5"/>
      <c r="K146" s="4"/>
      <c r="L146" s="13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4"/>
      <c r="AJ146" s="22"/>
      <c r="AK146" s="4"/>
      <c r="AL146" s="22"/>
      <c r="AM146" s="4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4"/>
      <c r="BF146" s="22"/>
      <c r="BG146" s="4"/>
      <c r="BH146" s="22"/>
      <c r="BI146" s="4"/>
      <c r="BJ146" s="22"/>
      <c r="BK146" s="4"/>
      <c r="BL146" s="4"/>
      <c r="BM146" s="22"/>
      <c r="BN146" s="4"/>
      <c r="BO146" s="22"/>
      <c r="BP146" s="22"/>
      <c r="BQ146" s="22"/>
      <c r="BR146" s="22"/>
      <c r="BS146" s="22"/>
      <c r="BT146" s="4"/>
      <c r="BU146" s="22"/>
      <c r="BV146" s="22"/>
      <c r="BW146" s="22"/>
      <c r="BX146" s="22"/>
      <c r="BY146" s="22"/>
      <c r="BZ146" s="22"/>
    </row>
    <row r="147" spans="1:78" s="15" customFormat="1" hidden="1">
      <c r="A147" s="109"/>
      <c r="B147" s="60" t="s">
        <v>179</v>
      </c>
      <c r="C147" s="4"/>
      <c r="D147" s="4"/>
      <c r="E147" s="4"/>
      <c r="F147" s="4"/>
      <c r="G147" s="4"/>
      <c r="H147" s="4"/>
      <c r="I147" s="4"/>
      <c r="J147" s="5"/>
      <c r="K147" s="4"/>
      <c r="L147" s="138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 s="4"/>
      <c r="AJ147" s="22">
        <v>0</v>
      </c>
      <c r="AK147" s="4"/>
      <c r="AL147" s="22">
        <v>0</v>
      </c>
      <c r="AM147" s="4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 s="4"/>
      <c r="BF147" s="22">
        <v>0</v>
      </c>
      <c r="BG147" s="4"/>
      <c r="BH147" s="22">
        <v>0</v>
      </c>
      <c r="BI147" s="4"/>
      <c r="BJ147" s="22">
        <v>0</v>
      </c>
      <c r="BK147" s="4"/>
      <c r="BL147" s="4"/>
      <c r="BM147" s="22">
        <v>0</v>
      </c>
      <c r="BN147" s="4"/>
      <c r="BO147" s="22">
        <v>0</v>
      </c>
      <c r="BP147" s="22"/>
      <c r="BQ147" s="22">
        <f>SUM(T147:BM147)</f>
        <v>0</v>
      </c>
      <c r="BR147" s="22"/>
      <c r="BS147" s="22">
        <v>0</v>
      </c>
      <c r="BT147" s="4"/>
      <c r="BU147" s="22">
        <f>+R147-BQ147+BS147</f>
        <v>0</v>
      </c>
      <c r="BV147" s="22"/>
      <c r="BW147" s="6">
        <f>+BQ147+BU147</f>
        <v>0</v>
      </c>
      <c r="BX147" s="22"/>
      <c r="BY147" s="6">
        <f>+R147-BW147</f>
        <v>0</v>
      </c>
      <c r="BZ147" s="22"/>
    </row>
    <row r="148" spans="1:78" s="15" customFormat="1">
      <c r="A148" s="109"/>
      <c r="B148" s="60" t="s">
        <v>180</v>
      </c>
      <c r="C148" s="4"/>
      <c r="D148" s="4"/>
      <c r="E148" s="4"/>
      <c r="F148" s="4"/>
      <c r="G148" s="4"/>
      <c r="H148" s="4"/>
      <c r="I148" s="4"/>
      <c r="J148" s="5"/>
      <c r="K148" s="4"/>
      <c r="L148" s="138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 s="4"/>
      <c r="AJ148" s="22">
        <v>0</v>
      </c>
      <c r="AK148" s="4"/>
      <c r="AL148" s="22">
        <v>0</v>
      </c>
      <c r="AM148" s="4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 s="4"/>
      <c r="BF148" s="22">
        <v>0</v>
      </c>
      <c r="BG148" s="4"/>
      <c r="BH148" s="22">
        <v>0</v>
      </c>
      <c r="BI148" s="4"/>
      <c r="BJ148" s="22">
        <v>0</v>
      </c>
      <c r="BK148" s="4"/>
      <c r="BL148" s="4"/>
      <c r="BM148" s="22">
        <v>0</v>
      </c>
      <c r="BN148" s="4"/>
      <c r="BO148" s="22">
        <v>0</v>
      </c>
      <c r="BP148" s="22"/>
      <c r="BQ148" s="6">
        <f>SUM(T148:BP148)</f>
        <v>1853468.5</v>
      </c>
      <c r="BR148" s="22"/>
      <c r="BS148" s="22">
        <v>0</v>
      </c>
      <c r="BT148" s="4"/>
      <c r="BU148" s="6">
        <f>IF(+R148-BQ148+BS148&gt;0,R148-BQ148+BS148,0)</f>
        <v>0</v>
      </c>
      <c r="BV148" s="22"/>
      <c r="BW148" s="6">
        <f>+BQ148+BU148</f>
        <v>1853468.5</v>
      </c>
      <c r="BX148" s="22"/>
      <c r="BY148" s="6">
        <f>+R148-BW148</f>
        <v>-353468.5</v>
      </c>
      <c r="BZ148" s="22"/>
    </row>
    <row r="149" spans="1:78" s="15" customFormat="1" hidden="1">
      <c r="A149" s="109"/>
      <c r="B149" s="60" t="s">
        <v>121</v>
      </c>
      <c r="C149" s="4"/>
      <c r="D149" s="4"/>
      <c r="E149" s="4"/>
      <c r="F149" s="4"/>
      <c r="G149" s="4"/>
      <c r="H149" s="4"/>
      <c r="I149" s="4"/>
      <c r="J149" s="5"/>
      <c r="K149" s="4"/>
      <c r="L149" s="138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 s="4"/>
      <c r="AJ149" s="22">
        <v>0</v>
      </c>
      <c r="AK149" s="4"/>
      <c r="AL149" s="22">
        <v>0</v>
      </c>
      <c r="AM149" s="4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 s="4"/>
      <c r="BF149" s="22">
        <v>0</v>
      </c>
      <c r="BG149" s="4"/>
      <c r="BH149" s="22">
        <v>0</v>
      </c>
      <c r="BI149" s="4"/>
      <c r="BJ149" s="22">
        <v>0</v>
      </c>
      <c r="BK149" s="4"/>
      <c r="BL149" s="4"/>
      <c r="BM149" s="22">
        <v>0</v>
      </c>
      <c r="BN149" s="4"/>
      <c r="BO149" s="22">
        <v>0</v>
      </c>
      <c r="BP149" s="22"/>
      <c r="BQ149" s="22">
        <f>SUM(T149:BM149)</f>
        <v>0</v>
      </c>
      <c r="BR149" s="22"/>
      <c r="BS149" s="22">
        <v>0</v>
      </c>
      <c r="BT149" s="4"/>
      <c r="BU149" s="22">
        <f>+R149-BQ149+BS149</f>
        <v>0</v>
      </c>
      <c r="BV149" s="22"/>
      <c r="BW149" s="6">
        <f>+BQ149+BU149</f>
        <v>0</v>
      </c>
      <c r="BX149" s="22"/>
      <c r="BY149" s="6">
        <f>+R149-BW149</f>
        <v>0</v>
      </c>
      <c r="BZ149" s="22"/>
    </row>
    <row r="150" spans="1:78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 s="4"/>
      <c r="AJ150" s="108">
        <f>SUM(AJ147:AJ149)</f>
        <v>0</v>
      </c>
      <c r="AK150" s="4"/>
      <c r="AL150" s="108">
        <f>SUM(AL147:AL149)</f>
        <v>0</v>
      </c>
      <c r="AM150" s="4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 s="4"/>
      <c r="BF150" s="108">
        <f>SUM(BF147:BF149)</f>
        <v>0</v>
      </c>
      <c r="BG150" s="4"/>
      <c r="BH150" s="108">
        <f>SUM(BH147:BH149)</f>
        <v>0</v>
      </c>
      <c r="BI150" s="4"/>
      <c r="BJ150" s="108">
        <f>SUM(BJ147:BJ149)</f>
        <v>0</v>
      </c>
      <c r="BK150" s="4"/>
      <c r="BL150" s="4"/>
      <c r="BM150" s="108">
        <f>SUM(BM147:BM149)</f>
        <v>0</v>
      </c>
      <c r="BN150" s="4"/>
      <c r="BO150" s="108">
        <f>SUM(BO147:BO149)</f>
        <v>0</v>
      </c>
      <c r="BP150" s="108"/>
      <c r="BQ150" s="108">
        <f>SUM(BQ147:BQ149)</f>
        <v>1853468.5</v>
      </c>
      <c r="BR150" s="108"/>
      <c r="BS150" s="108">
        <f>SUM(BS147:BS149)</f>
        <v>0</v>
      </c>
      <c r="BT150" s="4"/>
      <c r="BU150" s="108">
        <f>SUM(BU147:BU149)</f>
        <v>0</v>
      </c>
      <c r="BV150" s="16"/>
      <c r="BW150" s="108">
        <f>SUM(BW147:BW149)</f>
        <v>1853468.5</v>
      </c>
      <c r="BX150" s="16"/>
      <c r="BY150" s="108">
        <f>SUM(BY147:BY149)</f>
        <v>-353468.5</v>
      </c>
      <c r="BZ150" s="16"/>
    </row>
    <row r="151" spans="1:78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 s="4"/>
      <c r="AJ151" s="103"/>
      <c r="AK151" s="4"/>
      <c r="AL151" s="103"/>
      <c r="AM151" s="4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4"/>
      <c r="BF151" s="103"/>
      <c r="BG151" s="4"/>
      <c r="BH151" s="103"/>
      <c r="BI151" s="4"/>
      <c r="BJ151" s="103"/>
      <c r="BK151" s="4"/>
      <c r="BL151" s="4"/>
      <c r="BM151" s="103"/>
      <c r="BN151" s="4"/>
      <c r="BO151" s="103"/>
      <c r="BP151" s="103"/>
      <c r="BQ151" s="103"/>
      <c r="BR151" s="103"/>
      <c r="BS151" s="103"/>
      <c r="BT151" s="4"/>
      <c r="BU151" s="103"/>
      <c r="BV151" s="16"/>
      <c r="BW151" s="103"/>
      <c r="BX151" s="16"/>
      <c r="BY151" s="103"/>
      <c r="BZ151" s="16"/>
    </row>
    <row r="152" spans="1:78" s="31" customFormat="1">
      <c r="A152" s="58" t="s">
        <v>31</v>
      </c>
      <c r="J152" s="156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 s="4"/>
      <c r="AJ152" s="10">
        <v>0</v>
      </c>
      <c r="AK152" s="4"/>
      <c r="AL152" s="10">
        <v>0</v>
      </c>
      <c r="AM152" s="4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 s="4"/>
      <c r="BF152" s="10">
        <v>59.75</v>
      </c>
      <c r="BG152" s="4"/>
      <c r="BH152" s="10">
        <v>0</v>
      </c>
      <c r="BI152" s="4"/>
      <c r="BJ152" s="10">
        <v>0</v>
      </c>
      <c r="BK152" s="4"/>
      <c r="BL152" s="4"/>
      <c r="BM152" s="10">
        <v>0</v>
      </c>
      <c r="BN152" s="4"/>
      <c r="BO152" s="10">
        <v>0</v>
      </c>
      <c r="BP152" s="10"/>
      <c r="BQ152" s="9">
        <f>SUM(T152:BP152)</f>
        <v>271308.25</v>
      </c>
      <c r="BR152" s="10"/>
      <c r="BS152" s="10">
        <v>0</v>
      </c>
      <c r="BT152" s="4"/>
      <c r="BU152" s="6">
        <f>IF(+R152-BQ152+BS152&gt;0,R152-BQ152+BS152,0)</f>
        <v>0</v>
      </c>
      <c r="BV152" s="10"/>
      <c r="BW152" s="9">
        <f>+BQ152+BU152</f>
        <v>271308.25</v>
      </c>
      <c r="BX152" s="10"/>
      <c r="BY152" s="9">
        <f>+R152-BW152</f>
        <v>-121308.25</v>
      </c>
      <c r="BZ152" s="10"/>
    </row>
    <row r="153" spans="1:78" s="15" customFormat="1">
      <c r="A153" s="109"/>
      <c r="B153" s="60"/>
      <c r="C153" s="4"/>
      <c r="D153" s="4"/>
      <c r="E153" s="4"/>
      <c r="F153" s="4"/>
      <c r="G153" s="4"/>
      <c r="H153" s="4"/>
      <c r="I153" s="4"/>
      <c r="J153" s="5"/>
      <c r="K153" s="4"/>
      <c r="L153" s="13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4"/>
      <c r="AJ153" s="22"/>
      <c r="AK153" s="4"/>
      <c r="AL153" s="22"/>
      <c r="AM153" s="4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4"/>
      <c r="BF153" s="22"/>
      <c r="BG153" s="4"/>
      <c r="BH153" s="22"/>
      <c r="BI153" s="4"/>
      <c r="BJ153" s="22"/>
      <c r="BK153" s="4"/>
      <c r="BL153" s="4"/>
      <c r="BM153" s="22"/>
      <c r="BN153" s="4"/>
      <c r="BO153" s="22"/>
      <c r="BP153" s="22"/>
      <c r="BQ153" s="22"/>
      <c r="BR153" s="22"/>
      <c r="BS153" s="22"/>
      <c r="BT153" s="4"/>
      <c r="BU153" s="22"/>
      <c r="BV153" s="22"/>
      <c r="BW153" s="22"/>
      <c r="BX153" s="22"/>
      <c r="BY153" s="22"/>
      <c r="BZ153" s="22"/>
    </row>
    <row r="154" spans="1:78" s="31" customFormat="1">
      <c r="A154" s="58" t="s">
        <v>32</v>
      </c>
      <c r="J154" s="156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 s="4"/>
      <c r="AJ154" s="10">
        <v>6275.69</v>
      </c>
      <c r="AK154" s="4"/>
      <c r="AL154" s="10">
        <v>0</v>
      </c>
      <c r="AM154" s="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 s="4"/>
      <c r="BF154" s="10">
        <v>0</v>
      </c>
      <c r="BG154" s="4"/>
      <c r="BH154" s="10">
        <v>0</v>
      </c>
      <c r="BI154" s="4"/>
      <c r="BJ154" s="10">
        <v>0</v>
      </c>
      <c r="BK154" s="4"/>
      <c r="BL154" s="4"/>
      <c r="BM154" s="10">
        <v>0</v>
      </c>
      <c r="BN154" s="4"/>
      <c r="BO154" s="10">
        <v>0</v>
      </c>
      <c r="BP154" s="10"/>
      <c r="BQ154" s="9">
        <f>SUM(T154:BP154)</f>
        <v>109694.64</v>
      </c>
      <c r="BR154" s="10"/>
      <c r="BS154" s="10">
        <v>-90305</v>
      </c>
      <c r="BT154" s="4"/>
      <c r="BU154" s="6">
        <f>IF(+R154-BQ154+BS154&gt;0,R154-BQ154+BS154,0)</f>
        <v>0.36000000000058208</v>
      </c>
      <c r="BV154" s="10"/>
      <c r="BW154" s="9">
        <f>+BQ154+BU154</f>
        <v>109695</v>
      </c>
      <c r="BX154" s="10"/>
      <c r="BY154" s="6">
        <f>+R154-BW154</f>
        <v>90305</v>
      </c>
      <c r="BZ154" s="10"/>
    </row>
    <row r="155" spans="1:78" s="15" customFormat="1">
      <c r="A155" s="109"/>
      <c r="B155" s="60"/>
      <c r="C155" s="4"/>
      <c r="D155" s="4"/>
      <c r="E155" s="4"/>
      <c r="F155" s="4"/>
      <c r="G155" s="4"/>
      <c r="H155" s="4"/>
      <c r="I155" s="4"/>
      <c r="J155" s="5"/>
      <c r="K155" s="4"/>
      <c r="L155" s="13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4"/>
      <c r="AJ155" s="22"/>
      <c r="AK155" s="4"/>
      <c r="AL155" s="22"/>
      <c r="AM155" s="4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4"/>
      <c r="BF155" s="22"/>
      <c r="BG155" s="4"/>
      <c r="BH155" s="22"/>
      <c r="BI155" s="4"/>
      <c r="BJ155" s="22"/>
      <c r="BK155" s="4"/>
      <c r="BL155" s="4"/>
      <c r="BM155" s="22"/>
      <c r="BN155" s="4"/>
      <c r="BO155" s="22"/>
      <c r="BP155" s="22"/>
      <c r="BQ155" s="22"/>
      <c r="BR155" s="22"/>
      <c r="BS155" s="22"/>
      <c r="BT155" s="4"/>
      <c r="BU155" s="22"/>
      <c r="BV155" s="22"/>
      <c r="BW155" s="22"/>
      <c r="BX155" s="22"/>
      <c r="BY155" s="22"/>
      <c r="BZ155" s="22"/>
    </row>
    <row r="156" spans="1:78">
      <c r="A156" s="58" t="s">
        <v>33</v>
      </c>
      <c r="B156" s="11"/>
      <c r="E156" s="4"/>
      <c r="G156" s="4"/>
      <c r="I156" s="4"/>
      <c r="L156" s="138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 s="4"/>
      <c r="BJ156" s="6"/>
      <c r="BM156" s="6"/>
      <c r="BO156" s="6"/>
      <c r="BP156" s="6"/>
      <c r="BQ156" s="22"/>
      <c r="BR156" s="22"/>
      <c r="BS156" s="6"/>
      <c r="BZ156" s="6"/>
    </row>
    <row r="157" spans="1:78" s="11" customFormat="1">
      <c r="A157" s="17"/>
      <c r="B157" s="11" t="s">
        <v>184</v>
      </c>
      <c r="J157" s="157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 s="4"/>
      <c r="AJ157" s="12">
        <v>0</v>
      </c>
      <c r="AK157" s="4"/>
      <c r="AL157" s="12">
        <v>6591.41</v>
      </c>
      <c r="AM157" s="4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 s="4"/>
      <c r="BF157" s="12">
        <v>0</v>
      </c>
      <c r="BG157" s="4"/>
      <c r="BH157" s="12">
        <v>0</v>
      </c>
      <c r="BI157" s="4"/>
      <c r="BJ157" s="12">
        <v>0</v>
      </c>
      <c r="BK157" s="4"/>
      <c r="BL157" s="4"/>
      <c r="BM157" s="12">
        <v>0</v>
      </c>
      <c r="BN157" s="4"/>
      <c r="BO157" s="12">
        <v>0</v>
      </c>
      <c r="BP157" s="12"/>
      <c r="BQ157" s="6">
        <f t="shared" ref="BQ157:BQ162" si="28">SUM(T157:BP157)</f>
        <v>22604.39</v>
      </c>
      <c r="BR157" s="80"/>
      <c r="BS157" s="12">
        <v>-12396</v>
      </c>
      <c r="BT157" s="4"/>
      <c r="BU157" s="6">
        <f t="shared" ref="BU157:BU162" si="29">IF(+R157-BQ157+BS157&gt;0,R157-BQ157+BS157,0)</f>
        <v>0</v>
      </c>
      <c r="BV157" s="12"/>
      <c r="BW157" s="6">
        <f t="shared" ref="BW157:BW162" si="30">+BQ157+BU157</f>
        <v>22604.39</v>
      </c>
      <c r="BX157" s="12"/>
      <c r="BY157" s="6">
        <f t="shared" ref="BY157:BY162" si="31">+R157-BW157</f>
        <v>12395.61</v>
      </c>
      <c r="BZ157" s="12"/>
    </row>
    <row r="158" spans="1:78" s="11" customFormat="1">
      <c r="A158" s="17"/>
      <c r="B158" s="11" t="s">
        <v>34</v>
      </c>
      <c r="J158" s="157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 s="4"/>
      <c r="AJ158" s="12">
        <v>3892.71</v>
      </c>
      <c r="AK158" s="4"/>
      <c r="AL158" s="12">
        <v>6342.74</v>
      </c>
      <c r="AM158" s="4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 s="4"/>
      <c r="BF158" s="12">
        <v>0</v>
      </c>
      <c r="BG158" s="4"/>
      <c r="BH158" s="12">
        <v>0</v>
      </c>
      <c r="BI158" s="4"/>
      <c r="BJ158" s="12">
        <v>0</v>
      </c>
      <c r="BK158" s="4"/>
      <c r="BL158" s="4"/>
      <c r="BM158" s="12">
        <v>0</v>
      </c>
      <c r="BN158" s="4"/>
      <c r="BO158" s="12">
        <v>0</v>
      </c>
      <c r="BP158" s="12"/>
      <c r="BQ158" s="6">
        <f t="shared" si="28"/>
        <v>78498.36</v>
      </c>
      <c r="BR158" s="80"/>
      <c r="BS158" s="12">
        <v>0</v>
      </c>
      <c r="BT158" s="4"/>
      <c r="BU158" s="6">
        <f t="shared" si="29"/>
        <v>0</v>
      </c>
      <c r="BV158" s="12"/>
      <c r="BW158" s="6">
        <f t="shared" si="30"/>
        <v>78498.36</v>
      </c>
      <c r="BX158" s="12"/>
      <c r="BY158" s="6">
        <f t="shared" si="31"/>
        <v>-33498.36</v>
      </c>
      <c r="BZ158" s="12"/>
    </row>
    <row r="159" spans="1:78" s="11" customFormat="1">
      <c r="A159" s="17"/>
      <c r="B159" s="11" t="s">
        <v>316</v>
      </c>
      <c r="J159" s="157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 s="4"/>
      <c r="AJ159" s="12">
        <v>0</v>
      </c>
      <c r="AK159" s="4"/>
      <c r="AL159" s="12">
        <v>0</v>
      </c>
      <c r="AM159" s="4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 s="4"/>
      <c r="BF159" s="12">
        <v>0</v>
      </c>
      <c r="BG159" s="4"/>
      <c r="BH159" s="12">
        <v>29358.5</v>
      </c>
      <c r="BI159" s="4"/>
      <c r="BJ159" s="12">
        <v>0</v>
      </c>
      <c r="BK159" s="4"/>
      <c r="BL159" s="4"/>
      <c r="BM159" s="12">
        <v>0</v>
      </c>
      <c r="BN159" s="4"/>
      <c r="BO159" s="12">
        <v>0</v>
      </c>
      <c r="BP159" s="12"/>
      <c r="BQ159" s="6">
        <f t="shared" si="28"/>
        <v>514961.68</v>
      </c>
      <c r="BR159" s="80"/>
      <c r="BS159" s="12">
        <v>0</v>
      </c>
      <c r="BT159" s="4"/>
      <c r="BU159" s="6">
        <f t="shared" si="29"/>
        <v>0</v>
      </c>
      <c r="BV159" s="12"/>
      <c r="BW159" s="6">
        <f t="shared" si="30"/>
        <v>514961.68</v>
      </c>
      <c r="BX159" s="12"/>
      <c r="BY159" s="6">
        <f t="shared" si="31"/>
        <v>-514961.68</v>
      </c>
      <c r="BZ159" s="12"/>
    </row>
    <row r="160" spans="1:78" s="11" customFormat="1">
      <c r="A160" s="17"/>
      <c r="B160" s="11" t="s">
        <v>121</v>
      </c>
      <c r="J160" s="157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 s="4"/>
      <c r="AJ160" s="12">
        <v>0</v>
      </c>
      <c r="AK160" s="4"/>
      <c r="AL160" s="12">
        <v>20657.14</v>
      </c>
      <c r="AM160" s="4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 s="4"/>
      <c r="BF160" s="12">
        <f>17899.3+13668.55</f>
        <v>31567.85</v>
      </c>
      <c r="BG160" s="4"/>
      <c r="BH160" s="12">
        <f>1440+508.85+201.65+575+69.25</f>
        <v>2794.75</v>
      </c>
      <c r="BI160" s="4"/>
      <c r="BJ160" s="12">
        <f>123+2781+68</f>
        <v>2972</v>
      </c>
      <c r="BK160" s="4"/>
      <c r="BL160" s="4"/>
      <c r="BM160" s="12">
        <f>750+91726</f>
        <v>92476</v>
      </c>
      <c r="BN160" s="4"/>
      <c r="BO160" s="12">
        <v>0</v>
      </c>
      <c r="BP160" s="12"/>
      <c r="BQ160" s="6">
        <f t="shared" si="28"/>
        <v>517026.56999999995</v>
      </c>
      <c r="BR160" s="80"/>
      <c r="BS160" s="12">
        <v>0</v>
      </c>
      <c r="BT160" s="4"/>
      <c r="BU160" s="6">
        <f t="shared" si="29"/>
        <v>0</v>
      </c>
      <c r="BV160" s="12"/>
      <c r="BW160" s="6">
        <f t="shared" si="30"/>
        <v>517026.56999999995</v>
      </c>
      <c r="BX160" s="12"/>
      <c r="BY160" s="6">
        <f t="shared" si="31"/>
        <v>-382433.56999999995</v>
      </c>
      <c r="BZ160" s="12"/>
    </row>
    <row r="161" spans="1:127" s="11" customFormat="1">
      <c r="A161" s="17"/>
      <c r="B161" s="11" t="s">
        <v>330</v>
      </c>
      <c r="J161" s="157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"/>
      <c r="AJ161" s="12"/>
      <c r="AK161" s="4"/>
      <c r="AL161" s="12"/>
      <c r="AM161" s="4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 s="4"/>
      <c r="BF161" s="12"/>
      <c r="BG161" s="4"/>
      <c r="BH161" s="12"/>
      <c r="BI161" s="4"/>
      <c r="BJ161" s="12"/>
      <c r="BK161" s="4"/>
      <c r="BL161" s="4"/>
      <c r="BM161" s="12"/>
      <c r="BN161" s="4"/>
      <c r="BO161" s="12"/>
      <c r="BP161" s="12"/>
      <c r="BQ161" s="6">
        <f t="shared" si="28"/>
        <v>191012.89</v>
      </c>
      <c r="BR161" s="80"/>
      <c r="BS161" s="12">
        <v>0</v>
      </c>
      <c r="BT161" s="4"/>
      <c r="BU161" s="6">
        <f t="shared" si="29"/>
        <v>0</v>
      </c>
      <c r="BV161" s="12"/>
      <c r="BW161" s="6">
        <f t="shared" si="30"/>
        <v>191012.89</v>
      </c>
      <c r="BX161" s="12"/>
      <c r="BY161" s="6">
        <f t="shared" si="31"/>
        <v>-191012.89</v>
      </c>
      <c r="BZ161" s="12"/>
    </row>
    <row r="162" spans="1:127" s="11" customFormat="1">
      <c r="A162" s="17"/>
      <c r="B162" s="11" t="s">
        <v>278</v>
      </c>
      <c r="J162" s="157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 s="4"/>
      <c r="AJ162" s="12">
        <v>29848.78</v>
      </c>
      <c r="AK162" s="4"/>
      <c r="AL162" s="12"/>
      <c r="AM162" s="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4"/>
      <c r="BF162" s="12"/>
      <c r="BG162" s="4"/>
      <c r="BH162" s="12"/>
      <c r="BI162" s="4"/>
      <c r="BJ162" s="12"/>
      <c r="BK162" s="4"/>
      <c r="BL162" s="4"/>
      <c r="BM162" s="12"/>
      <c r="BN162" s="4"/>
      <c r="BO162" s="12"/>
      <c r="BP162" s="12"/>
      <c r="BQ162" s="6">
        <f t="shared" si="28"/>
        <v>207059.02000000002</v>
      </c>
      <c r="BR162" s="80"/>
      <c r="BS162" s="12">
        <v>207059</v>
      </c>
      <c r="BT162" s="4"/>
      <c r="BU162" s="6">
        <f t="shared" si="29"/>
        <v>0</v>
      </c>
      <c r="BV162" s="12"/>
      <c r="BW162" s="6">
        <f t="shared" si="30"/>
        <v>207059.02000000002</v>
      </c>
      <c r="BX162" s="12"/>
      <c r="BY162" s="6">
        <f t="shared" si="31"/>
        <v>-207059.02000000002</v>
      </c>
      <c r="BZ162" s="12"/>
    </row>
    <row r="163" spans="1:127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2">SUM(R157:R162)</f>
        <v>214593</v>
      </c>
      <c r="S163" s="102">
        <f t="shared" si="32"/>
        <v>0</v>
      </c>
      <c r="T163" s="102">
        <f t="shared" si="32"/>
        <v>0</v>
      </c>
      <c r="U163" s="102">
        <f t="shared" si="32"/>
        <v>0</v>
      </c>
      <c r="V163" s="102">
        <f t="shared" si="32"/>
        <v>1236</v>
      </c>
      <c r="W163" s="102">
        <f t="shared" si="32"/>
        <v>0</v>
      </c>
      <c r="X163" s="102">
        <f t="shared" si="32"/>
        <v>79109</v>
      </c>
      <c r="Y163" s="102">
        <f t="shared" si="32"/>
        <v>0</v>
      </c>
      <c r="Z163" s="102">
        <f t="shared" si="32"/>
        <v>26820</v>
      </c>
      <c r="AA163" s="102">
        <f t="shared" si="32"/>
        <v>0</v>
      </c>
      <c r="AB163" s="102">
        <f t="shared" si="32"/>
        <v>19500</v>
      </c>
      <c r="AC163" s="102">
        <f t="shared" si="32"/>
        <v>0</v>
      </c>
      <c r="AD163" s="102">
        <f t="shared" si="32"/>
        <v>11792</v>
      </c>
      <c r="AE163" s="102"/>
      <c r="AF163" s="102">
        <f>SUM(AF157:AF162)</f>
        <v>216727.63</v>
      </c>
      <c r="AG163" s="102"/>
      <c r="AH163" s="102">
        <f t="shared" ref="AH163:BQ163" si="33">SUM(AH157:AH162)</f>
        <v>64367.82</v>
      </c>
      <c r="AI163" s="4"/>
      <c r="AJ163" s="102">
        <f t="shared" si="33"/>
        <v>33741.49</v>
      </c>
      <c r="AK163" s="4"/>
      <c r="AL163" s="102">
        <f t="shared" si="33"/>
        <v>33591.29</v>
      </c>
      <c r="AM163" s="4"/>
      <c r="AN163" s="102">
        <f t="shared" si="33"/>
        <v>47824.939999999995</v>
      </c>
      <c r="AO163" s="102">
        <f t="shared" si="33"/>
        <v>0</v>
      </c>
      <c r="AP163" s="102">
        <f t="shared" si="33"/>
        <v>131162.31</v>
      </c>
      <c r="AQ163" s="102">
        <f t="shared" si="33"/>
        <v>0</v>
      </c>
      <c r="AR163" s="102">
        <f t="shared" si="33"/>
        <v>154225.1</v>
      </c>
      <c r="AS163" s="102">
        <f t="shared" si="33"/>
        <v>0</v>
      </c>
      <c r="AT163" s="102">
        <f t="shared" si="33"/>
        <v>51068.499999999993</v>
      </c>
      <c r="AU163" s="102">
        <f t="shared" si="33"/>
        <v>0</v>
      </c>
      <c r="AV163" s="102">
        <f t="shared" si="33"/>
        <v>61370.14</v>
      </c>
      <c r="AW163" s="102">
        <f t="shared" si="33"/>
        <v>0</v>
      </c>
      <c r="AX163" s="102">
        <f t="shared" si="33"/>
        <v>73751.409999999989</v>
      </c>
      <c r="AY163" s="102">
        <f t="shared" si="33"/>
        <v>0</v>
      </c>
      <c r="AZ163" s="102">
        <f t="shared" si="33"/>
        <v>101690.25</v>
      </c>
      <c r="BA163" s="102">
        <f t="shared" si="33"/>
        <v>0</v>
      </c>
      <c r="BB163" s="102">
        <f t="shared" si="33"/>
        <v>25242.39</v>
      </c>
      <c r="BC163" s="102"/>
      <c r="BD163" s="102">
        <f t="shared" si="33"/>
        <v>238773.54</v>
      </c>
      <c r="BE163" s="4"/>
      <c r="BF163" s="102">
        <f t="shared" si="33"/>
        <v>31567.85</v>
      </c>
      <c r="BG163" s="4"/>
      <c r="BH163" s="102">
        <f t="shared" si="33"/>
        <v>32153.25</v>
      </c>
      <c r="BI163" s="4"/>
      <c r="BJ163" s="102">
        <f t="shared" si="33"/>
        <v>2972</v>
      </c>
      <c r="BK163" s="4"/>
      <c r="BL163" s="4"/>
      <c r="BM163" s="102">
        <f t="shared" si="33"/>
        <v>92476</v>
      </c>
      <c r="BN163" s="4"/>
      <c r="BO163" s="102">
        <f t="shared" si="33"/>
        <v>0</v>
      </c>
      <c r="BP163" s="102"/>
      <c r="BQ163" s="102">
        <f t="shared" si="33"/>
        <v>1531162.9100000001</v>
      </c>
      <c r="BR163" s="102"/>
      <c r="BS163" s="102">
        <f t="shared" ref="BS163:BY163" si="34">SUM(BS157:BS162)</f>
        <v>194663</v>
      </c>
      <c r="BT163" s="4"/>
      <c r="BU163" s="102">
        <f t="shared" si="34"/>
        <v>0</v>
      </c>
      <c r="BV163" s="102">
        <f t="shared" si="34"/>
        <v>0</v>
      </c>
      <c r="BW163" s="102">
        <f t="shared" si="34"/>
        <v>1531162.9100000001</v>
      </c>
      <c r="BX163" s="102">
        <f t="shared" si="34"/>
        <v>0</v>
      </c>
      <c r="BY163" s="102">
        <f t="shared" si="34"/>
        <v>-1316569.9099999999</v>
      </c>
      <c r="BZ163" s="9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</row>
    <row r="164" spans="1:127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4"/>
      <c r="AJ164" s="10"/>
      <c r="AK164" s="4"/>
      <c r="AL164" s="10"/>
      <c r="AM164" s="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"/>
      <c r="BF164" s="10"/>
      <c r="BG164" s="4"/>
      <c r="BH164" s="10"/>
      <c r="BI164" s="4"/>
      <c r="BJ164" s="10"/>
      <c r="BK164" s="4"/>
      <c r="BL164" s="4"/>
      <c r="BM164" s="10"/>
      <c r="BN164" s="4"/>
      <c r="BO164" s="10"/>
      <c r="BP164" s="10"/>
      <c r="BQ164" s="10"/>
      <c r="BR164" s="10"/>
      <c r="BS164" s="10"/>
      <c r="BT164" s="4"/>
      <c r="BU164" s="10"/>
      <c r="BV164" s="9"/>
      <c r="BW164" s="10"/>
      <c r="BX164" s="9"/>
      <c r="BY164" s="10"/>
      <c r="BZ164" s="9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</row>
    <row r="165" spans="1:127">
      <c r="A165" s="58" t="s">
        <v>35</v>
      </c>
      <c r="B165" s="11"/>
      <c r="E165" s="4"/>
      <c r="G165" s="4"/>
      <c r="I165" s="4"/>
      <c r="L165" s="138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 s="4"/>
      <c r="AO165" s="12"/>
      <c r="AQ165" s="12"/>
      <c r="AS165" s="12"/>
      <c r="BJ165" s="6"/>
      <c r="BM165" s="6"/>
      <c r="BO165" s="6"/>
      <c r="BP165" s="6"/>
      <c r="BS165" s="6"/>
      <c r="BZ165" s="12"/>
    </row>
    <row r="166" spans="1:127" s="11" customFormat="1">
      <c r="A166" s="17"/>
      <c r="B166" s="11" t="s">
        <v>37</v>
      </c>
      <c r="J166" s="157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 s="4"/>
      <c r="AJ166" s="12">
        <v>0</v>
      </c>
      <c r="AK166" s="4"/>
      <c r="AL166" s="12">
        <v>0</v>
      </c>
      <c r="AM166" s="4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 s="4"/>
      <c r="BF166" s="12">
        <v>0</v>
      </c>
      <c r="BG166" s="4"/>
      <c r="BH166" s="12">
        <v>0</v>
      </c>
      <c r="BI166" s="4"/>
      <c r="BJ166" s="12">
        <v>0</v>
      </c>
      <c r="BK166" s="4"/>
      <c r="BL166" s="4"/>
      <c r="BM166" s="12">
        <v>0</v>
      </c>
      <c r="BN166" s="4"/>
      <c r="BO166" s="12">
        <v>0</v>
      </c>
      <c r="BP166" s="12"/>
      <c r="BQ166" s="6">
        <f>SUM(T166:BP166)</f>
        <v>605</v>
      </c>
      <c r="BR166" s="12"/>
      <c r="BS166" s="12">
        <v>0</v>
      </c>
      <c r="BT166" s="4"/>
      <c r="BU166" s="6">
        <v>0</v>
      </c>
      <c r="BV166" s="12"/>
      <c r="BW166" s="6">
        <f>+BQ166+BU166</f>
        <v>605</v>
      </c>
      <c r="BX166" s="12"/>
      <c r="BY166" s="6">
        <f>+R166-BW166</f>
        <v>6146</v>
      </c>
      <c r="BZ166" s="12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</row>
    <row r="167" spans="1:127" s="11" customFormat="1">
      <c r="A167" s="17"/>
      <c r="B167" s="11" t="s">
        <v>338</v>
      </c>
      <c r="J167" s="157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4"/>
      <c r="AJ167" s="12"/>
      <c r="AK167" s="4"/>
      <c r="AL167" s="12"/>
      <c r="AM167" s="4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4"/>
      <c r="BF167" s="12"/>
      <c r="BG167" s="4"/>
      <c r="BH167" s="12"/>
      <c r="BI167" s="4"/>
      <c r="BJ167" s="12"/>
      <c r="BK167" s="4"/>
      <c r="BL167" s="4"/>
      <c r="BM167" s="12"/>
      <c r="BN167" s="4"/>
      <c r="BO167" s="12"/>
      <c r="BP167" s="12"/>
      <c r="BQ167" s="6">
        <f>SUM(T167:BP167)</f>
        <v>301672.13</v>
      </c>
      <c r="BR167" s="12"/>
      <c r="BS167" s="12">
        <v>0</v>
      </c>
      <c r="BT167" s="4"/>
      <c r="BU167" s="6">
        <f>IF(+R167-BQ167+BS167&gt;0,R167-BQ167+BS167,0)</f>
        <v>0</v>
      </c>
      <c r="BV167" s="12"/>
      <c r="BW167" s="6">
        <f>+BQ167+BU167</f>
        <v>301672.13</v>
      </c>
      <c r="BX167" s="12"/>
      <c r="BY167" s="6">
        <f>+R167-BW167</f>
        <v>-301672.13</v>
      </c>
      <c r="BZ167" s="12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</row>
    <row r="168" spans="1:127" s="11" customFormat="1">
      <c r="A168" s="17"/>
      <c r="B168" s="11" t="s">
        <v>121</v>
      </c>
      <c r="J168" s="157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 s="4"/>
      <c r="AJ168" s="12">
        <v>0</v>
      </c>
      <c r="AK168" s="4"/>
      <c r="AL168" s="12">
        <v>75</v>
      </c>
      <c r="AM168" s="4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 s="4"/>
      <c r="BF168" s="12">
        <v>0</v>
      </c>
      <c r="BG168" s="4"/>
      <c r="BH168" s="12">
        <v>0</v>
      </c>
      <c r="BI168" s="4"/>
      <c r="BJ168" s="12">
        <v>0</v>
      </c>
      <c r="BK168" s="4"/>
      <c r="BL168" s="4"/>
      <c r="BM168" s="12">
        <v>0</v>
      </c>
      <c r="BN168" s="4"/>
      <c r="BO168" s="12">
        <v>0</v>
      </c>
      <c r="BP168" s="12"/>
      <c r="BQ168" s="6">
        <f>SUM(T168:BP168)</f>
        <v>306911.61</v>
      </c>
      <c r="BR168" s="12"/>
      <c r="BS168" s="12">
        <v>0</v>
      </c>
      <c r="BT168" s="4"/>
      <c r="BU168" s="6">
        <f>IF(+R168-BQ168+BS168&gt;0,R168-BQ168+BS168,0)</f>
        <v>0</v>
      </c>
      <c r="BV168" s="12"/>
      <c r="BW168" s="6">
        <f>BU168+BS168+BQ168</f>
        <v>306911.61</v>
      </c>
      <c r="BX168" s="12"/>
      <c r="BY168" s="6">
        <f>+R168-BW168</f>
        <v>-56911.609999999986</v>
      </c>
      <c r="BZ168" s="12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</row>
    <row r="169" spans="1:127" s="11" customFormat="1">
      <c r="A169" s="17"/>
      <c r="J169" s="157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"/>
      <c r="AJ169" s="12"/>
      <c r="AK169" s="4"/>
      <c r="AL169" s="12"/>
      <c r="AM169" s="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4"/>
      <c r="BF169" s="12"/>
      <c r="BG169" s="4"/>
      <c r="BH169" s="12"/>
      <c r="BI169" s="4"/>
      <c r="BJ169" s="12"/>
      <c r="BK169" s="4"/>
      <c r="BL169" s="4"/>
      <c r="BM169" s="12"/>
      <c r="BN169" s="4"/>
      <c r="BO169" s="12"/>
      <c r="BP169" s="12"/>
      <c r="BQ169" s="6">
        <f>SUM(T169:BP169)</f>
        <v>0</v>
      </c>
      <c r="BR169" s="12"/>
      <c r="BS169" s="12">
        <v>0</v>
      </c>
      <c r="BT169" s="4"/>
      <c r="BU169" s="6">
        <f>IF(+R169-BQ169+BS169&gt;0,R169-BQ169+BS169,0)</f>
        <v>0</v>
      </c>
      <c r="BV169" s="12"/>
      <c r="BW169" s="6">
        <f>+BQ169+BU169</f>
        <v>0</v>
      </c>
      <c r="BX169" s="12"/>
      <c r="BY169" s="6">
        <f>+R169-BW169</f>
        <v>0</v>
      </c>
      <c r="BZ169" s="12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</row>
    <row r="170" spans="1:127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 s="4"/>
      <c r="AJ170" s="102">
        <f>SUM(AJ166:AJ169)</f>
        <v>0</v>
      </c>
      <c r="AK170" s="4"/>
      <c r="AL170" s="102">
        <f>SUM(AL166:AL169)</f>
        <v>75</v>
      </c>
      <c r="AM170" s="4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 s="4"/>
      <c r="BF170" s="102">
        <f>SUM(BF166:BF169)</f>
        <v>0</v>
      </c>
      <c r="BG170" s="4"/>
      <c r="BH170" s="102">
        <f>SUM(BH166:BH169)</f>
        <v>0</v>
      </c>
      <c r="BI170" s="4"/>
      <c r="BJ170" s="102">
        <f>SUM(BJ166:BJ169)</f>
        <v>0</v>
      </c>
      <c r="BK170" s="4"/>
      <c r="BL170" s="4"/>
      <c r="BM170" s="102">
        <f>SUM(BM166:BM169)</f>
        <v>0</v>
      </c>
      <c r="BN170" s="4"/>
      <c r="BO170" s="102">
        <f>SUM(BO166:BO169)</f>
        <v>0</v>
      </c>
      <c r="BP170" s="102"/>
      <c r="BQ170" s="102">
        <f>SUM(BQ166:BQ169)</f>
        <v>609188.74</v>
      </c>
      <c r="BR170" s="102"/>
      <c r="BS170" s="102">
        <f>SUM(BS166:BS169)</f>
        <v>0</v>
      </c>
      <c r="BT170" s="4"/>
      <c r="BU170" s="102">
        <f>SUM(BU166:BU169)</f>
        <v>0</v>
      </c>
      <c r="BV170" s="9"/>
      <c r="BW170" s="102">
        <f>SUM(BW166:BW169)</f>
        <v>609188.74</v>
      </c>
      <c r="BX170" s="9"/>
      <c r="BY170" s="102">
        <f>SUM(BY166:BY169)</f>
        <v>-352437.74</v>
      </c>
      <c r="BZ170" s="9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</row>
    <row r="171" spans="1:127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4"/>
      <c r="AJ171" s="10"/>
      <c r="AK171" s="4"/>
      <c r="AL171" s="10"/>
      <c r="AM171" s="4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4"/>
      <c r="BF171" s="10"/>
      <c r="BG171" s="4"/>
      <c r="BH171" s="10"/>
      <c r="BI171" s="4"/>
      <c r="BJ171" s="10"/>
      <c r="BK171" s="4"/>
      <c r="BL171" s="4"/>
      <c r="BM171" s="10"/>
      <c r="BN171" s="4"/>
      <c r="BO171" s="10"/>
      <c r="BP171" s="10"/>
      <c r="BQ171" s="10"/>
      <c r="BR171" s="10"/>
      <c r="BS171" s="10"/>
      <c r="BT171" s="4"/>
      <c r="BU171" s="10"/>
      <c r="BV171" s="9"/>
      <c r="BW171" s="10"/>
      <c r="BX171" s="9"/>
      <c r="BY171" s="10"/>
      <c r="BZ171" s="9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</row>
    <row r="172" spans="1:127" s="31" customFormat="1">
      <c r="A172" s="58" t="s">
        <v>249</v>
      </c>
      <c r="J172" s="156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 s="4"/>
      <c r="AJ172" s="10">
        <f>[1]Wilton!$K$40</f>
        <v>463711.37538870639</v>
      </c>
      <c r="AK172" s="4"/>
      <c r="AL172" s="10">
        <f>[1]Wilton!$L$40</f>
        <v>505639.68570277008</v>
      </c>
      <c r="AM172" s="4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 s="4"/>
      <c r="BF172" s="10">
        <v>0</v>
      </c>
      <c r="BG172" s="4"/>
      <c r="BH172" s="10">
        <v>0</v>
      </c>
      <c r="BI172" s="4"/>
      <c r="BJ172" s="10">
        <v>0</v>
      </c>
      <c r="BK172" s="4"/>
      <c r="BL172" s="4"/>
      <c r="BM172" s="10">
        <v>0</v>
      </c>
      <c r="BN172" s="4"/>
      <c r="BO172" s="10">
        <v>0</v>
      </c>
      <c r="BP172" s="10"/>
      <c r="BQ172" s="9">
        <f>SUM(T172:BP172)</f>
        <v>11016842.20535869</v>
      </c>
      <c r="BR172" s="10"/>
      <c r="BS172" s="10"/>
      <c r="BT172" s="4"/>
      <c r="BU172" s="6">
        <v>0</v>
      </c>
      <c r="BV172" s="10"/>
      <c r="BW172" s="9">
        <f>+BQ172+BU172</f>
        <v>11016842.20535869</v>
      </c>
      <c r="BX172" s="10"/>
      <c r="BY172" s="9">
        <f>+R172-BW172</f>
        <v>1791281.7946413103</v>
      </c>
      <c r="BZ172" s="10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</row>
    <row r="173" spans="1:127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4"/>
      <c r="AJ173" s="10"/>
      <c r="AK173" s="4"/>
      <c r="AL173" s="10"/>
      <c r="AM173" s="4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4"/>
      <c r="BF173" s="10"/>
      <c r="BG173" s="4"/>
      <c r="BH173" s="10"/>
      <c r="BI173" s="4"/>
      <c r="BJ173" s="10"/>
      <c r="BK173" s="4"/>
      <c r="BL173" s="4"/>
      <c r="BM173" s="10"/>
      <c r="BN173" s="4"/>
      <c r="BO173" s="10"/>
      <c r="BP173" s="10"/>
      <c r="BQ173" s="10"/>
      <c r="BR173" s="10"/>
      <c r="BS173" s="10"/>
      <c r="BT173" s="4"/>
      <c r="BU173" s="10"/>
      <c r="BV173" s="9"/>
      <c r="BW173" s="10"/>
      <c r="BX173" s="9"/>
      <c r="BY173" s="10"/>
      <c r="BZ173" s="9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</row>
    <row r="174" spans="1:127" s="105" customFormat="1">
      <c r="A174" s="63" t="s">
        <v>248</v>
      </c>
      <c r="B174" s="54"/>
      <c r="J174" s="155"/>
      <c r="L174" s="142"/>
      <c r="M174" s="13"/>
      <c r="N174" s="120"/>
      <c r="O174" s="13"/>
      <c r="P174" s="120"/>
      <c r="Q174" s="13"/>
      <c r="R174" s="120">
        <f t="shared" ref="R174:BA174" si="35">R172+R163+R154+R152+R150+R144+R140+R132+R125+R123+R121+R244+R117+R170+R142</f>
        <v>24972135</v>
      </c>
      <c r="S174" s="120">
        <f t="shared" si="35"/>
        <v>0</v>
      </c>
      <c r="T174" s="120">
        <f t="shared" si="35"/>
        <v>340000</v>
      </c>
      <c r="U174" s="120">
        <f t="shared" si="35"/>
        <v>0</v>
      </c>
      <c r="V174" s="120">
        <f t="shared" si="35"/>
        <v>47646</v>
      </c>
      <c r="W174" s="120">
        <f t="shared" si="35"/>
        <v>0</v>
      </c>
      <c r="X174" s="120">
        <f t="shared" si="35"/>
        <v>218493</v>
      </c>
      <c r="Y174" s="120">
        <f t="shared" si="35"/>
        <v>0</v>
      </c>
      <c r="Z174" s="120">
        <f t="shared" si="35"/>
        <v>282259</v>
      </c>
      <c r="AA174" s="120">
        <f t="shared" si="35"/>
        <v>0</v>
      </c>
      <c r="AB174" s="120">
        <f t="shared" si="35"/>
        <v>1722017</v>
      </c>
      <c r="AC174" s="120">
        <f t="shared" si="35"/>
        <v>0</v>
      </c>
      <c r="AD174" s="120">
        <f t="shared" si="35"/>
        <v>534669.83000000007</v>
      </c>
      <c r="AE174" s="120">
        <f t="shared" si="35"/>
        <v>0</v>
      </c>
      <c r="AF174" s="120">
        <f t="shared" si="35"/>
        <v>622375.14085416659</v>
      </c>
      <c r="AG174" s="120">
        <f t="shared" si="35"/>
        <v>0</v>
      </c>
      <c r="AH174" s="120">
        <f t="shared" si="35"/>
        <v>1381148.8641268488</v>
      </c>
      <c r="AI174" s="120">
        <f t="shared" si="35"/>
        <v>0</v>
      </c>
      <c r="AJ174" s="120">
        <f t="shared" si="35"/>
        <v>515549.77538870636</v>
      </c>
      <c r="AK174" s="120">
        <f t="shared" si="35"/>
        <v>0</v>
      </c>
      <c r="AL174" s="120">
        <f t="shared" si="35"/>
        <v>551052.15570277011</v>
      </c>
      <c r="AM174" s="120">
        <f t="shared" si="35"/>
        <v>0</v>
      </c>
      <c r="AN174" s="120">
        <f t="shared" si="35"/>
        <v>693677.65</v>
      </c>
      <c r="AO174" s="120">
        <f t="shared" si="35"/>
        <v>0</v>
      </c>
      <c r="AP174" s="120">
        <f t="shared" si="35"/>
        <v>997479.58387704659</v>
      </c>
      <c r="AQ174" s="120">
        <f t="shared" si="35"/>
        <v>0</v>
      </c>
      <c r="AR174" s="120">
        <f t="shared" si="35"/>
        <v>1810970.3252952693</v>
      </c>
      <c r="AS174" s="120">
        <f t="shared" si="35"/>
        <v>0</v>
      </c>
      <c r="AT174" s="120">
        <f t="shared" si="35"/>
        <v>1294710.1259045072</v>
      </c>
      <c r="AU174" s="120">
        <f t="shared" si="35"/>
        <v>0</v>
      </c>
      <c r="AV174" s="120">
        <f t="shared" si="35"/>
        <v>1582025.6787712125</v>
      </c>
      <c r="AW174" s="120">
        <f t="shared" si="35"/>
        <v>0</v>
      </c>
      <c r="AX174" s="120">
        <f t="shared" si="35"/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 s="4"/>
      <c r="BF174" s="120">
        <f>BF172+BF163+BF154+BF152+BF150+BF144+BF140+BF132+BF125+BF123+BF121+BF244+BF117+BF170+BF142</f>
        <v>373521.64999999997</v>
      </c>
      <c r="BG174" s="4"/>
      <c r="BH174" s="120">
        <f>BH172+BH163+BH154+BH152+BH150+BH144+BH140+BH132+BH125+BH123+BH121+BH244+BH117+BH170+BH142</f>
        <v>401728.88999999996</v>
      </c>
      <c r="BI174" s="4"/>
      <c r="BJ174" s="120">
        <f>BJ172+BJ163+BJ154+BJ152+BJ150+BJ144+BJ140+BJ132+BJ125+BJ123+BJ121+BJ244+BJ117+BJ170+BJ142</f>
        <v>4787407</v>
      </c>
      <c r="BK174" s="4"/>
      <c r="BL174" s="4"/>
      <c r="BM174" s="120">
        <f>BM172+BM163+BM154+BM152+BM150+BM144+BM140+BM132+BM125+BM123+BM121+BM244+BM117+BM170+BM142</f>
        <v>245540</v>
      </c>
      <c r="BN174" s="4"/>
      <c r="BO174" s="120">
        <f>BO172+BO163+BO154+BO152+BO150+BO144+BO140+BO132+BO125+BO123+BO121+BO244+BO117+BO170+BO142</f>
        <v>817894</v>
      </c>
      <c r="BP174" s="120"/>
      <c r="BQ174" s="120">
        <f>BQ172+BQ163+BQ154+BQ152+BQ150+BQ144+BQ140+BQ132+BQ125+BQ123+BQ121+BQ117+BQ170+BQ142</f>
        <v>30797431.255358692</v>
      </c>
      <c r="BR174" s="120"/>
      <c r="BS174" s="120">
        <f>BS172+BS163+BS154+BS152+BS150+BS144+BS140+BS132+BS125+BS123+BS121+BS244+BS117+BS170+BS142</f>
        <v>7504358</v>
      </c>
      <c r="BT174" s="4"/>
      <c r="BU174" s="120">
        <f>BU117+BU121+BU123+BU125+BU132+BU140+BU142+BU144+BU150+BU152+BU154+BU163+BU170+BU172</f>
        <v>1240506.3600000001</v>
      </c>
      <c r="BV174" s="120">
        <f>BV172+BV163+BV154+BV152+BV150+BV144+BV140+BV132+BV125+BV123+BV121+BV244+BV117+BV170+BV142</f>
        <v>0</v>
      </c>
      <c r="BW174" s="120">
        <f>BW117+BW121+BW123+BW125+BW132+BW140+BW142+BW144+BW150+BW152+BW154+BW163+BW170+BW172</f>
        <v>32037937.615358688</v>
      </c>
      <c r="BX174" s="120">
        <f>BX172+BX163+BX154+BX152+BX150+BX144+BX140+BX132+BX125+BX123+BX121+BX244+BX117+BX170+BX142</f>
        <v>0</v>
      </c>
      <c r="BY174" s="120">
        <f>BY117+BY121+BY123+BY125+BY132+BY140+BY142+BY144+BY150+BY152+BY154+BY163+BY170+BY172</f>
        <v>-7065802.6153586879</v>
      </c>
      <c r="BZ174" s="120">
        <f>BZ172+BZ163+BZ154+BZ152+BZ150+BZ144+BZ140+BZ132+BZ125+BZ123+BZ121+BZ244+BZ117+BZ170</f>
        <v>0</v>
      </c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</row>
    <row r="175" spans="1:127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4"/>
      <c r="AJ175" s="10"/>
      <c r="AK175" s="4"/>
      <c r="AL175" s="10"/>
      <c r="AM175" s="4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4"/>
      <c r="BF175" s="10"/>
      <c r="BG175" s="4"/>
      <c r="BH175" s="10"/>
      <c r="BI175" s="4"/>
      <c r="BJ175" s="10"/>
      <c r="BK175" s="4"/>
      <c r="BL175" s="4"/>
      <c r="BM175" s="10"/>
      <c r="BN175" s="4"/>
      <c r="BO175" s="10"/>
      <c r="BP175" s="10"/>
      <c r="BQ175" s="10"/>
      <c r="BR175" s="10"/>
      <c r="BS175" s="10"/>
      <c r="BT175" s="4"/>
      <c r="BU175" s="10"/>
      <c r="BV175" s="9"/>
      <c r="BW175" s="10"/>
      <c r="BX175" s="9"/>
      <c r="BY175" s="10"/>
      <c r="BZ175" s="9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</row>
    <row r="176" spans="1:127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 s="4"/>
      <c r="AJ176" s="9"/>
      <c r="AK176" s="4"/>
      <c r="AL176" s="9"/>
      <c r="AM176" s="4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4"/>
      <c r="BF176" s="9"/>
      <c r="BG176" s="4"/>
      <c r="BH176" s="9"/>
      <c r="BI176" s="4"/>
      <c r="BJ176" s="9"/>
      <c r="BK176" s="4"/>
      <c r="BL176" s="4"/>
      <c r="BM176" s="9"/>
      <c r="BN176" s="4"/>
      <c r="BO176" s="9"/>
      <c r="BP176" s="9"/>
      <c r="BQ176" s="10">
        <f>SUM(T176:BM176)</f>
        <v>0</v>
      </c>
      <c r="BR176" s="10"/>
      <c r="BS176" s="9">
        <v>-4408072</v>
      </c>
      <c r="BT176" s="4"/>
      <c r="BU176" s="6">
        <f>IF(+R176-BQ176+BS176&gt;0,R176-BQ176+BS176,0)</f>
        <v>0</v>
      </c>
      <c r="BV176" s="9">
        <v>2030320</v>
      </c>
      <c r="BW176" s="9">
        <f>+BQ176+BU176</f>
        <v>0</v>
      </c>
      <c r="BX176" s="9">
        <v>2030320</v>
      </c>
      <c r="BY176" s="6">
        <f>+R176-BW176</f>
        <v>4408071.75</v>
      </c>
      <c r="BZ176" s="9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</row>
    <row r="177" spans="1:127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4"/>
      <c r="AJ177" s="10"/>
      <c r="AK177" s="4"/>
      <c r="AL177" s="10"/>
      <c r="AM177" s="4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4"/>
      <c r="BF177" s="10"/>
      <c r="BG177" s="4"/>
      <c r="BH177" s="10"/>
      <c r="BI177" s="4"/>
      <c r="BJ177" s="10"/>
      <c r="BK177" s="4"/>
      <c r="BL177" s="4"/>
      <c r="BM177" s="10"/>
      <c r="BN177" s="4"/>
      <c r="BO177" s="10"/>
      <c r="BP177" s="10"/>
      <c r="BQ177" s="10"/>
      <c r="BR177" s="10"/>
      <c r="BS177" s="10"/>
      <c r="BT177" s="4"/>
      <c r="BU177" s="10"/>
      <c r="BV177" s="9"/>
      <c r="BW177" s="10"/>
      <c r="BX177" s="9"/>
      <c r="BY177" s="10"/>
      <c r="BZ177" s="9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</row>
    <row r="178" spans="1:127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4"/>
      <c r="AJ178" s="10"/>
      <c r="AK178" s="4"/>
      <c r="AL178" s="10"/>
      <c r="AM178" s="4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4"/>
      <c r="BF178" s="10"/>
      <c r="BG178" s="4"/>
      <c r="BH178" s="10"/>
      <c r="BI178" s="4"/>
      <c r="BJ178" s="10"/>
      <c r="BK178" s="4"/>
      <c r="BL178" s="4"/>
      <c r="BM178" s="10"/>
      <c r="BN178" s="4"/>
      <c r="BO178" s="10"/>
      <c r="BP178" s="10"/>
      <c r="BQ178" s="10"/>
      <c r="BR178" s="10"/>
      <c r="BS178" s="10"/>
      <c r="BT178" s="4"/>
      <c r="BU178" s="10"/>
      <c r="BV178" s="9"/>
      <c r="BW178" s="10"/>
      <c r="BX178" s="9"/>
      <c r="BY178" s="10"/>
      <c r="BZ178" s="9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</row>
    <row r="179" spans="1:127" s="166" customFormat="1">
      <c r="A179" s="165" t="s">
        <v>252</v>
      </c>
      <c r="J179" s="167"/>
      <c r="L179" s="168"/>
      <c r="M179" s="169"/>
      <c r="N179" s="169"/>
      <c r="O179" s="169"/>
      <c r="P179" s="169"/>
      <c r="Q179" s="169"/>
      <c r="R179" s="164">
        <f t="shared" ref="R179:AD179" si="36">R33+R99+R89+R108+R174+R176</f>
        <v>239675467.75</v>
      </c>
      <c r="S179" s="164">
        <f t="shared" si="36"/>
        <v>0</v>
      </c>
      <c r="T179" s="164">
        <f t="shared" si="36"/>
        <v>7140000</v>
      </c>
      <c r="U179" s="164">
        <f t="shared" si="36"/>
        <v>0</v>
      </c>
      <c r="V179" s="164">
        <f t="shared" si="36"/>
        <v>1297646</v>
      </c>
      <c r="W179" s="164">
        <f t="shared" si="36"/>
        <v>0</v>
      </c>
      <c r="X179" s="164">
        <f t="shared" si="36"/>
        <v>33103293</v>
      </c>
      <c r="Y179" s="164">
        <f t="shared" si="36"/>
        <v>0</v>
      </c>
      <c r="Z179" s="164">
        <f t="shared" si="36"/>
        <v>282259</v>
      </c>
      <c r="AA179" s="164">
        <f t="shared" si="36"/>
        <v>0</v>
      </c>
      <c r="AB179" s="164">
        <f t="shared" si="36"/>
        <v>1722017</v>
      </c>
      <c r="AC179" s="164">
        <f t="shared" si="36"/>
        <v>0</v>
      </c>
      <c r="AD179" s="164">
        <f t="shared" si="36"/>
        <v>18845196.829999998</v>
      </c>
      <c r="AE179" s="164"/>
      <c r="AF179" s="164">
        <f>AF33+AF99+AF89+AF108+AF174+AF176</f>
        <v>8237655.1408541668</v>
      </c>
      <c r="AG179" s="164"/>
      <c r="AH179" s="164">
        <f>AH33+AH99+AH89+AH108+AH174+AH176</f>
        <v>8871230.9374601822</v>
      </c>
      <c r="AI179" s="4"/>
      <c r="AJ179" s="164">
        <f>AJ33+AJ99+AJ89+AJ108+AJ174+AJ176</f>
        <v>6989210.1253887061</v>
      </c>
      <c r="AK179" s="4"/>
      <c r="AL179" s="164">
        <f>AL33+AL99+AL89+AL108+AL174+AL176</f>
        <v>7789231.1557027698</v>
      </c>
      <c r="AM179" s="4"/>
      <c r="AN179" s="164">
        <f t="shared" ref="AN179:BX179" si="37">AN33+AN99+AN89+AN108+AN174+AN176</f>
        <v>11600775.180000002</v>
      </c>
      <c r="AO179" s="164">
        <f t="shared" si="37"/>
        <v>0</v>
      </c>
      <c r="AP179" s="164">
        <f t="shared" si="37"/>
        <v>17679120.913877048</v>
      </c>
      <c r="AQ179" s="164">
        <f t="shared" si="37"/>
        <v>0</v>
      </c>
      <c r="AR179" s="164">
        <f t="shared" si="37"/>
        <v>39304333.695295267</v>
      </c>
      <c r="AS179" s="164">
        <f t="shared" si="37"/>
        <v>0</v>
      </c>
      <c r="AT179" s="164">
        <f t="shared" si="37"/>
        <v>2943898.2559045074</v>
      </c>
      <c r="AU179" s="164">
        <f t="shared" si="37"/>
        <v>0</v>
      </c>
      <c r="AV179" s="164">
        <f t="shared" si="37"/>
        <v>29327061.258771211</v>
      </c>
      <c r="AW179" s="164">
        <f t="shared" si="37"/>
        <v>0</v>
      </c>
      <c r="AX179" s="164">
        <f t="shared" si="37"/>
        <v>23466763.284490943</v>
      </c>
      <c r="AY179" s="164">
        <f t="shared" si="37"/>
        <v>0</v>
      </c>
      <c r="AZ179" s="164">
        <f t="shared" si="37"/>
        <v>22126233.530000001</v>
      </c>
      <c r="BA179" s="164">
        <f t="shared" si="37"/>
        <v>0</v>
      </c>
      <c r="BB179" s="164">
        <f t="shared" si="37"/>
        <v>8412940.5109472163</v>
      </c>
      <c r="BC179" s="164"/>
      <c r="BD179" s="164">
        <f t="shared" si="37"/>
        <v>11834996.67</v>
      </c>
      <c r="BE179" s="4"/>
      <c r="BF179" s="164">
        <f>BF33+BF99+BF89+BF108+BF174+BF176</f>
        <v>1350600.65</v>
      </c>
      <c r="BG179" s="4"/>
      <c r="BH179" s="164">
        <f>BH33+BH99+BH89+BH108+BH174+BH176</f>
        <v>401728.88999999996</v>
      </c>
      <c r="BI179" s="4"/>
      <c r="BJ179" s="164">
        <f>BJ33+BJ99+BJ89+BJ108+BJ174+BJ176</f>
        <v>5162294</v>
      </c>
      <c r="BK179" s="4"/>
      <c r="BL179" s="4"/>
      <c r="BM179" s="164">
        <f>BM33+BM99+BM89+BM108+BM174+BM176</f>
        <v>245540</v>
      </c>
      <c r="BN179" s="4"/>
      <c r="BO179" s="164">
        <f>BO33+BO99+BO89+BO108+BO174+BO176</f>
        <v>817894</v>
      </c>
      <c r="BP179" s="164"/>
      <c r="BQ179" s="164">
        <f t="shared" si="37"/>
        <v>268951920.02869201</v>
      </c>
      <c r="BR179" s="164"/>
      <c r="BS179" s="164">
        <f t="shared" si="37"/>
        <v>29487334</v>
      </c>
      <c r="BT179" s="4"/>
      <c r="BU179" s="164">
        <f>BU33+BU89+BU99+BU108+BU174</f>
        <v>-23579.639999999898</v>
      </c>
      <c r="BV179" s="164">
        <f t="shared" si="37"/>
        <v>2030320</v>
      </c>
      <c r="BW179" s="164">
        <f t="shared" si="37"/>
        <v>268928337.38869202</v>
      </c>
      <c r="BX179" s="164">
        <f t="shared" si="37"/>
        <v>2030320</v>
      </c>
      <c r="BY179" s="164">
        <f>BY33+BY89+BY99+BY108+BY176+BY174</f>
        <v>-29252869.638692018</v>
      </c>
      <c r="BZ179" s="169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</row>
    <row r="180" spans="1:127" s="21" customFormat="1" ht="13.5" customHeight="1">
      <c r="A180" s="58" t="s">
        <v>250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4"/>
      <c r="AJ180" s="10"/>
      <c r="AK180" s="4"/>
      <c r="AL180" s="10"/>
      <c r="AM180" s="4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4"/>
      <c r="BF180" s="10"/>
      <c r="BG180" s="4"/>
      <c r="BH180" s="10"/>
      <c r="BI180" s="4"/>
      <c r="BJ180" s="10"/>
      <c r="BK180" s="4"/>
      <c r="BL180" s="4"/>
      <c r="BM180" s="10"/>
      <c r="BN180" s="4"/>
      <c r="BO180" s="10"/>
      <c r="BP180" s="10"/>
      <c r="BQ180" s="10"/>
      <c r="BR180" s="10"/>
      <c r="BS180" s="10"/>
      <c r="BT180" s="4"/>
      <c r="BU180" s="10"/>
      <c r="BV180" s="9"/>
      <c r="BW180" s="10">
        <f>BW179/B4</f>
        <v>442316.34438929608</v>
      </c>
      <c r="BX180" s="9"/>
      <c r="BY180" s="10"/>
      <c r="BZ180" s="9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</row>
    <row r="181" spans="1:127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4"/>
      <c r="AJ181" s="10"/>
      <c r="AK181" s="4"/>
      <c r="AL181" s="10"/>
      <c r="AM181" s="4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4"/>
      <c r="BF181" s="10"/>
      <c r="BG181" s="4"/>
      <c r="BH181" s="10"/>
      <c r="BI181" s="4"/>
      <c r="BJ181" s="10"/>
      <c r="BK181" s="4"/>
      <c r="BL181" s="4"/>
      <c r="BM181" s="10"/>
      <c r="BN181" s="4"/>
      <c r="BO181" s="10"/>
      <c r="BP181" s="10"/>
      <c r="BS181" s="10"/>
      <c r="BT181" s="4"/>
      <c r="BU181" s="10"/>
      <c r="BV181" s="9"/>
      <c r="BW181" s="10"/>
      <c r="BX181" s="9"/>
      <c r="BY181" s="10"/>
      <c r="BZ181" s="9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</row>
    <row r="182" spans="1:127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5121888</v>
      </c>
      <c r="BK182" s="10">
        <f>BK179-BK117-BK125</f>
        <v>0</v>
      </c>
      <c r="BL182" s="10"/>
      <c r="BM182" s="10">
        <f>BM179-BM117-BM125</f>
        <v>225401</v>
      </c>
      <c r="BN182" s="10"/>
      <c r="BO182" s="10">
        <f>BO179-BO117-BO125</f>
        <v>817894</v>
      </c>
      <c r="BP182" s="10"/>
      <c r="BS182" s="10"/>
      <c r="BT182" s="4"/>
      <c r="BU182" s="10"/>
      <c r="BV182" s="9"/>
      <c r="BW182" s="10"/>
      <c r="BX182" s="9"/>
      <c r="BY182" s="10"/>
      <c r="BZ182" s="9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</row>
    <row r="183" spans="1:127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4"/>
      <c r="AJ183" s="10"/>
      <c r="AK183" s="4"/>
      <c r="AL183" s="10"/>
      <c r="AM183" s="4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4"/>
      <c r="BF183" s="10"/>
      <c r="BG183" s="4"/>
      <c r="BH183" s="10"/>
      <c r="BI183" s="4"/>
      <c r="BJ183" s="10"/>
      <c r="BK183" s="4"/>
      <c r="BL183" s="4"/>
      <c r="BM183" s="10" t="s">
        <v>437</v>
      </c>
      <c r="BN183" s="4"/>
      <c r="BO183" s="10" t="s">
        <v>437</v>
      </c>
      <c r="BP183" s="10"/>
      <c r="BQ183" s="10">
        <f>-BQ125</f>
        <v>-505702.68999999994</v>
      </c>
      <c r="BR183" s="10"/>
      <c r="BS183" s="10"/>
      <c r="BT183" s="4"/>
      <c r="BU183" s="10"/>
      <c r="BV183" s="9"/>
      <c r="BW183" s="10"/>
      <c r="BX183" s="9"/>
      <c r="BY183" s="10"/>
      <c r="BZ183" s="9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</row>
    <row r="184" spans="1:127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4"/>
      <c r="AJ184" s="10"/>
      <c r="AK184" s="4"/>
      <c r="AL184" s="10"/>
      <c r="AM184" s="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4"/>
      <c r="BF184" s="10"/>
      <c r="BG184" s="4"/>
      <c r="BH184" s="10"/>
      <c r="BI184" s="4"/>
      <c r="BJ184" s="10"/>
      <c r="BK184" s="4"/>
      <c r="BL184" s="4"/>
      <c r="BM184" s="10" t="s">
        <v>438</v>
      </c>
      <c r="BN184" s="4"/>
      <c r="BO184" s="10" t="s">
        <v>438</v>
      </c>
      <c r="BP184" s="10"/>
      <c r="BQ184" s="10">
        <f>-BQ117</f>
        <v>-912028.62000000011</v>
      </c>
      <c r="BR184" s="10"/>
      <c r="BS184" s="10"/>
      <c r="BT184" s="4"/>
      <c r="BU184" s="10"/>
      <c r="BV184" s="9"/>
      <c r="BW184" s="10"/>
      <c r="BX184" s="9"/>
      <c r="BY184" s="10"/>
      <c r="BZ184" s="9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</row>
    <row r="185" spans="1:127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4"/>
      <c r="AJ185" s="10"/>
      <c r="AK185" s="4"/>
      <c r="AL185" s="10"/>
      <c r="AM185" s="4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4"/>
      <c r="BF185" s="10"/>
      <c r="BG185" s="4"/>
      <c r="BH185" s="10"/>
      <c r="BI185" s="4"/>
      <c r="BJ185" s="10"/>
      <c r="BK185" s="4"/>
      <c r="BL185" s="4"/>
      <c r="BM185" s="10" t="s">
        <v>442</v>
      </c>
      <c r="BN185" s="4"/>
      <c r="BO185" s="10" t="s">
        <v>442</v>
      </c>
      <c r="BP185" s="10"/>
      <c r="BQ185" s="10">
        <v>0</v>
      </c>
      <c r="BR185" s="10"/>
      <c r="BS185" s="10"/>
      <c r="BT185" s="4"/>
      <c r="BU185" s="10"/>
      <c r="BV185" s="9"/>
      <c r="BW185" s="10"/>
      <c r="BX185" s="9"/>
      <c r="BY185" s="10"/>
      <c r="BZ185" s="9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</row>
    <row r="186" spans="1:127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4"/>
      <c r="AJ186" s="10"/>
      <c r="AK186" s="4"/>
      <c r="AL186" s="10"/>
      <c r="AM186" s="4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4"/>
      <c r="BF186" s="10"/>
      <c r="BG186" s="4"/>
      <c r="BH186" s="10"/>
      <c r="BI186" s="4"/>
      <c r="BK186" s="4"/>
      <c r="BL186" s="4"/>
      <c r="BM186" s="21" t="s">
        <v>439</v>
      </c>
      <c r="BN186" s="4"/>
      <c r="BO186" s="21" t="s">
        <v>439</v>
      </c>
      <c r="BQ186" s="10">
        <v>-426646</v>
      </c>
      <c r="BR186" s="10"/>
      <c r="BS186" s="10"/>
      <c r="BT186" s="4"/>
      <c r="BU186" s="10"/>
      <c r="BV186" s="9"/>
      <c r="BW186" s="10"/>
      <c r="BX186" s="9"/>
      <c r="BY186" s="10"/>
      <c r="BZ186" s="9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</row>
    <row r="187" spans="1:127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4"/>
      <c r="AJ187" s="10"/>
      <c r="AK187" s="4"/>
      <c r="AL187" s="10"/>
      <c r="AM187" s="4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4"/>
      <c r="BF187" s="10"/>
      <c r="BG187" s="4"/>
      <c r="BH187" s="10"/>
      <c r="BI187" s="4"/>
      <c r="BK187" s="4"/>
      <c r="BL187" s="4"/>
      <c r="BM187" s="21" t="s">
        <v>454</v>
      </c>
      <c r="BN187" s="4"/>
      <c r="BO187" s="21" t="s">
        <v>454</v>
      </c>
      <c r="BQ187" s="10">
        <v>0</v>
      </c>
      <c r="BR187" s="10"/>
      <c r="BS187" s="10"/>
      <c r="BT187" s="4"/>
      <c r="BU187" s="10"/>
      <c r="BV187" s="9"/>
      <c r="BW187" s="10"/>
      <c r="BX187" s="9"/>
      <c r="BY187" s="10"/>
      <c r="BZ187" s="9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</row>
    <row r="188" spans="1:127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4"/>
      <c r="AJ188" s="10"/>
      <c r="AK188" s="4"/>
      <c r="AL188" s="10"/>
      <c r="AM188" s="4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4"/>
      <c r="BF188" s="10"/>
      <c r="BG188" s="4"/>
      <c r="BH188" s="10"/>
      <c r="BI188" s="4"/>
      <c r="BJ188" s="10"/>
      <c r="BK188" s="4"/>
      <c r="BL188" s="4"/>
      <c r="BM188" s="10"/>
      <c r="BN188" s="4"/>
      <c r="BO188" s="10"/>
      <c r="BP188" s="10"/>
      <c r="BQ188" s="10">
        <f>SUM(BQ179:BQ187)</f>
        <v>267107542.718692</v>
      </c>
      <c r="BR188" s="10"/>
      <c r="BS188" s="10"/>
      <c r="BT188" s="4"/>
      <c r="BU188" s="10"/>
      <c r="BV188" s="9"/>
      <c r="BW188" s="10"/>
      <c r="BX188" s="9"/>
      <c r="BY188" s="10"/>
      <c r="BZ188" s="9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</row>
    <row r="189" spans="1:127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 s="4"/>
      <c r="AJ189" s="10"/>
      <c r="AK189" s="4"/>
      <c r="AL189" s="10"/>
      <c r="AM189" s="4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4"/>
      <c r="BF189" s="10"/>
      <c r="BG189" s="4"/>
      <c r="BH189" s="10"/>
      <c r="BI189" s="4"/>
      <c r="BJ189" s="10"/>
      <c r="BK189" s="4"/>
      <c r="BL189" s="4"/>
      <c r="BM189" s="10"/>
      <c r="BN189" s="4"/>
      <c r="BO189" s="10"/>
      <c r="BP189" s="10"/>
      <c r="BQ189" s="10"/>
      <c r="BR189" s="10"/>
      <c r="BS189" s="10"/>
      <c r="BT189" s="4"/>
      <c r="BU189" s="10"/>
      <c r="BV189" s="9"/>
      <c r="BW189" s="10"/>
      <c r="BX189" s="9"/>
      <c r="BY189" s="10"/>
      <c r="BZ189" s="9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</row>
    <row r="190" spans="1:127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4"/>
      <c r="AJ190" s="10"/>
      <c r="AK190" s="4"/>
      <c r="AL190" s="10"/>
      <c r="AM190" s="4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4"/>
      <c r="BF190" s="10"/>
      <c r="BG190" s="4"/>
      <c r="BH190" s="10"/>
      <c r="BI190" s="4"/>
      <c r="BJ190" s="10"/>
      <c r="BK190" s="4"/>
      <c r="BL190" s="4"/>
      <c r="BM190" s="10" t="s">
        <v>436</v>
      </c>
      <c r="BN190" s="4"/>
      <c r="BO190" s="10" t="s">
        <v>436</v>
      </c>
      <c r="BP190" s="10"/>
      <c r="BQ190" s="10">
        <f>267411123-1478</f>
        <v>267409645</v>
      </c>
      <c r="BR190" s="10"/>
      <c r="BS190" s="10"/>
      <c r="BT190" s="4"/>
      <c r="BU190" s="10"/>
      <c r="BV190" s="9"/>
      <c r="BW190" s="10"/>
      <c r="BX190" s="9"/>
      <c r="BY190" s="10"/>
      <c r="BZ190" s="9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</row>
    <row r="191" spans="1:127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4"/>
      <c r="AJ191" s="10"/>
      <c r="AK191" s="4"/>
      <c r="AL191" s="10"/>
      <c r="AM191" s="4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4"/>
      <c r="BF191" s="10"/>
      <c r="BG191" s="4"/>
      <c r="BH191" s="10"/>
      <c r="BI191" s="4"/>
      <c r="BJ191" s="10"/>
      <c r="BK191" s="4"/>
      <c r="BL191" s="4"/>
      <c r="BM191" s="10"/>
      <c r="BN191" s="4"/>
      <c r="BO191" s="10"/>
      <c r="BP191" s="10"/>
      <c r="BQ191" s="10">
        <f>BQ188-BQ190</f>
        <v>-302102.28130799532</v>
      </c>
      <c r="BR191" s="10"/>
      <c r="BS191" s="10"/>
      <c r="BT191" s="4"/>
      <c r="BU191" s="10"/>
      <c r="BV191" s="9"/>
      <c r="BW191" s="10"/>
      <c r="BX191" s="9"/>
      <c r="BY191" s="10"/>
      <c r="BZ191" s="9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</row>
    <row r="192" spans="1:127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4"/>
      <c r="AJ192" s="10"/>
      <c r="AK192" s="4"/>
      <c r="AL192" s="10"/>
      <c r="AM192" s="4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4"/>
      <c r="BF192" s="10"/>
      <c r="BG192" s="4"/>
      <c r="BH192" s="10"/>
      <c r="BI192" s="4"/>
      <c r="BJ192" s="10"/>
      <c r="BK192" s="4"/>
      <c r="BL192" s="4"/>
      <c r="BM192" s="10"/>
      <c r="BN192" s="4"/>
      <c r="BO192" s="10"/>
      <c r="BP192" s="10"/>
      <c r="BQ192" s="10"/>
      <c r="BR192" s="10"/>
      <c r="BS192" s="10"/>
      <c r="BT192" s="4"/>
      <c r="BU192" s="10"/>
      <c r="BV192" s="9"/>
      <c r="BW192" s="10"/>
      <c r="BX192" s="9"/>
      <c r="BY192" s="10"/>
      <c r="BZ192" s="9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</row>
    <row r="193" spans="1:127" s="21" customFormat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4"/>
      <c r="AJ193" s="10"/>
      <c r="AK193" s="4"/>
      <c r="AL193" s="10"/>
      <c r="AM193" s="4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4"/>
      <c r="BF193" s="10"/>
      <c r="BG193" s="4"/>
      <c r="BH193" s="10"/>
      <c r="BI193" s="4"/>
      <c r="BJ193" s="10"/>
      <c r="BK193" s="4"/>
      <c r="BL193" s="4"/>
      <c r="BM193" s="10"/>
      <c r="BN193" s="4"/>
      <c r="BO193" s="10"/>
      <c r="BP193" s="10"/>
      <c r="BQ193" s="10"/>
      <c r="BR193" s="10"/>
      <c r="BS193" s="10"/>
      <c r="BT193" s="4"/>
      <c r="BU193" s="10"/>
      <c r="BV193" s="9"/>
      <c r="BW193" s="10"/>
      <c r="BX193" s="9"/>
      <c r="BY193" s="10"/>
      <c r="BZ193" s="9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</row>
    <row r="194" spans="1:127" s="21" customFormat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4"/>
      <c r="AJ194" s="10"/>
      <c r="AK194" s="4"/>
      <c r="AL194" s="10"/>
      <c r="AM194" s="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4"/>
      <c r="BF194" s="10"/>
      <c r="BG194" s="4"/>
      <c r="BH194" s="10"/>
      <c r="BI194" s="4"/>
      <c r="BJ194" s="10"/>
      <c r="BK194" s="4"/>
      <c r="BL194" s="4"/>
      <c r="BM194" s="10"/>
      <c r="BN194" s="4"/>
      <c r="BO194" s="10"/>
      <c r="BP194" s="10"/>
      <c r="BQ194" s="10"/>
      <c r="BR194" s="10"/>
      <c r="BS194" s="10"/>
      <c r="BT194" s="4"/>
      <c r="BU194" s="10"/>
      <c r="BV194" s="9"/>
      <c r="BW194" s="10"/>
      <c r="BX194" s="9"/>
      <c r="BY194" s="10"/>
      <c r="BZ194" s="9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</row>
    <row r="195" spans="1:127" s="21" customFormat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4"/>
      <c r="AJ195" s="10"/>
      <c r="AK195" s="4"/>
      <c r="AL195" s="10"/>
      <c r="AM195" s="4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4"/>
      <c r="BF195" s="10"/>
      <c r="BG195" s="4"/>
      <c r="BH195" s="10"/>
      <c r="BI195" s="4"/>
      <c r="BJ195" s="10"/>
      <c r="BK195" s="4"/>
      <c r="BL195" s="4"/>
      <c r="BM195" s="10"/>
      <c r="BN195" s="4"/>
      <c r="BO195" s="10"/>
      <c r="BP195" s="10"/>
      <c r="BQ195" s="10"/>
      <c r="BR195" s="10"/>
      <c r="BS195" s="10"/>
      <c r="BT195" s="4"/>
      <c r="BU195" s="10"/>
      <c r="BV195" s="9"/>
      <c r="BW195" s="10"/>
      <c r="BX195" s="9"/>
      <c r="BY195" s="10"/>
      <c r="BZ195" s="9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</row>
    <row r="196" spans="1:127" s="21" customFormat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4"/>
      <c r="AJ196" s="10"/>
      <c r="AK196" s="4"/>
      <c r="AL196" s="10"/>
      <c r="AM196" s="4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4"/>
      <c r="BF196" s="10"/>
      <c r="BG196" s="4"/>
      <c r="BH196" s="10"/>
      <c r="BI196" s="4"/>
      <c r="BJ196" s="10"/>
      <c r="BK196" s="4"/>
      <c r="BL196" s="4"/>
      <c r="BM196" s="10"/>
      <c r="BN196" s="4"/>
      <c r="BO196" s="10"/>
      <c r="BP196" s="10"/>
      <c r="BQ196" s="10"/>
      <c r="BR196" s="10"/>
      <c r="BS196" s="10"/>
      <c r="BT196" s="4"/>
      <c r="BU196" s="10"/>
      <c r="BV196" s="9"/>
      <c r="BW196" s="10"/>
      <c r="BX196" s="9"/>
      <c r="BY196" s="10"/>
      <c r="BZ196" s="9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</row>
    <row r="197" spans="1:127" s="21" customFormat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4"/>
      <c r="AJ197" s="10"/>
      <c r="AK197" s="4"/>
      <c r="AL197" s="10"/>
      <c r="AM197" s="4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4"/>
      <c r="BF197" s="10"/>
      <c r="BG197" s="4"/>
      <c r="BH197" s="10"/>
      <c r="BI197" s="4"/>
      <c r="BJ197" s="10"/>
      <c r="BK197" s="4"/>
      <c r="BL197" s="4"/>
      <c r="BM197" s="10"/>
      <c r="BN197" s="4"/>
      <c r="BO197" s="10"/>
      <c r="BP197" s="10"/>
      <c r="BQ197" s="10"/>
      <c r="BR197" s="10"/>
      <c r="BS197" s="10"/>
      <c r="BT197" s="4"/>
      <c r="BU197" s="10"/>
      <c r="BV197" s="9"/>
      <c r="BW197" s="10"/>
      <c r="BX197" s="9"/>
      <c r="BY197" s="10"/>
      <c r="BZ197" s="9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</row>
    <row r="198" spans="1:127" s="21" customFormat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4"/>
      <c r="AJ198" s="10"/>
      <c r="AK198" s="4"/>
      <c r="AL198" s="10"/>
      <c r="AM198" s="4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4"/>
      <c r="BF198" s="10"/>
      <c r="BG198" s="4"/>
      <c r="BH198" s="10"/>
      <c r="BI198" s="4"/>
      <c r="BJ198" s="10"/>
      <c r="BK198" s="4"/>
      <c r="BL198" s="4"/>
      <c r="BM198" s="10"/>
      <c r="BN198" s="4"/>
      <c r="BO198" s="10"/>
      <c r="BP198" s="10"/>
      <c r="BQ198" s="10"/>
      <c r="BR198" s="10"/>
      <c r="BS198" s="10"/>
      <c r="BT198" s="4"/>
      <c r="BU198" s="10"/>
      <c r="BV198" s="9"/>
      <c r="BW198" s="10"/>
      <c r="BX198" s="9"/>
      <c r="BY198" s="10"/>
      <c r="BZ198" s="9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</row>
    <row r="199" spans="1:127" s="21" customFormat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4"/>
      <c r="AJ199" s="10"/>
      <c r="AK199" s="4"/>
      <c r="AL199" s="10"/>
      <c r="AM199" s="4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4"/>
      <c r="BF199" s="10"/>
      <c r="BG199" s="4"/>
      <c r="BH199" s="10"/>
      <c r="BI199" s="4"/>
      <c r="BJ199" s="10"/>
      <c r="BK199" s="4"/>
      <c r="BL199" s="4"/>
      <c r="BM199" s="10"/>
      <c r="BN199" s="4"/>
      <c r="BO199" s="10"/>
      <c r="BP199" s="10"/>
      <c r="BQ199" s="10"/>
      <c r="BR199" s="10"/>
      <c r="BS199" s="10"/>
      <c r="BT199" s="4"/>
      <c r="BU199" s="10"/>
      <c r="BV199" s="9"/>
      <c r="BW199" s="10"/>
      <c r="BX199" s="9"/>
      <c r="BY199" s="10"/>
      <c r="BZ199" s="9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</row>
    <row r="200" spans="1:127" s="21" customFormat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 s="4"/>
      <c r="AJ200" s="10"/>
      <c r="AK200" s="4"/>
      <c r="AL200" s="10"/>
      <c r="AM200" s="4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4"/>
      <c r="BF200" s="10"/>
      <c r="BG200" s="4"/>
      <c r="BH200" s="10"/>
      <c r="BI200" s="4"/>
      <c r="BJ200" s="10"/>
      <c r="BK200" s="4"/>
      <c r="BL200" s="4"/>
      <c r="BM200" s="10"/>
      <c r="BN200" s="4"/>
      <c r="BO200" s="10"/>
      <c r="BP200" s="10"/>
      <c r="BQ200" s="10"/>
      <c r="BR200" s="10"/>
      <c r="BS200" s="10"/>
      <c r="BT200" s="4"/>
      <c r="BU200" s="10"/>
      <c r="BV200" s="9"/>
      <c r="BW200" s="10"/>
      <c r="BX200" s="9"/>
      <c r="BY200" s="10"/>
      <c r="BZ200" s="9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</row>
    <row r="201" spans="1:127" s="21" customFormat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4"/>
      <c r="AJ201" s="10"/>
      <c r="AK201" s="4"/>
      <c r="AL201" s="10"/>
      <c r="AM201" s="4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4"/>
      <c r="BF201" s="10"/>
      <c r="BG201" s="4"/>
      <c r="BH201" s="10"/>
      <c r="BI201" s="4"/>
      <c r="BJ201" s="10"/>
      <c r="BK201" s="4"/>
      <c r="BL201" s="4"/>
      <c r="BM201" s="10"/>
      <c r="BN201" s="4"/>
      <c r="BO201" s="10"/>
      <c r="BP201" s="10"/>
      <c r="BQ201" s="10"/>
      <c r="BR201" s="10"/>
      <c r="BS201" s="10"/>
      <c r="BT201" s="4"/>
      <c r="BU201" s="10"/>
      <c r="BV201" s="9"/>
      <c r="BW201" s="10"/>
      <c r="BX201" s="9"/>
      <c r="BY201" s="10"/>
      <c r="BZ201" s="9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</row>
    <row r="202" spans="1:127" s="21" customFormat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4"/>
      <c r="AJ202" s="10"/>
      <c r="AK202" s="4"/>
      <c r="AL202" s="10"/>
      <c r="AM202" s="4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4"/>
      <c r="BF202" s="10"/>
      <c r="BG202" s="4"/>
      <c r="BH202" s="10"/>
      <c r="BI202" s="4"/>
      <c r="BJ202" s="10"/>
      <c r="BK202" s="4"/>
      <c r="BL202" s="4"/>
      <c r="BM202" s="10"/>
      <c r="BN202" s="4"/>
      <c r="BO202" s="10"/>
      <c r="BP202" s="10"/>
      <c r="BQ202" s="10"/>
      <c r="BR202" s="10"/>
      <c r="BS202" s="10"/>
      <c r="BT202" s="4"/>
      <c r="BU202" s="10"/>
      <c r="BV202" s="9"/>
      <c r="BW202" s="10"/>
      <c r="BX202" s="9"/>
      <c r="BY202" s="10"/>
      <c r="BZ202" s="9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</row>
    <row r="203" spans="1:127" s="21" customFormat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4"/>
      <c r="AJ203" s="10"/>
      <c r="AK203" s="4"/>
      <c r="AL203" s="10"/>
      <c r="AM203" s="4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4"/>
      <c r="BF203" s="10"/>
      <c r="BG203" s="4"/>
      <c r="BH203" s="10"/>
      <c r="BI203" s="4"/>
      <c r="BJ203" s="10"/>
      <c r="BK203" s="4"/>
      <c r="BL203" s="4"/>
      <c r="BM203" s="10"/>
      <c r="BN203" s="4"/>
      <c r="BO203" s="10"/>
      <c r="BP203" s="10"/>
      <c r="BQ203" s="10"/>
      <c r="BR203" s="10"/>
      <c r="BS203" s="10"/>
      <c r="BT203" s="4"/>
      <c r="BU203" s="10"/>
      <c r="BV203" s="9"/>
      <c r="BW203" s="10"/>
      <c r="BX203" s="9"/>
      <c r="BY203" s="10"/>
      <c r="BZ203" s="9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4"/>
      <c r="AJ204" s="10"/>
      <c r="AK204" s="4"/>
      <c r="AL204" s="10"/>
      <c r="AM204" s="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4"/>
      <c r="BF204" s="10"/>
      <c r="BG204" s="4"/>
      <c r="BH204" s="10"/>
      <c r="BI204" s="4"/>
      <c r="BJ204" s="10"/>
      <c r="BK204" s="4"/>
      <c r="BL204" s="4"/>
      <c r="BM204" s="10"/>
      <c r="BN204" s="4"/>
      <c r="BO204" s="10"/>
      <c r="BP204" s="10"/>
      <c r="BQ204" s="10"/>
      <c r="BR204" s="10"/>
      <c r="BS204" s="10"/>
      <c r="BT204" s="4"/>
      <c r="BU204" s="10"/>
      <c r="BV204" s="9"/>
      <c r="BW204" s="10"/>
      <c r="BX204" s="9"/>
      <c r="BY204" s="10"/>
      <c r="BZ204" s="9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</row>
    <row r="205" spans="1:127" s="21" customFormat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4"/>
      <c r="AJ205" s="10"/>
      <c r="AK205" s="4"/>
      <c r="AL205" s="10"/>
      <c r="AM205" s="4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4"/>
      <c r="BF205" s="10"/>
      <c r="BG205" s="4"/>
      <c r="BH205" s="10"/>
      <c r="BI205" s="4"/>
      <c r="BJ205" s="10"/>
      <c r="BK205" s="4"/>
      <c r="BL205" s="4"/>
      <c r="BM205" s="10"/>
      <c r="BN205" s="4"/>
      <c r="BO205" s="10"/>
      <c r="BP205" s="10"/>
      <c r="BQ205" s="10"/>
      <c r="BR205" s="10"/>
      <c r="BS205" s="10"/>
      <c r="BT205" s="4"/>
      <c r="BU205" s="10"/>
      <c r="BV205" s="9"/>
      <c r="BW205" s="10"/>
      <c r="BX205" s="9"/>
      <c r="BY205" s="10"/>
      <c r="BZ205" s="9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</row>
    <row r="206" spans="1:127" s="21" customFormat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4"/>
      <c r="AJ206" s="10"/>
      <c r="AK206" s="4"/>
      <c r="AL206" s="10"/>
      <c r="AM206" s="4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4"/>
      <c r="BF206" s="10"/>
      <c r="BG206" s="4"/>
      <c r="BH206" s="10"/>
      <c r="BI206" s="4"/>
      <c r="BJ206" s="10"/>
      <c r="BK206" s="4"/>
      <c r="BL206" s="4"/>
      <c r="BM206" s="10"/>
      <c r="BN206" s="4"/>
      <c r="BO206" s="10"/>
      <c r="BP206" s="10"/>
      <c r="BQ206" s="10"/>
      <c r="BR206" s="10"/>
      <c r="BS206" s="10"/>
      <c r="BT206" s="4"/>
      <c r="BU206" s="10"/>
      <c r="BV206" s="9"/>
      <c r="BW206" s="10"/>
      <c r="BX206" s="9"/>
      <c r="BY206" s="10"/>
      <c r="BZ206" s="9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</row>
    <row r="207" spans="1:127" s="21" customFormat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4"/>
      <c r="AJ207" s="10"/>
      <c r="AK207" s="4"/>
      <c r="AL207" s="10"/>
      <c r="AM207" s="4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"/>
      <c r="BF207" s="10"/>
      <c r="BG207" s="4"/>
      <c r="BH207" s="10"/>
      <c r="BI207" s="4"/>
      <c r="BJ207" s="10"/>
      <c r="BK207" s="4"/>
      <c r="BL207" s="4"/>
      <c r="BM207" s="10"/>
      <c r="BN207" s="4"/>
      <c r="BO207" s="10"/>
      <c r="BP207" s="10"/>
      <c r="BQ207" s="10"/>
      <c r="BR207" s="10"/>
      <c r="BS207" s="10"/>
      <c r="BT207" s="4"/>
      <c r="BU207" s="10"/>
      <c r="BV207" s="9"/>
      <c r="BW207" s="10"/>
      <c r="BX207" s="9"/>
      <c r="BY207" s="10"/>
      <c r="BZ207" s="9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</row>
    <row r="208" spans="1:127" s="21" customFormat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 s="4"/>
      <c r="AJ208" s="10"/>
      <c r="AK208" s="4"/>
      <c r="AL208" s="10"/>
      <c r="AM208" s="4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4"/>
      <c r="BF208" s="10"/>
      <c r="BG208" s="4"/>
      <c r="BH208" s="10"/>
      <c r="BI208" s="4"/>
      <c r="BJ208" s="10"/>
      <c r="BK208" s="4"/>
      <c r="BL208" s="4"/>
      <c r="BM208" s="10"/>
      <c r="BN208" s="4"/>
      <c r="BO208" s="10"/>
      <c r="BP208" s="10"/>
      <c r="BQ208" s="10"/>
      <c r="BR208" s="10"/>
      <c r="BS208" s="10"/>
      <c r="BT208" s="4"/>
      <c r="BU208" s="10"/>
      <c r="BV208" s="9"/>
      <c r="BW208" s="10"/>
      <c r="BX208" s="9"/>
      <c r="BY208" s="10"/>
      <c r="BZ208" s="9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</row>
    <row r="209" spans="1:127" s="21" customFormat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4"/>
      <c r="AJ209" s="10"/>
      <c r="AK209" s="4"/>
      <c r="AL209" s="10"/>
      <c r="AM209" s="4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4"/>
      <c r="BF209" s="10"/>
      <c r="BG209" s="4"/>
      <c r="BH209" s="10"/>
      <c r="BI209" s="4"/>
      <c r="BJ209" s="10"/>
      <c r="BK209" s="4"/>
      <c r="BL209" s="4"/>
      <c r="BM209" s="10"/>
      <c r="BN209" s="4"/>
      <c r="BO209" s="10"/>
      <c r="BP209" s="10"/>
      <c r="BQ209" s="10"/>
      <c r="BR209" s="10"/>
      <c r="BS209" s="10"/>
      <c r="BT209" s="4"/>
      <c r="BU209" s="10"/>
      <c r="BV209" s="9"/>
      <c r="BW209" s="10"/>
      <c r="BX209" s="9"/>
      <c r="BY209" s="10"/>
      <c r="BZ209" s="9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</row>
    <row r="210" spans="1:127" s="21" customFormat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4"/>
      <c r="AJ210" s="10"/>
      <c r="AK210" s="4"/>
      <c r="AL210" s="10"/>
      <c r="AM210" s="4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4"/>
      <c r="BF210" s="10"/>
      <c r="BG210" s="4"/>
      <c r="BH210" s="10"/>
      <c r="BI210" s="4"/>
      <c r="BJ210" s="10"/>
      <c r="BK210" s="4"/>
      <c r="BL210" s="4"/>
      <c r="BM210" s="10"/>
      <c r="BN210" s="4"/>
      <c r="BO210" s="10"/>
      <c r="BP210" s="10"/>
      <c r="BQ210" s="10"/>
      <c r="BR210" s="10"/>
      <c r="BS210" s="10"/>
      <c r="BT210" s="4"/>
      <c r="BU210" s="10"/>
      <c r="BV210" s="9"/>
      <c r="BW210" s="10"/>
      <c r="BX210" s="9"/>
      <c r="BY210" s="10"/>
      <c r="BZ210" s="9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</row>
    <row r="211" spans="1:127" s="21" customFormat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4"/>
      <c r="AJ211" s="10"/>
      <c r="AK211" s="4"/>
      <c r="AL211" s="10"/>
      <c r="AM211" s="4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4"/>
      <c r="BF211" s="10"/>
      <c r="BG211" s="4"/>
      <c r="BH211" s="10"/>
      <c r="BI211" s="4"/>
      <c r="BJ211" s="10"/>
      <c r="BK211" s="4"/>
      <c r="BL211" s="4"/>
      <c r="BM211" s="10"/>
      <c r="BN211" s="4"/>
      <c r="BO211" s="10"/>
      <c r="BP211" s="10"/>
      <c r="BQ211" s="10"/>
      <c r="BR211" s="10"/>
      <c r="BS211" s="10"/>
      <c r="BT211" s="4"/>
      <c r="BU211" s="10"/>
      <c r="BV211" s="9"/>
      <c r="BW211" s="10"/>
      <c r="BX211" s="9"/>
      <c r="BY211" s="10"/>
      <c r="BZ211" s="9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4"/>
      <c r="AJ212" s="10"/>
      <c r="AK212" s="4"/>
      <c r="AL212" s="10"/>
      <c r="AM212" s="4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4"/>
      <c r="BF212" s="10"/>
      <c r="BG212" s="4"/>
      <c r="BH212" s="10"/>
      <c r="BI212" s="4"/>
      <c r="BJ212" s="10"/>
      <c r="BK212" s="4"/>
      <c r="BL212" s="4"/>
      <c r="BM212" s="10"/>
      <c r="BN212" s="4"/>
      <c r="BO212" s="10"/>
      <c r="BP212" s="10"/>
      <c r="BQ212" s="10"/>
      <c r="BR212" s="10"/>
      <c r="BS212" s="10"/>
      <c r="BT212" s="4"/>
      <c r="BU212" s="10"/>
      <c r="BV212" s="9"/>
      <c r="BW212" s="10"/>
      <c r="BX212" s="9"/>
      <c r="BY212" s="10"/>
      <c r="BZ212" s="9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</row>
    <row r="213" spans="1:127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4"/>
      <c r="AJ213" s="10"/>
      <c r="AK213" s="4"/>
      <c r="AL213" s="10"/>
      <c r="AM213" s="4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4"/>
      <c r="BF213" s="10"/>
      <c r="BG213" s="4"/>
      <c r="BH213" s="10"/>
      <c r="BI213" s="4"/>
      <c r="BJ213" s="10"/>
      <c r="BK213" s="4"/>
      <c r="BL213" s="4"/>
      <c r="BM213" s="10"/>
      <c r="BN213" s="4"/>
      <c r="BO213" s="10"/>
      <c r="BP213" s="10"/>
      <c r="BQ213" s="10"/>
      <c r="BR213" s="10"/>
      <c r="BS213" s="10"/>
      <c r="BT213" s="4"/>
      <c r="BU213" s="10"/>
      <c r="BV213" s="9"/>
      <c r="BW213" s="10"/>
      <c r="BX213" s="9"/>
      <c r="BY213" s="10"/>
      <c r="BZ213" s="9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4"/>
      <c r="AJ214" s="10"/>
      <c r="AK214" s="4"/>
      <c r="AL214" s="10"/>
      <c r="AM214" s="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4"/>
      <c r="BF214" s="10"/>
      <c r="BG214" s="4"/>
      <c r="BH214" s="10"/>
      <c r="BI214" s="4"/>
      <c r="BJ214" s="10"/>
      <c r="BK214" s="4"/>
      <c r="BL214" s="4"/>
      <c r="BM214" s="10"/>
      <c r="BN214" s="4"/>
      <c r="BO214" s="10"/>
      <c r="BP214" s="10"/>
      <c r="BQ214" s="10"/>
      <c r="BR214" s="10"/>
      <c r="BS214" s="10"/>
      <c r="BT214" s="4"/>
      <c r="BU214" s="10"/>
      <c r="BV214" s="9"/>
      <c r="BW214" s="10"/>
      <c r="BX214" s="9"/>
      <c r="BY214" s="10"/>
      <c r="BZ214" s="9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</row>
    <row r="215" spans="1:127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4"/>
      <c r="AJ215" s="10"/>
      <c r="AK215" s="4"/>
      <c r="AL215" s="10"/>
      <c r="AM215" s="4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4"/>
      <c r="BF215" s="10"/>
      <c r="BG215" s="4"/>
      <c r="BH215" s="10"/>
      <c r="BI215" s="4"/>
      <c r="BJ215" s="10"/>
      <c r="BK215" s="4"/>
      <c r="BL215" s="4"/>
      <c r="BM215" s="10"/>
      <c r="BN215" s="4"/>
      <c r="BO215" s="10"/>
      <c r="BP215" s="10"/>
      <c r="BQ215" s="10"/>
      <c r="BR215" s="10"/>
      <c r="BS215" s="10"/>
      <c r="BT215" s="4"/>
      <c r="BU215" s="10"/>
      <c r="BV215" s="9"/>
      <c r="BW215" s="10"/>
      <c r="BX215" s="9"/>
      <c r="BY215" s="10"/>
      <c r="BZ215" s="9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</row>
    <row r="216" spans="1:127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 s="4"/>
      <c r="AJ216" s="10"/>
      <c r="AK216" s="4"/>
      <c r="AL216" s="10"/>
      <c r="AM216" s="4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4"/>
      <c r="BF216" s="10"/>
      <c r="BG216" s="4"/>
      <c r="BH216" s="10"/>
      <c r="BI216" s="4"/>
      <c r="BJ216" s="10"/>
      <c r="BK216" s="4"/>
      <c r="BL216" s="4"/>
      <c r="BM216" s="10"/>
      <c r="BN216" s="4"/>
      <c r="BO216" s="10"/>
      <c r="BP216" s="10"/>
      <c r="BQ216" s="10"/>
      <c r="BR216" s="10"/>
      <c r="BS216" s="10"/>
      <c r="BT216" s="4"/>
      <c r="BU216" s="10"/>
      <c r="BV216" s="9"/>
      <c r="BW216" s="10"/>
      <c r="BX216" s="9"/>
      <c r="BY216" s="10"/>
      <c r="BZ216" s="9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</row>
    <row r="217" spans="1:127" s="21" customFormat="1" hidden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4"/>
      <c r="AJ217" s="10"/>
      <c r="AK217" s="4"/>
      <c r="AL217" s="10"/>
      <c r="AM217" s="4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4"/>
      <c r="BF217" s="10"/>
      <c r="BG217" s="4"/>
      <c r="BH217" s="10"/>
      <c r="BI217" s="4"/>
      <c r="BJ217" s="10"/>
      <c r="BK217" s="4"/>
      <c r="BL217" s="4"/>
      <c r="BM217" s="10"/>
      <c r="BN217" s="4"/>
      <c r="BO217" s="10"/>
      <c r="BP217" s="10"/>
      <c r="BQ217" s="22">
        <v>166466044</v>
      </c>
      <c r="BR217" s="22"/>
      <c r="BS217" s="10"/>
      <c r="BT217" s="4"/>
      <c r="BU217" s="10"/>
      <c r="BV217" s="9"/>
      <c r="BW217" s="10"/>
      <c r="BX217" s="9"/>
      <c r="BY217" s="10"/>
      <c r="BZ217" s="9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4"/>
      <c r="AJ218" s="10"/>
      <c r="AK218" s="4"/>
      <c r="AL218" s="10"/>
      <c r="AM218" s="4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4"/>
      <c r="BF218" s="10"/>
      <c r="BG218" s="4"/>
      <c r="BH218" s="10"/>
      <c r="BI218" s="4"/>
      <c r="BJ218" s="10"/>
      <c r="BK218" s="4"/>
      <c r="BL218" s="4"/>
      <c r="BM218" s="10"/>
      <c r="BN218" s="4"/>
      <c r="BO218" s="10"/>
      <c r="BP218" s="10"/>
      <c r="BQ218" s="22">
        <f>93413104.03</f>
        <v>93413104.030000001</v>
      </c>
      <c r="BR218" s="22"/>
      <c r="BS218" s="10"/>
      <c r="BT218" s="4"/>
      <c r="BU218" s="10"/>
      <c r="BV218" s="9"/>
      <c r="BW218" s="10"/>
      <c r="BX218" s="9"/>
      <c r="BY218" s="10"/>
      <c r="BZ218" s="9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</row>
    <row r="219" spans="1:127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4"/>
      <c r="AJ219" s="10"/>
      <c r="AK219" s="4"/>
      <c r="AL219" s="10"/>
      <c r="AM219" s="4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4"/>
      <c r="BF219" s="10"/>
      <c r="BG219" s="4"/>
      <c r="BH219" s="10"/>
      <c r="BI219" s="4"/>
      <c r="BJ219" s="10"/>
      <c r="BK219" s="4"/>
      <c r="BL219" s="4"/>
      <c r="BM219" s="10"/>
      <c r="BN219" s="4"/>
      <c r="BO219" s="10"/>
      <c r="BP219" s="10"/>
      <c r="BQ219" s="22">
        <v>755906.13</v>
      </c>
      <c r="BR219" s="22"/>
      <c r="BS219" s="10"/>
      <c r="BT219" s="4"/>
      <c r="BU219" s="10"/>
      <c r="BV219" s="9"/>
      <c r="BW219" s="10"/>
      <c r="BX219" s="9"/>
      <c r="BY219" s="10"/>
      <c r="BZ219" s="9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</row>
    <row r="220" spans="1:127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4"/>
      <c r="AJ220" s="10"/>
      <c r="AK220" s="4"/>
      <c r="AL220" s="10"/>
      <c r="AM220" s="4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4"/>
      <c r="BF220" s="10"/>
      <c r="BG220" s="4"/>
      <c r="BH220" s="10"/>
      <c r="BI220" s="4"/>
      <c r="BJ220" s="10"/>
      <c r="BK220" s="4"/>
      <c r="BL220" s="4"/>
      <c r="BM220" s="10"/>
      <c r="BN220" s="4"/>
      <c r="BO220" s="10"/>
      <c r="BP220" s="10"/>
      <c r="BQ220" s="22">
        <v>-6077</v>
      </c>
      <c r="BR220" s="22"/>
      <c r="BS220" s="10"/>
      <c r="BT220" s="4"/>
      <c r="BU220" s="10"/>
      <c r="BV220" s="9"/>
      <c r="BW220" s="10"/>
      <c r="BX220" s="9"/>
      <c r="BY220" s="10"/>
      <c r="BZ220" s="9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</row>
    <row r="221" spans="1:127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4"/>
      <c r="AJ221" s="10"/>
      <c r="AK221" s="4"/>
      <c r="AL221" s="10"/>
      <c r="AM221" s="4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4"/>
      <c r="BF221" s="10"/>
      <c r="BG221" s="4"/>
      <c r="BH221" s="10"/>
      <c r="BI221" s="4"/>
      <c r="BJ221" s="10"/>
      <c r="BK221" s="4"/>
      <c r="BL221" s="4"/>
      <c r="BM221" s="10"/>
      <c r="BN221" s="4"/>
      <c r="BO221" s="10"/>
      <c r="BP221" s="10"/>
      <c r="BQ221" s="22">
        <v>80000</v>
      </c>
      <c r="BR221" s="22"/>
      <c r="BS221" s="10"/>
      <c r="BT221" s="4"/>
      <c r="BU221" s="10"/>
      <c r="BV221" s="9"/>
      <c r="BW221" s="10"/>
      <c r="BX221" s="9"/>
      <c r="BY221" s="10"/>
      <c r="BZ221" s="9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4"/>
      <c r="AJ222" s="10"/>
      <c r="AK222" s="4"/>
      <c r="AL222" s="10"/>
      <c r="AM222" s="4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4"/>
      <c r="BF222" s="10"/>
      <c r="BG222" s="4"/>
      <c r="BH222" s="10"/>
      <c r="BI222" s="4"/>
      <c r="BJ222" s="10"/>
      <c r="BK222" s="4"/>
      <c r="BL222" s="4"/>
      <c r="BM222" s="10"/>
      <c r="BN222" s="4"/>
      <c r="BO222" s="10"/>
      <c r="BP222" s="10"/>
      <c r="BQ222" s="22">
        <v>100</v>
      </c>
      <c r="BR222" s="22"/>
      <c r="BS222" s="10"/>
      <c r="BT222" s="4"/>
      <c r="BU222" s="10"/>
      <c r="BV222" s="9"/>
      <c r="BW222" s="10"/>
      <c r="BX222" s="9"/>
      <c r="BY222" s="10"/>
      <c r="BZ222" s="9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 s="4"/>
      <c r="AJ223" s="10"/>
      <c r="AK223" s="4"/>
      <c r="AL223" s="10"/>
      <c r="AM223" s="4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4"/>
      <c r="BF223" s="10"/>
      <c r="BG223" s="4"/>
      <c r="BH223" s="10"/>
      <c r="BI223" s="4"/>
      <c r="BJ223" s="10"/>
      <c r="BK223" s="4"/>
      <c r="BL223" s="4"/>
      <c r="BM223" s="10"/>
      <c r="BN223" s="4"/>
      <c r="BO223" s="10"/>
      <c r="BP223" s="10"/>
      <c r="BQ223" s="22">
        <v>278090.26</v>
      </c>
      <c r="BR223" s="22"/>
      <c r="BS223" s="10"/>
      <c r="BT223" s="4"/>
      <c r="BU223" s="10"/>
      <c r="BV223" s="9"/>
      <c r="BW223" s="10"/>
      <c r="BX223" s="9"/>
      <c r="BY223" s="10"/>
      <c r="BZ223" s="9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 s="4"/>
      <c r="AJ224" s="10"/>
      <c r="AK224" s="4"/>
      <c r="AL224" s="10"/>
      <c r="AM224" s="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4"/>
      <c r="BF224" s="10"/>
      <c r="BG224" s="4"/>
      <c r="BH224" s="10"/>
      <c r="BI224" s="4"/>
      <c r="BJ224" s="10"/>
      <c r="BK224" s="4"/>
      <c r="BL224" s="4"/>
      <c r="BM224" s="10"/>
      <c r="BN224" s="4"/>
      <c r="BO224" s="10"/>
      <c r="BP224" s="10"/>
      <c r="BQ224" s="22">
        <f>BD148</f>
        <v>-127637.5</v>
      </c>
      <c r="BR224" s="22"/>
      <c r="BS224" s="10"/>
      <c r="BT224" s="4"/>
      <c r="BU224" s="10"/>
      <c r="BV224" s="9"/>
      <c r="BW224" s="10"/>
      <c r="BX224" s="9"/>
      <c r="BY224" s="10"/>
      <c r="BZ224" s="9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4"/>
      <c r="AJ225" s="10"/>
      <c r="AK225" s="4"/>
      <c r="AL225" s="10"/>
      <c r="AM225" s="4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4"/>
      <c r="BF225" s="10"/>
      <c r="BG225" s="4"/>
      <c r="BH225" s="10"/>
      <c r="BI225" s="4"/>
      <c r="BJ225" s="10"/>
      <c r="BK225" s="4"/>
      <c r="BL225" s="4"/>
      <c r="BM225" s="10"/>
      <c r="BN225" s="4"/>
      <c r="BO225" s="10"/>
      <c r="BP225" s="10"/>
      <c r="BQ225" s="22">
        <f>SUM(BQ217:BQ224)</f>
        <v>260859529.91999999</v>
      </c>
      <c r="BR225" s="22"/>
      <c r="BS225" s="10"/>
      <c r="BT225" s="4"/>
      <c r="BU225" s="10"/>
      <c r="BV225" s="9"/>
      <c r="BW225" s="10"/>
      <c r="BX225" s="9"/>
      <c r="BY225" s="10"/>
      <c r="BZ225" s="9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4"/>
      <c r="AJ226" s="10"/>
      <c r="AK226" s="4"/>
      <c r="AL226" s="10"/>
      <c r="AM226" s="4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4"/>
      <c r="BF226" s="10"/>
      <c r="BG226" s="4"/>
      <c r="BH226" s="10"/>
      <c r="BI226" s="4"/>
      <c r="BJ226" s="10"/>
      <c r="BK226" s="4"/>
      <c r="BL226" s="4"/>
      <c r="BM226" s="10"/>
      <c r="BN226" s="4"/>
      <c r="BO226" s="10"/>
      <c r="BP226" s="10"/>
      <c r="BQ226" s="22"/>
      <c r="BR226" s="22"/>
      <c r="BS226" s="10"/>
      <c r="BT226" s="4"/>
      <c r="BU226" s="10"/>
      <c r="BV226" s="9"/>
      <c r="BW226" s="10"/>
      <c r="BX226" s="9"/>
      <c r="BY226" s="10"/>
      <c r="BZ226" s="9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4"/>
      <c r="AJ227" s="10"/>
      <c r="AK227" s="4"/>
      <c r="AL227" s="10"/>
      <c r="AM227" s="4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4"/>
      <c r="BF227" s="10"/>
      <c r="BG227" s="4"/>
      <c r="BH227" s="10"/>
      <c r="BI227" s="4"/>
      <c r="BJ227" s="10"/>
      <c r="BK227" s="4"/>
      <c r="BL227" s="4"/>
      <c r="BM227" s="10"/>
      <c r="BN227" s="4"/>
      <c r="BO227" s="10"/>
      <c r="BP227" s="10"/>
      <c r="BQ227" s="22">
        <f>BQ247-BQ225</f>
        <v>8017860.6186920106</v>
      </c>
      <c r="BR227" s="22"/>
      <c r="BS227" s="10"/>
      <c r="BT227" s="4"/>
      <c r="BU227" s="10"/>
      <c r="BV227" s="9"/>
      <c r="BW227" s="10"/>
      <c r="BX227" s="9"/>
      <c r="BY227" s="10"/>
      <c r="BZ227" s="9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4"/>
      <c r="AJ228" s="10"/>
      <c r="AK228" s="4"/>
      <c r="AL228" s="10"/>
      <c r="AM228" s="4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4"/>
      <c r="BF228" s="10"/>
      <c r="BG228" s="4"/>
      <c r="BH228" s="10"/>
      <c r="BI228" s="4"/>
      <c r="BJ228" s="10"/>
      <c r="BK228" s="4"/>
      <c r="BL228" s="4"/>
      <c r="BM228" s="10"/>
      <c r="BN228" s="4"/>
      <c r="BO228" s="10"/>
      <c r="BP228" s="10"/>
      <c r="BQ228" s="22"/>
      <c r="BR228" s="22"/>
      <c r="BS228" s="10"/>
      <c r="BT228" s="4"/>
      <c r="BU228" s="10"/>
      <c r="BV228" s="9"/>
      <c r="BW228" s="10"/>
      <c r="BX228" s="9"/>
      <c r="BY228" s="10"/>
      <c r="BZ228" s="9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4"/>
      <c r="AJ229" s="10"/>
      <c r="AK229" s="4"/>
      <c r="AL229" s="10"/>
      <c r="AM229" s="4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4"/>
      <c r="BF229" s="10"/>
      <c r="BG229" s="4"/>
      <c r="BH229" s="10"/>
      <c r="BI229" s="4"/>
      <c r="BJ229" s="10"/>
      <c r="BK229" s="4"/>
      <c r="BL229" s="4"/>
      <c r="BM229" s="10"/>
      <c r="BN229" s="4"/>
      <c r="BO229" s="10"/>
      <c r="BP229" s="10"/>
      <c r="BQ229" s="10"/>
      <c r="BR229" s="10"/>
      <c r="BS229" s="10"/>
      <c r="BT229" s="4"/>
      <c r="BU229" s="10"/>
      <c r="BV229" s="9"/>
      <c r="BW229" s="10"/>
      <c r="BX229" s="9"/>
      <c r="BY229" s="10"/>
      <c r="BZ229" s="9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4"/>
      <c r="AJ230" s="10"/>
      <c r="AK230" s="4"/>
      <c r="AL230" s="10"/>
      <c r="AM230" s="4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4"/>
      <c r="BF230" s="10"/>
      <c r="BG230" s="4"/>
      <c r="BH230" s="10"/>
      <c r="BI230" s="4"/>
      <c r="BJ230" s="10"/>
      <c r="BK230" s="4"/>
      <c r="BL230" s="4"/>
      <c r="BM230" s="10"/>
      <c r="BN230" s="4"/>
      <c r="BO230" s="10"/>
      <c r="BP230" s="10"/>
      <c r="BQ230" s="10"/>
      <c r="BR230" s="10"/>
      <c r="BS230" s="10"/>
      <c r="BT230" s="4"/>
      <c r="BU230" s="10"/>
      <c r="BV230" s="9"/>
      <c r="BW230" s="10"/>
      <c r="BX230" s="9"/>
      <c r="BY230" s="10"/>
      <c r="BZ230" s="9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</row>
    <row r="231" spans="1:127" s="21" customFormat="1" hidden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4"/>
      <c r="AJ231" s="10"/>
      <c r="AK231" s="4"/>
      <c r="AL231" s="10"/>
      <c r="AM231" s="4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4"/>
      <c r="BF231" s="10"/>
      <c r="BG231" s="4"/>
      <c r="BH231" s="10"/>
      <c r="BI231" s="4"/>
      <c r="BJ231" s="10"/>
      <c r="BK231" s="4"/>
      <c r="BL231" s="4"/>
      <c r="BM231" s="10"/>
      <c r="BN231" s="4"/>
      <c r="BO231" s="10"/>
      <c r="BP231" s="10"/>
      <c r="BQ231" s="10"/>
      <c r="BR231" s="10"/>
      <c r="BS231" s="10"/>
      <c r="BT231" s="4"/>
      <c r="BU231" s="10"/>
      <c r="BV231" s="9"/>
      <c r="BW231" s="10"/>
      <c r="BX231" s="9"/>
      <c r="BY231" s="10"/>
      <c r="BZ231" s="9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</row>
    <row r="232" spans="1:127" s="21" customFormat="1" hidden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4"/>
      <c r="AJ232" s="10"/>
      <c r="AK232" s="4"/>
      <c r="AL232" s="10"/>
      <c r="AM232" s="4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4"/>
      <c r="BF232" s="10"/>
      <c r="BG232" s="4"/>
      <c r="BH232" s="10"/>
      <c r="BI232" s="4"/>
      <c r="BJ232" s="10"/>
      <c r="BK232" s="4"/>
      <c r="BL232" s="4"/>
      <c r="BM232" s="10"/>
      <c r="BN232" s="4"/>
      <c r="BO232" s="10"/>
      <c r="BP232" s="10"/>
      <c r="BQ232" s="10"/>
      <c r="BR232" s="10"/>
      <c r="BS232" s="10"/>
      <c r="BT232" s="4"/>
      <c r="BU232" s="10"/>
      <c r="BV232" s="9"/>
      <c r="BW232" s="10"/>
      <c r="BX232" s="9"/>
      <c r="BY232" s="10"/>
      <c r="BZ232" s="9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</row>
    <row r="233" spans="1:127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4"/>
      <c r="AJ233" s="10"/>
      <c r="AK233" s="4"/>
      <c r="AL233" s="10"/>
      <c r="AM233" s="4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4"/>
      <c r="BF233" s="10"/>
      <c r="BG233" s="4"/>
      <c r="BH233" s="10"/>
      <c r="BI233" s="4"/>
      <c r="BJ233" s="10"/>
      <c r="BK233" s="4"/>
      <c r="BL233" s="4"/>
      <c r="BM233" s="10"/>
      <c r="BN233" s="4"/>
      <c r="BO233" s="10"/>
      <c r="BP233" s="10"/>
      <c r="BQ233" s="10"/>
      <c r="BR233" s="10"/>
      <c r="BS233" s="10"/>
      <c r="BT233" s="4"/>
      <c r="BU233" s="10"/>
      <c r="BV233" s="9"/>
      <c r="BW233" s="10"/>
      <c r="BX233" s="9"/>
      <c r="BY233" s="10"/>
      <c r="BZ233" s="9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</row>
    <row r="234" spans="1:127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 s="4"/>
      <c r="AJ234" s="10"/>
      <c r="AK234" s="4"/>
      <c r="AL234" s="10"/>
      <c r="AM234" s="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4"/>
      <c r="BF234" s="10"/>
      <c r="BG234" s="4"/>
      <c r="BH234" s="10"/>
      <c r="BI234" s="4"/>
      <c r="BJ234" s="10"/>
      <c r="BK234" s="4"/>
      <c r="BL234" s="4"/>
      <c r="BM234" s="10"/>
      <c r="BN234" s="4"/>
      <c r="BO234" s="10"/>
      <c r="BP234" s="10"/>
      <c r="BQ234" s="10"/>
      <c r="BR234" s="10"/>
      <c r="BS234" s="10"/>
      <c r="BT234" s="4"/>
      <c r="BU234" s="10"/>
      <c r="BV234" s="9"/>
      <c r="BW234" s="10"/>
      <c r="BX234" s="9"/>
      <c r="BY234" s="10"/>
      <c r="BZ234" s="9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</row>
    <row r="235" spans="1:127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 s="4"/>
      <c r="AJ235" s="10"/>
      <c r="AK235" s="4"/>
      <c r="AL235" s="10"/>
      <c r="AM235" s="4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4"/>
      <c r="BF235" s="10"/>
      <c r="BG235" s="4"/>
      <c r="BH235" s="10"/>
      <c r="BI235" s="4"/>
      <c r="BJ235" s="10"/>
      <c r="BK235" s="4"/>
      <c r="BL235" s="4"/>
      <c r="BM235" s="10"/>
      <c r="BN235" s="4"/>
      <c r="BO235" s="10"/>
      <c r="BP235" s="10"/>
      <c r="BQ235" s="10"/>
      <c r="BR235" s="10"/>
      <c r="BS235" s="10"/>
      <c r="BT235" s="4"/>
      <c r="BU235" s="10"/>
      <c r="BV235" s="9"/>
      <c r="BW235" s="10"/>
      <c r="BX235" s="9"/>
      <c r="BY235" s="10"/>
      <c r="BZ235" s="9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</row>
    <row r="236" spans="1:127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4"/>
      <c r="AJ236" s="10"/>
      <c r="AK236" s="4"/>
      <c r="AL236" s="10"/>
      <c r="AM236" s="4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4"/>
      <c r="BF236" s="10"/>
      <c r="BG236" s="4"/>
      <c r="BH236" s="10"/>
      <c r="BI236" s="4"/>
      <c r="BJ236" s="10"/>
      <c r="BK236" s="4"/>
      <c r="BL236" s="4"/>
      <c r="BM236" s="10"/>
      <c r="BN236" s="4"/>
      <c r="BO236" s="10"/>
      <c r="BP236" s="10"/>
      <c r="BQ236" s="10"/>
      <c r="BR236" s="10"/>
      <c r="BS236" s="10"/>
      <c r="BT236" s="4"/>
      <c r="BU236" s="10"/>
      <c r="BV236" s="9"/>
      <c r="BW236" s="10"/>
      <c r="BX236" s="9"/>
      <c r="BY236" s="10"/>
      <c r="BZ236" s="9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</row>
    <row r="237" spans="1:127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4"/>
      <c r="AJ237" s="10"/>
      <c r="AK237" s="4"/>
      <c r="AL237" s="10"/>
      <c r="AM237" s="4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4"/>
      <c r="BF237" s="10"/>
      <c r="BG237" s="4"/>
      <c r="BH237" s="10"/>
      <c r="BI237" s="4"/>
      <c r="BJ237" s="10"/>
      <c r="BK237" s="4"/>
      <c r="BL237" s="4"/>
      <c r="BM237" s="10"/>
      <c r="BN237" s="4"/>
      <c r="BO237" s="10"/>
      <c r="BP237" s="10"/>
      <c r="BQ237" s="10"/>
      <c r="BR237" s="10"/>
      <c r="BS237" s="10"/>
      <c r="BT237" s="4"/>
      <c r="BU237" s="10"/>
      <c r="BV237" s="9"/>
      <c r="BW237" s="10"/>
      <c r="BX237" s="9"/>
      <c r="BY237" s="10"/>
      <c r="BZ237" s="9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</row>
    <row r="238" spans="1:127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4"/>
      <c r="AJ238" s="10"/>
      <c r="AK238" s="4"/>
      <c r="AL238" s="10"/>
      <c r="AM238" s="4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4"/>
      <c r="BF238" s="10"/>
      <c r="BG238" s="4"/>
      <c r="BH238" s="10"/>
      <c r="BI238" s="4"/>
      <c r="BJ238" s="10"/>
      <c r="BK238" s="4"/>
      <c r="BL238" s="4"/>
      <c r="BM238" s="10"/>
      <c r="BN238" s="4"/>
      <c r="BO238" s="10"/>
      <c r="BP238" s="10"/>
      <c r="BQ238" s="10"/>
      <c r="BR238" s="10"/>
      <c r="BS238" s="10"/>
      <c r="BT238" s="4"/>
      <c r="BU238" s="10"/>
      <c r="BV238" s="9"/>
      <c r="BW238" s="10"/>
      <c r="BX238" s="9"/>
      <c r="BY238" s="10"/>
      <c r="BZ238" s="9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</row>
    <row r="239" spans="1:127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4"/>
      <c r="AJ239" s="10"/>
      <c r="AK239" s="4"/>
      <c r="AL239" s="10"/>
      <c r="AM239" s="4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4"/>
      <c r="BF239" s="10"/>
      <c r="BG239" s="4"/>
      <c r="BH239" s="10"/>
      <c r="BI239" s="4"/>
      <c r="BJ239" s="10"/>
      <c r="BK239" s="4"/>
      <c r="BL239" s="4"/>
      <c r="BM239" s="10"/>
      <c r="BN239" s="4"/>
      <c r="BO239" s="10"/>
      <c r="BP239" s="10"/>
      <c r="BQ239" s="10"/>
      <c r="BR239" s="10"/>
      <c r="BS239" s="10"/>
      <c r="BT239" s="4"/>
      <c r="BU239" s="10"/>
      <c r="BV239" s="9"/>
      <c r="BW239" s="10"/>
      <c r="BX239" s="9"/>
      <c r="BY239" s="10"/>
      <c r="BZ239" s="9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</row>
    <row r="240" spans="1:127" s="21" customFormat="1" hidden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 s="4"/>
      <c r="AJ240" s="10"/>
      <c r="AK240" s="4"/>
      <c r="AL240" s="10"/>
      <c r="AM240" s="4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4"/>
      <c r="BF240" s="10"/>
      <c r="BG240" s="4"/>
      <c r="BH240" s="10"/>
      <c r="BI240" s="4"/>
      <c r="BJ240" s="10"/>
      <c r="BK240" s="4"/>
      <c r="BL240" s="4"/>
      <c r="BM240" s="10"/>
      <c r="BN240" s="4"/>
      <c r="BO240" s="10"/>
      <c r="BP240" s="10"/>
      <c r="BQ240" s="10"/>
      <c r="BR240" s="10"/>
      <c r="BS240" s="10"/>
      <c r="BT240" s="4"/>
      <c r="BU240" s="10"/>
      <c r="BV240" s="9"/>
      <c r="BW240" s="10"/>
      <c r="BX240" s="9"/>
      <c r="BY240" s="10"/>
      <c r="BZ240" s="9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</row>
    <row r="241" spans="1:127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 s="4"/>
      <c r="AJ241" s="9"/>
      <c r="AK241" s="4"/>
      <c r="AL241" s="9"/>
      <c r="AM241" s="4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4"/>
      <c r="BF241" s="9"/>
      <c r="BG241" s="4"/>
      <c r="BH241" s="9"/>
      <c r="BI241" s="4"/>
      <c r="BJ241" s="9"/>
      <c r="BK241" s="4"/>
      <c r="BL241" s="4"/>
      <c r="BM241" s="9"/>
      <c r="BN241" s="4"/>
      <c r="BO241" s="9"/>
      <c r="BP241" s="9"/>
      <c r="BQ241" s="10">
        <f>SUM(T241:BM241)</f>
        <v>-6077.489999999998</v>
      </c>
      <c r="BR241" s="10"/>
      <c r="BS241" s="10">
        <v>0</v>
      </c>
      <c r="BT241" s="4"/>
      <c r="BU241" s="6">
        <f>IF(+R241-BQ241+BS241&gt;0,R241-BQ241+BS241,0)</f>
        <v>0</v>
      </c>
      <c r="BV241" s="10"/>
      <c r="BW241" s="9">
        <f>+BQ241+BU241</f>
        <v>-6077.489999999998</v>
      </c>
      <c r="BX241" s="10"/>
      <c r="BY241" s="9">
        <v>0</v>
      </c>
      <c r="BZ241" s="9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</row>
    <row r="242" spans="1:127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4"/>
      <c r="AJ242" s="10"/>
      <c r="AK242" s="4"/>
      <c r="AL242" s="10"/>
      <c r="AM242" s="4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4"/>
      <c r="BF242" s="10"/>
      <c r="BG242" s="4"/>
      <c r="BH242" s="10"/>
      <c r="BI242" s="4"/>
      <c r="BJ242" s="10"/>
      <c r="BK242" s="4"/>
      <c r="BL242" s="4"/>
      <c r="BM242" s="10"/>
      <c r="BN242" s="4"/>
      <c r="BO242" s="10"/>
      <c r="BP242" s="10"/>
      <c r="BQ242" s="10"/>
      <c r="BR242" s="10"/>
      <c r="BS242" s="10"/>
      <c r="BT242" s="4"/>
      <c r="BU242" s="10"/>
      <c r="BV242" s="9"/>
      <c r="BW242" s="10"/>
      <c r="BX242" s="9"/>
      <c r="BY242" s="10"/>
      <c r="BZ242" s="9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</row>
    <row r="243" spans="1:127" s="21" customFormat="1" hidden="1">
      <c r="A243" s="58" t="s">
        <v>314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 s="4"/>
      <c r="AJ243" s="10">
        <f>220+59</f>
        <v>279</v>
      </c>
      <c r="AK243" s="4"/>
      <c r="AL243" s="10">
        <v>10</v>
      </c>
      <c r="AM243" s="4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 s="4"/>
      <c r="BF243" s="10"/>
      <c r="BG243" s="4"/>
      <c r="BH243" s="10"/>
      <c r="BI243" s="4"/>
      <c r="BJ243" s="10"/>
      <c r="BK243" s="4"/>
      <c r="BL243" s="4"/>
      <c r="BM243" s="10"/>
      <c r="BN243" s="4"/>
      <c r="BO243" s="10"/>
      <c r="BP243" s="10"/>
      <c r="BQ243" s="10">
        <f>SUM(T243:BM243)</f>
        <v>1289</v>
      </c>
      <c r="BR243" s="10"/>
      <c r="BS243" s="10">
        <v>0</v>
      </c>
      <c r="BT243" s="4"/>
      <c r="BU243" s="6">
        <f>IF(+R243-BQ243+BS243&gt;0,R243-BQ243+BS243,0)</f>
        <v>0</v>
      </c>
      <c r="BV243" s="9"/>
      <c r="BW243" s="9">
        <f>+BQ243+BU243</f>
        <v>1289</v>
      </c>
      <c r="BX243" s="9"/>
      <c r="BY243" s="6"/>
      <c r="BZ243" s="9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</row>
    <row r="244" spans="1:127" s="21" customFormat="1" hidden="1">
      <c r="A244" s="77" t="s">
        <v>408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 s="4"/>
      <c r="AJ244" s="9">
        <v>0</v>
      </c>
      <c r="AK244" s="4"/>
      <c r="AL244" s="9">
        <v>0</v>
      </c>
      <c r="AM244" s="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 s="4"/>
      <c r="BF244" s="9">
        <v>0</v>
      </c>
      <c r="BG244" s="4"/>
      <c r="BH244" s="9">
        <v>0</v>
      </c>
      <c r="BI244" s="4"/>
      <c r="BJ244" s="9">
        <v>0</v>
      </c>
      <c r="BK244" s="4"/>
      <c r="BL244" s="4"/>
      <c r="BM244" s="9">
        <v>0</v>
      </c>
      <c r="BN244" s="4"/>
      <c r="BO244" s="9">
        <v>0</v>
      </c>
      <c r="BP244" s="9"/>
      <c r="BQ244" s="16">
        <f>SUM(T244:BM244)</f>
        <v>80000</v>
      </c>
      <c r="BR244" s="16"/>
      <c r="BS244" s="9">
        <v>0</v>
      </c>
      <c r="BT244" s="4"/>
      <c r="BU244" s="6">
        <f>IF(+R244-BQ244+BS244&gt;0,R244-BQ244+BS244,0)</f>
        <v>0</v>
      </c>
      <c r="BV244" s="9"/>
      <c r="BW244" s="9">
        <f>+BQ244+BU244</f>
        <v>80000</v>
      </c>
      <c r="BX244" s="9"/>
      <c r="BY244" s="6"/>
      <c r="BZ244" s="9"/>
    </row>
    <row r="245" spans="1:127" s="21" customFormat="1" hidden="1">
      <c r="A245" s="58" t="s">
        <v>265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 s="4"/>
      <c r="AJ245" s="10">
        <f>-861-98</f>
        <v>-959</v>
      </c>
      <c r="AK245" s="4"/>
      <c r="AL245" s="10">
        <v>-3</v>
      </c>
      <c r="AM245" s="4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4"/>
      <c r="BF245" s="10"/>
      <c r="BG245" s="4"/>
      <c r="BH245" s="10"/>
      <c r="BI245" s="4"/>
      <c r="BJ245" s="10"/>
      <c r="BK245" s="4"/>
      <c r="BL245" s="4"/>
      <c r="BM245" s="10"/>
      <c r="BN245" s="4"/>
      <c r="BO245" s="10"/>
      <c r="BP245" s="10"/>
      <c r="BQ245" s="10">
        <f>SUM(T245:BM245)</f>
        <v>-149741</v>
      </c>
      <c r="BR245" s="10"/>
      <c r="BS245" s="10"/>
      <c r="BT245" s="4"/>
      <c r="BU245" s="6">
        <v>0</v>
      </c>
      <c r="BV245" s="9"/>
      <c r="BW245" s="9">
        <f>+BQ245+BU245</f>
        <v>-149741</v>
      </c>
      <c r="BX245" s="9"/>
      <c r="BY245" s="6"/>
      <c r="BZ245" s="9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</row>
    <row r="246" spans="1:127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4"/>
      <c r="AJ246" s="10"/>
      <c r="AK246" s="4"/>
      <c r="AL246" s="10"/>
      <c r="AM246" s="4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4"/>
      <c r="BF246" s="10"/>
      <c r="BG246" s="4"/>
      <c r="BH246" s="10"/>
      <c r="BI246" s="4"/>
      <c r="BJ246" s="10"/>
      <c r="BK246" s="4"/>
      <c r="BL246" s="4"/>
      <c r="BM246" s="10"/>
      <c r="BN246" s="4"/>
      <c r="BO246" s="10"/>
      <c r="BP246" s="10"/>
      <c r="BQ246" s="10"/>
      <c r="BR246" s="10"/>
      <c r="BS246" s="10"/>
      <c r="BT246" s="4"/>
      <c r="BU246" s="10"/>
      <c r="BV246" s="9"/>
      <c r="BW246" s="10"/>
      <c r="BX246" s="9"/>
      <c r="BY246" s="10"/>
      <c r="BZ246" s="9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</row>
    <row r="247" spans="1:127" s="21" customFormat="1" hidden="1">
      <c r="A247" s="58" t="s">
        <v>251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40">R179+R241+R243+R245</f>
        <v>239612890.75</v>
      </c>
      <c r="S247" s="10">
        <f t="shared" si="40"/>
        <v>0</v>
      </c>
      <c r="T247" s="10">
        <f t="shared" si="40"/>
        <v>7140000</v>
      </c>
      <c r="U247" s="10">
        <f t="shared" si="40"/>
        <v>0</v>
      </c>
      <c r="V247" s="10">
        <f t="shared" si="40"/>
        <v>1297646</v>
      </c>
      <c r="W247" s="10">
        <f t="shared" si="40"/>
        <v>0</v>
      </c>
      <c r="X247" s="10">
        <f t="shared" si="40"/>
        <v>33103293</v>
      </c>
      <c r="Y247" s="10">
        <f t="shared" si="40"/>
        <v>0</v>
      </c>
      <c r="Z247" s="10">
        <f t="shared" si="40"/>
        <v>260702.6</v>
      </c>
      <c r="AA247" s="10">
        <f t="shared" si="40"/>
        <v>0</v>
      </c>
      <c r="AB247" s="10">
        <f t="shared" si="40"/>
        <v>1731995.91</v>
      </c>
      <c r="AC247" s="10">
        <f t="shared" si="40"/>
        <v>0</v>
      </c>
      <c r="AD247" s="10">
        <f t="shared" si="40"/>
        <v>18794262.829999998</v>
      </c>
      <c r="AE247" s="10"/>
      <c r="AF247" s="10">
        <f t="shared" si="40"/>
        <v>8167701.1408541668</v>
      </c>
      <c r="AG247" s="10"/>
      <c r="AH247" s="10">
        <f t="shared" si="40"/>
        <v>8849219.9374601822</v>
      </c>
      <c r="AI247" s="4"/>
      <c r="AJ247" s="10">
        <f>AJ179+AJ241+AJ243+AJ245</f>
        <v>6988530.1253887061</v>
      </c>
      <c r="AK247" s="4"/>
      <c r="AL247" s="10">
        <f t="shared" si="40"/>
        <v>7789238.1557027698</v>
      </c>
      <c r="AM247" s="4"/>
      <c r="AN247" s="10">
        <f t="shared" si="40"/>
        <v>11652992.180000002</v>
      </c>
      <c r="AO247" s="10">
        <f t="shared" si="40"/>
        <v>0</v>
      </c>
      <c r="AP247" s="10">
        <f t="shared" si="40"/>
        <v>17627423.913877048</v>
      </c>
      <c r="AQ247" s="10">
        <f t="shared" si="40"/>
        <v>0</v>
      </c>
      <c r="AR247" s="10">
        <f t="shared" si="40"/>
        <v>39304333.695295267</v>
      </c>
      <c r="AS247" s="10">
        <f t="shared" si="40"/>
        <v>0</v>
      </c>
      <c r="AT247" s="10">
        <f t="shared" si="40"/>
        <v>2943898.2559045074</v>
      </c>
      <c r="AU247" s="10">
        <f t="shared" si="40"/>
        <v>0</v>
      </c>
      <c r="AV247" s="10">
        <f t="shared" si="40"/>
        <v>29327061.258771211</v>
      </c>
      <c r="AW247" s="10">
        <f t="shared" si="40"/>
        <v>0</v>
      </c>
      <c r="AX247" s="10">
        <f t="shared" si="40"/>
        <v>23466763.284490943</v>
      </c>
      <c r="AY247" s="10">
        <f t="shared" si="40"/>
        <v>0</v>
      </c>
      <c r="AZ247" s="10">
        <f t="shared" si="40"/>
        <v>22126233.530000001</v>
      </c>
      <c r="BA247" s="10">
        <f t="shared" si="40"/>
        <v>0</v>
      </c>
      <c r="BB247" s="10">
        <f>BB179+BB241+BB243+BB245+BB244</f>
        <v>8493040.5109472163</v>
      </c>
      <c r="BC247" s="10"/>
      <c r="BD247" s="10">
        <f t="shared" si="40"/>
        <v>11834996.67</v>
      </c>
      <c r="BE247" s="4"/>
      <c r="BF247" s="10">
        <f t="shared" si="40"/>
        <v>1350600.65</v>
      </c>
      <c r="BG247" s="4"/>
      <c r="BH247" s="10">
        <f t="shared" si="40"/>
        <v>401728.88999999996</v>
      </c>
      <c r="BI247" s="4"/>
      <c r="BJ247" s="10">
        <f t="shared" si="40"/>
        <v>5162294</v>
      </c>
      <c r="BK247" s="4"/>
      <c r="BL247" s="4"/>
      <c r="BM247" s="10">
        <f>BM179+BM241+BM243+BM245</f>
        <v>245540</v>
      </c>
      <c r="BN247" s="4"/>
      <c r="BO247" s="10">
        <f>BO179+BO241+BO243+BO245</f>
        <v>817894</v>
      </c>
      <c r="BP247" s="10"/>
      <c r="BQ247" s="10">
        <f>BQ179+BQ241+BQ243+BQ245+BQ244</f>
        <v>268877390.538692</v>
      </c>
      <c r="BR247" s="10"/>
      <c r="BS247" s="10">
        <f t="shared" ref="BS247:BY247" si="41">BS179+BS241+BS243+BS245+BS244</f>
        <v>29487334</v>
      </c>
      <c r="BT247" s="4"/>
      <c r="BU247" s="10">
        <f t="shared" si="41"/>
        <v>-23579.639999999898</v>
      </c>
      <c r="BV247" s="10">
        <f t="shared" si="41"/>
        <v>2030320</v>
      </c>
      <c r="BW247" s="10">
        <f t="shared" si="41"/>
        <v>268853807.89869201</v>
      </c>
      <c r="BX247" s="10">
        <f t="shared" si="41"/>
        <v>2030320</v>
      </c>
      <c r="BY247" s="10">
        <f t="shared" si="41"/>
        <v>-29252869.638692018</v>
      </c>
      <c r="BZ247" s="9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</row>
    <row r="248" spans="1:127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 s="4"/>
      <c r="AJ248" s="10"/>
      <c r="AK248" s="4"/>
      <c r="AL248" s="10"/>
      <c r="AM248" s="4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"/>
      <c r="BF248" s="10"/>
      <c r="BG248" s="4"/>
      <c r="BH248" s="10"/>
      <c r="BI248" s="4"/>
      <c r="BJ248" s="10"/>
      <c r="BK248" s="4"/>
      <c r="BL248" s="4"/>
      <c r="BM248" s="10"/>
      <c r="BN248" s="4"/>
      <c r="BO248" s="10"/>
      <c r="BP248" s="10"/>
      <c r="BQ248" s="10"/>
      <c r="BR248" s="10"/>
      <c r="BS248" s="10"/>
      <c r="BT248" s="4"/>
      <c r="BU248" s="10"/>
      <c r="BV248" s="9"/>
      <c r="BW248" s="10"/>
      <c r="BX248" s="9"/>
      <c r="BY248" s="10"/>
      <c r="BZ248" s="9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</row>
    <row r="249" spans="1:127" hidden="1">
      <c r="E249" s="4"/>
      <c r="G249" s="4"/>
      <c r="I249" s="4"/>
      <c r="L249" s="138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 s="4"/>
      <c r="AJ249" s="10"/>
      <c r="BJ249" s="6"/>
      <c r="BM249" s="6"/>
      <c r="BO249" s="6"/>
      <c r="BP249" s="6"/>
      <c r="BS249" s="6"/>
      <c r="BZ249" s="6"/>
    </row>
    <row r="250" spans="1:127" ht="15.75" hidden="1">
      <c r="A250" s="284" t="s">
        <v>196</v>
      </c>
      <c r="B250" s="130"/>
      <c r="C250" s="130"/>
      <c r="D250" s="130"/>
      <c r="E250" s="130"/>
      <c r="F250" s="130"/>
      <c r="G250" s="130"/>
      <c r="H250" s="130"/>
      <c r="I250" s="130"/>
      <c r="J250" s="290"/>
      <c r="K250" s="130"/>
      <c r="L250" s="29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4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M250" s="131"/>
      <c r="BO250" s="131"/>
      <c r="BP250" s="131"/>
      <c r="BQ250" s="131"/>
      <c r="BR250" s="131"/>
      <c r="BS250" s="131"/>
      <c r="BU250" s="131"/>
      <c r="BV250" s="131"/>
      <c r="BW250" s="13"/>
      <c r="BX250" s="131"/>
      <c r="BY250" s="131"/>
      <c r="BZ250" s="131"/>
    </row>
    <row r="251" spans="1:127" hidden="1">
      <c r="A251" s="58" t="s">
        <v>32</v>
      </c>
      <c r="E251" s="4"/>
      <c r="G251" s="4"/>
      <c r="I251" s="4"/>
      <c r="L251" s="138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 s="4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M251" s="22"/>
      <c r="BO251" s="22"/>
      <c r="BP251" s="22"/>
      <c r="BQ251" s="9">
        <f>SUM(T251:BM251)</f>
        <v>39986.36</v>
      </c>
      <c r="BR251" s="9"/>
      <c r="BS251" s="22"/>
      <c r="BU251" s="6">
        <f>IF(+R251-BQ251+BS251&gt;0,R251-BQ251+BS251,0)</f>
        <v>0</v>
      </c>
      <c r="BW251" s="9">
        <f>+BU251+BQ251</f>
        <v>39986.36</v>
      </c>
      <c r="BY251" s="9">
        <v>0</v>
      </c>
      <c r="BZ251" s="6"/>
    </row>
    <row r="252" spans="1:127" hidden="1">
      <c r="A252" s="58" t="s">
        <v>33</v>
      </c>
      <c r="E252" s="4"/>
      <c r="G252" s="4"/>
      <c r="I252" s="4"/>
      <c r="L252" s="138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 s="4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M252" s="22"/>
      <c r="BO252" s="22"/>
      <c r="BP252" s="22"/>
      <c r="BQ252" s="9">
        <f>SUM(T252:BM252)</f>
        <v>118573.59</v>
      </c>
      <c r="BR252" s="9"/>
      <c r="BS252" s="22"/>
      <c r="BU252" s="6">
        <f>IF(+R252-BQ252+BS252&gt;0,R252-BQ252+BS252,0)</f>
        <v>0</v>
      </c>
      <c r="BW252" s="9">
        <f>+BU252+BQ252</f>
        <v>118573.59</v>
      </c>
      <c r="BY252" s="9">
        <v>0</v>
      </c>
      <c r="BZ252" s="6"/>
    </row>
    <row r="253" spans="1:127" hidden="1">
      <c r="A253" s="58" t="s">
        <v>35</v>
      </c>
      <c r="E253" s="4"/>
      <c r="G253" s="4"/>
      <c r="I253" s="4"/>
      <c r="L253" s="138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 s="4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M253" s="22"/>
      <c r="BO253" s="22"/>
      <c r="BP253" s="22"/>
      <c r="BQ253" s="9">
        <f>SUM(T253:BM253)</f>
        <v>53464.32</v>
      </c>
      <c r="BR253" s="9"/>
      <c r="BS253" s="22"/>
      <c r="BU253" s="6">
        <f>IF(+R253-BQ253+BS253&gt;0,R253-BQ253+BS253,0)</f>
        <v>0</v>
      </c>
      <c r="BW253" s="9">
        <f>+BU253+BQ253</f>
        <v>53464.32</v>
      </c>
      <c r="BY253" s="9">
        <v>0</v>
      </c>
      <c r="BZ253" s="6"/>
    </row>
    <row r="254" spans="1:127" hidden="1">
      <c r="A254" s="31" t="s">
        <v>198</v>
      </c>
      <c r="E254" s="4"/>
      <c r="G254" s="4"/>
      <c r="I254" s="4"/>
      <c r="L254" s="138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 s="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M254" s="22"/>
      <c r="BO254" s="22"/>
      <c r="BP254" s="22"/>
      <c r="BQ254" s="9">
        <f>SUM(T254:BM254)</f>
        <v>102500</v>
      </c>
      <c r="BR254" s="9"/>
      <c r="BS254" s="22"/>
      <c r="BU254" s="6">
        <f>IF(+R254-BQ254+BS254&gt;0,R254-BQ254+BS254,0)</f>
        <v>0</v>
      </c>
      <c r="BW254" s="9">
        <f>+BU254+BQ254</f>
        <v>102500</v>
      </c>
      <c r="BY254" s="9">
        <v>0</v>
      </c>
      <c r="BZ254" s="6"/>
    </row>
    <row r="255" spans="1:127" hidden="1">
      <c r="E255" s="4"/>
      <c r="G255" s="4"/>
      <c r="I255" s="4"/>
      <c r="J255" s="4"/>
      <c r="L255" s="4"/>
      <c r="N255" s="4"/>
      <c r="P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H255" s="4"/>
      <c r="BJ255" s="4"/>
      <c r="BM255" s="4"/>
      <c r="BO255" s="4"/>
      <c r="BP255" s="4"/>
      <c r="BQ255" s="4"/>
      <c r="BR255" s="4"/>
      <c r="BS255" s="4"/>
      <c r="BU255" s="6">
        <f>IF(+R255-BQ255+BS255&gt;0,R255-BQ255+BS255,0)</f>
        <v>0</v>
      </c>
      <c r="BV255" s="4"/>
      <c r="BW255" s="4"/>
      <c r="BX255" s="4"/>
      <c r="BY255" s="4"/>
    </row>
    <row r="256" spans="1:127" s="105" customFormat="1" ht="13.5" hidden="1" thickBot="1">
      <c r="A256" s="285" t="s">
        <v>197</v>
      </c>
      <c r="B256" s="54"/>
      <c r="J256" s="155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O256" si="42">SUM(AF251:AF255)</f>
        <v>0</v>
      </c>
      <c r="AG256" s="121"/>
      <c r="AH256" s="121">
        <f t="shared" si="42"/>
        <v>5725.4500000000007</v>
      </c>
      <c r="AI256" s="121"/>
      <c r="AJ256" s="121">
        <f t="shared" si="42"/>
        <v>0</v>
      </c>
      <c r="AK256" s="4"/>
      <c r="AL256" s="121">
        <f t="shared" si="42"/>
        <v>591.45000000000005</v>
      </c>
      <c r="AM256" s="4"/>
      <c r="AN256" s="121">
        <f t="shared" si="42"/>
        <v>0</v>
      </c>
      <c r="AO256" s="121">
        <f t="shared" si="42"/>
        <v>0</v>
      </c>
      <c r="AP256" s="121">
        <f t="shared" si="42"/>
        <v>0</v>
      </c>
      <c r="AQ256" s="121">
        <f t="shared" si="42"/>
        <v>0</v>
      </c>
      <c r="AR256" s="121">
        <f t="shared" si="42"/>
        <v>1242.3</v>
      </c>
      <c r="AS256" s="121">
        <f t="shared" si="42"/>
        <v>0</v>
      </c>
      <c r="AT256" s="121">
        <f t="shared" si="42"/>
        <v>0</v>
      </c>
      <c r="AU256" s="121">
        <f t="shared" si="42"/>
        <v>0</v>
      </c>
      <c r="AV256" s="121">
        <f t="shared" si="42"/>
        <v>0</v>
      </c>
      <c r="AW256" s="121">
        <f t="shared" si="42"/>
        <v>0</v>
      </c>
      <c r="AX256" s="121">
        <f t="shared" si="42"/>
        <v>15000</v>
      </c>
      <c r="AY256" s="121">
        <f t="shared" si="42"/>
        <v>0</v>
      </c>
      <c r="AZ256" s="121">
        <f t="shared" si="42"/>
        <v>0</v>
      </c>
      <c r="BA256" s="121">
        <f t="shared" si="42"/>
        <v>0</v>
      </c>
      <c r="BB256" s="121">
        <f t="shared" si="42"/>
        <v>0</v>
      </c>
      <c r="BC256" s="121"/>
      <c r="BD256" s="121">
        <f t="shared" si="42"/>
        <v>0</v>
      </c>
      <c r="BE256" s="4"/>
      <c r="BF256" s="121">
        <f t="shared" si="42"/>
        <v>0</v>
      </c>
      <c r="BG256" s="4"/>
      <c r="BH256" s="121">
        <f t="shared" si="42"/>
        <v>0</v>
      </c>
      <c r="BI256" s="4"/>
      <c r="BJ256" s="121">
        <f t="shared" si="42"/>
        <v>0</v>
      </c>
      <c r="BK256" s="4"/>
      <c r="BL256" s="4"/>
      <c r="BM256" s="121">
        <f t="shared" si="42"/>
        <v>0</v>
      </c>
      <c r="BN256" s="4"/>
      <c r="BO256" s="121">
        <f t="shared" si="42"/>
        <v>0</v>
      </c>
      <c r="BP256" s="121"/>
      <c r="BQ256" s="121">
        <f>SUM(T256:BM256)</f>
        <v>314524.27</v>
      </c>
      <c r="BR256" s="121"/>
      <c r="BS256" s="121"/>
      <c r="BT256" s="4"/>
      <c r="BU256" s="121">
        <f>SUM(BU250:BU255)</f>
        <v>0</v>
      </c>
      <c r="BV256" s="13"/>
      <c r="BW256" s="121">
        <f>+BU256+BQ256</f>
        <v>314524.27</v>
      </c>
      <c r="BX256" s="13"/>
      <c r="BY256" s="121">
        <v>0</v>
      </c>
      <c r="BZ256" s="120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</row>
    <row r="257" spans="1:127" ht="13.5" hidden="1" thickTop="1">
      <c r="E257" s="4"/>
      <c r="G257" s="4"/>
      <c r="I257" s="4"/>
      <c r="L257" s="138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M257" s="22"/>
      <c r="BO257" s="22"/>
      <c r="BP257" s="22"/>
      <c r="BQ257" s="22"/>
      <c r="BR257" s="22"/>
      <c r="BS257" s="22"/>
      <c r="BW257" s="58"/>
      <c r="BZ257" s="6"/>
    </row>
    <row r="258" spans="1:127" hidden="1">
      <c r="E258" s="4"/>
      <c r="G258" s="4"/>
      <c r="I258" s="4"/>
      <c r="L258" s="138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M258" s="22"/>
      <c r="BO258" s="22"/>
      <c r="BP258" s="22"/>
      <c r="BQ258" s="22"/>
      <c r="BR258" s="22"/>
      <c r="BS258" s="22"/>
      <c r="BW258" s="9"/>
      <c r="BZ258" s="6"/>
    </row>
    <row r="259" spans="1:127" hidden="1">
      <c r="E259" s="4"/>
      <c r="G259" s="4"/>
      <c r="I259" s="4"/>
      <c r="L259" s="138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M259" s="22"/>
      <c r="BO259" s="22"/>
      <c r="BP259" s="22"/>
      <c r="BQ259" s="22"/>
      <c r="BR259" s="22"/>
      <c r="BS259" s="22"/>
      <c r="BW259" s="22"/>
      <c r="BZ259" s="6"/>
    </row>
    <row r="260" spans="1:127" hidden="1">
      <c r="E260" s="4"/>
      <c r="G260" s="4"/>
      <c r="I260" s="4"/>
      <c r="L260" s="138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M260" s="22"/>
      <c r="BO260" s="22"/>
      <c r="BP260" s="22"/>
      <c r="BQ260" s="22"/>
      <c r="BR260" s="22"/>
      <c r="BS260" s="22"/>
      <c r="BZ260" s="6"/>
    </row>
    <row r="261" spans="1:127" s="130" customFormat="1" ht="15" hidden="1" customHeight="1" thickBot="1">
      <c r="A261" s="284" t="s">
        <v>380</v>
      </c>
      <c r="J261" s="290"/>
      <c r="L261" s="291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Y261" si="43">S247+S256</f>
        <v>0</v>
      </c>
      <c r="T261" s="121">
        <f t="shared" si="43"/>
        <v>7279633</v>
      </c>
      <c r="U261" s="121">
        <f t="shared" si="43"/>
        <v>0</v>
      </c>
      <c r="V261" s="121">
        <f t="shared" si="43"/>
        <v>1298988.96</v>
      </c>
      <c r="W261" s="121">
        <f t="shared" si="43"/>
        <v>0</v>
      </c>
      <c r="X261" s="121">
        <f t="shared" si="43"/>
        <v>33151937.879999999</v>
      </c>
      <c r="Y261" s="121">
        <f t="shared" si="43"/>
        <v>0</v>
      </c>
      <c r="Z261" s="121">
        <f t="shared" si="43"/>
        <v>280030.83</v>
      </c>
      <c r="AA261" s="121">
        <f t="shared" si="43"/>
        <v>0</v>
      </c>
      <c r="AB261" s="121">
        <f t="shared" si="43"/>
        <v>1733894.8599999999</v>
      </c>
      <c r="AC261" s="121">
        <f t="shared" si="43"/>
        <v>0</v>
      </c>
      <c r="AD261" s="121">
        <f t="shared" si="43"/>
        <v>18875379.879999999</v>
      </c>
      <c r="AE261" s="121"/>
      <c r="AF261" s="121">
        <f t="shared" si="43"/>
        <v>8167701.1408541668</v>
      </c>
      <c r="AG261" s="121"/>
      <c r="AH261" s="121">
        <f t="shared" si="43"/>
        <v>8854945.3874601815</v>
      </c>
      <c r="AI261" s="121"/>
      <c r="AJ261" s="121">
        <f t="shared" si="43"/>
        <v>6988530.1253887061</v>
      </c>
      <c r="AK261" s="4"/>
      <c r="AL261" s="121">
        <f t="shared" si="43"/>
        <v>7789829.6057027699</v>
      </c>
      <c r="AM261" s="4"/>
      <c r="AN261" s="121">
        <f t="shared" si="43"/>
        <v>11652992.180000002</v>
      </c>
      <c r="AO261" s="121">
        <f t="shared" si="43"/>
        <v>0</v>
      </c>
      <c r="AP261" s="121">
        <f t="shared" si="43"/>
        <v>17627423.913877048</v>
      </c>
      <c r="AQ261" s="121">
        <f t="shared" si="43"/>
        <v>0</v>
      </c>
      <c r="AR261" s="121">
        <f t="shared" si="43"/>
        <v>39305575.995295264</v>
      </c>
      <c r="AS261" s="121">
        <f t="shared" si="43"/>
        <v>0</v>
      </c>
      <c r="AT261" s="121">
        <f t="shared" si="43"/>
        <v>2943898.2559045074</v>
      </c>
      <c r="AU261" s="121">
        <f t="shared" si="43"/>
        <v>0</v>
      </c>
      <c r="AV261" s="121">
        <f t="shared" si="43"/>
        <v>29327061.258771211</v>
      </c>
      <c r="AW261" s="121">
        <f t="shared" si="43"/>
        <v>0</v>
      </c>
      <c r="AX261" s="121">
        <f t="shared" si="43"/>
        <v>23481763.284490943</v>
      </c>
      <c r="AY261" s="121">
        <f t="shared" si="43"/>
        <v>0</v>
      </c>
      <c r="AZ261" s="121">
        <f t="shared" si="43"/>
        <v>22126233.530000001</v>
      </c>
      <c r="BA261" s="121">
        <f t="shared" si="43"/>
        <v>0</v>
      </c>
      <c r="BB261" s="121">
        <f t="shared" si="43"/>
        <v>8493040.5109472163</v>
      </c>
      <c r="BC261" s="121"/>
      <c r="BD261" s="121">
        <f t="shared" si="43"/>
        <v>11834996.67</v>
      </c>
      <c r="BE261" s="4"/>
      <c r="BF261" s="121">
        <f t="shared" si="43"/>
        <v>1350600.65</v>
      </c>
      <c r="BG261" s="4"/>
      <c r="BH261" s="121">
        <f t="shared" si="43"/>
        <v>401728.88999999996</v>
      </c>
      <c r="BI261" s="4"/>
      <c r="BJ261" s="121">
        <f t="shared" si="43"/>
        <v>5162294</v>
      </c>
      <c r="BK261" s="4"/>
      <c r="BL261" s="4"/>
      <c r="BM261" s="121">
        <f>BM247+BM256</f>
        <v>245540</v>
      </c>
      <c r="BN261" s="4"/>
      <c r="BO261" s="121">
        <f>BO247+BO256</f>
        <v>817894</v>
      </c>
      <c r="BP261" s="121"/>
      <c r="BQ261" s="121">
        <f t="shared" si="43"/>
        <v>269191914.80869198</v>
      </c>
      <c r="BR261" s="121"/>
      <c r="BS261" s="121">
        <f t="shared" si="43"/>
        <v>29487334</v>
      </c>
      <c r="BT261" s="4"/>
      <c r="BU261" s="121">
        <f t="shared" si="43"/>
        <v>-23579.639999999898</v>
      </c>
      <c r="BV261" s="121">
        <f t="shared" si="43"/>
        <v>2030320</v>
      </c>
      <c r="BW261" s="121">
        <f t="shared" si="43"/>
        <v>269168332.16869199</v>
      </c>
      <c r="BX261" s="121">
        <f t="shared" si="43"/>
        <v>2030320</v>
      </c>
      <c r="BY261" s="121">
        <f t="shared" si="43"/>
        <v>-29252869.638692018</v>
      </c>
      <c r="BZ261" s="131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</row>
    <row r="262" spans="1:127" ht="13.5" hidden="1" thickTop="1">
      <c r="E262" s="4"/>
      <c r="G262" s="4"/>
      <c r="I262" s="4"/>
      <c r="J262" s="4"/>
      <c r="L262" s="4"/>
      <c r="N262" s="4"/>
      <c r="P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H262" s="4"/>
      <c r="BJ262" s="4"/>
      <c r="BM262" s="4"/>
      <c r="BO262" s="4"/>
      <c r="BP262" s="4"/>
      <c r="BQ262" s="4"/>
      <c r="BR262" s="4"/>
      <c r="BS262" s="4"/>
      <c r="BU262" s="4"/>
      <c r="BV262" s="4"/>
      <c r="BW262" s="4"/>
      <c r="BX262" s="4"/>
      <c r="BY262" s="4"/>
    </row>
    <row r="263" spans="1:127" hidden="1">
      <c r="K263" s="5"/>
      <c r="L263" s="146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 t="s">
        <v>412</v>
      </c>
      <c r="BF263" s="22"/>
      <c r="BH263" s="22"/>
      <c r="BJ263" s="22"/>
      <c r="BM263" s="22"/>
      <c r="BO263" s="22"/>
      <c r="BP263" s="22"/>
      <c r="BQ263" s="4"/>
      <c r="BR263" s="4"/>
      <c r="BS263" s="22"/>
      <c r="BZ263" s="6"/>
    </row>
    <row r="264" spans="1:127" hidden="1">
      <c r="K264" s="5"/>
      <c r="L264" s="146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 t="s">
        <v>413</v>
      </c>
      <c r="BF264" s="22"/>
      <c r="BH264" s="22"/>
      <c r="BJ264" s="22"/>
      <c r="BM264" s="22"/>
      <c r="BO264" s="22"/>
      <c r="BP264" s="22"/>
      <c r="BQ264" s="4"/>
      <c r="BR264" s="4"/>
      <c r="BS264" s="22"/>
      <c r="BZ264" s="6"/>
    </row>
    <row r="265" spans="1:127">
      <c r="K265" s="5"/>
      <c r="L265" s="146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 t="s">
        <v>414</v>
      </c>
      <c r="BF265" s="22"/>
      <c r="BH265" s="22"/>
      <c r="BJ265" s="22"/>
      <c r="BM265" s="22"/>
      <c r="BO265" s="22"/>
      <c r="BP265" s="22"/>
      <c r="BQ265" s="4"/>
      <c r="BR265" s="4"/>
      <c r="BS265" s="22"/>
      <c r="BZ265" s="6"/>
    </row>
    <row r="266" spans="1:127">
      <c r="K266" s="5"/>
      <c r="L266" s="146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 t="s">
        <v>427</v>
      </c>
      <c r="BF266" s="22"/>
      <c r="BH266" s="22"/>
      <c r="BJ266" s="22"/>
      <c r="BM266" s="22"/>
      <c r="BO266" s="22"/>
      <c r="BP266" s="22"/>
      <c r="BQ266" s="4"/>
      <c r="BR266" s="4"/>
      <c r="BS266" s="22"/>
      <c r="BZ266" s="6"/>
    </row>
    <row r="267" spans="1:127">
      <c r="K267" s="5"/>
      <c r="L267" s="146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 t="s">
        <v>415</v>
      </c>
      <c r="BF267" s="22"/>
      <c r="BH267" s="22"/>
      <c r="BJ267" s="22"/>
      <c r="BM267" s="22"/>
      <c r="BO267" s="22"/>
      <c r="BP267" s="22"/>
      <c r="BQ267" s="4"/>
      <c r="BR267" s="4"/>
      <c r="BS267" s="22"/>
      <c r="BZ267" s="6"/>
    </row>
    <row r="268" spans="1:127">
      <c r="K268" s="5"/>
      <c r="L268" s="146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 t="s">
        <v>416</v>
      </c>
      <c r="BF268" s="22"/>
      <c r="BH268" s="22"/>
      <c r="BJ268" s="22"/>
      <c r="BM268" s="22"/>
      <c r="BO268" s="22"/>
      <c r="BP268" s="22"/>
      <c r="BQ268" s="4"/>
      <c r="BR268" s="4"/>
      <c r="BS268" s="22"/>
      <c r="BZ268" s="6"/>
    </row>
    <row r="269" spans="1:127">
      <c r="K269" s="5"/>
      <c r="L269" s="146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417</v>
      </c>
      <c r="BF269" s="22"/>
      <c r="BH269" s="22"/>
      <c r="BJ269" s="22"/>
      <c r="BM269" s="22"/>
      <c r="BO269" s="22"/>
      <c r="BP269" s="22"/>
      <c r="BQ269" s="4"/>
      <c r="BR269" s="4"/>
      <c r="BS269" s="22"/>
      <c r="BZ269" s="6"/>
    </row>
    <row r="270" spans="1:127">
      <c r="K270" s="5"/>
      <c r="L270" s="146"/>
      <c r="BQ270" s="22"/>
      <c r="BR270" s="22"/>
    </row>
    <row r="271" spans="1:127">
      <c r="K271" s="5"/>
      <c r="L271" s="146"/>
      <c r="BQ271" s="22"/>
      <c r="BR271" s="22"/>
    </row>
    <row r="272" spans="1:127">
      <c r="K272" s="5"/>
      <c r="L272" s="146"/>
      <c r="BQ272" s="22"/>
      <c r="BR272" s="22"/>
    </row>
    <row r="273" spans="11:70">
      <c r="K273" s="5"/>
      <c r="L273" s="146"/>
      <c r="BQ273" s="22"/>
      <c r="BR273" s="22"/>
    </row>
    <row r="274" spans="11:70">
      <c r="K274" s="5"/>
      <c r="L274" s="146"/>
      <c r="BQ274" s="22"/>
      <c r="BR274" s="22"/>
    </row>
    <row r="275" spans="11:70">
      <c r="L275" s="138"/>
      <c r="BQ275" s="22"/>
      <c r="BR275" s="22"/>
    </row>
    <row r="276" spans="11:70">
      <c r="BQ276" s="22"/>
      <c r="BR276" s="22"/>
    </row>
    <row r="277" spans="11:70">
      <c r="BQ277" s="22"/>
      <c r="BR277" s="22"/>
    </row>
    <row r="278" spans="11:70">
      <c r="BQ278" s="22"/>
      <c r="BR278" s="22"/>
    </row>
    <row r="279" spans="11:70">
      <c r="BQ279" s="22"/>
      <c r="BR279" s="22"/>
    </row>
    <row r="280" spans="11:70">
      <c r="BQ280" s="22"/>
      <c r="BR280" s="22"/>
    </row>
    <row r="281" spans="11:70">
      <c r="BQ281" s="22"/>
      <c r="BR281" s="22"/>
    </row>
    <row r="282" spans="11:70">
      <c r="BQ282" s="22"/>
      <c r="BR282" s="22"/>
    </row>
    <row r="283" spans="11:70">
      <c r="BQ283" s="22"/>
      <c r="BR283" s="22"/>
    </row>
    <row r="284" spans="11:70">
      <c r="BQ284" s="22"/>
      <c r="BR284" s="22"/>
    </row>
    <row r="285" spans="11:70">
      <c r="BQ285" s="22"/>
      <c r="BR285" s="22"/>
    </row>
    <row r="286" spans="11:70">
      <c r="BQ286" s="22"/>
      <c r="BR286" s="22"/>
    </row>
    <row r="287" spans="11:70">
      <c r="BQ287" s="22"/>
      <c r="BR287" s="22"/>
    </row>
    <row r="288" spans="11:70">
      <c r="BQ288" s="22"/>
      <c r="BR288" s="22"/>
    </row>
    <row r="289" spans="69:70">
      <c r="BQ289" s="22"/>
      <c r="BR289" s="22"/>
    </row>
    <row r="290" spans="69:70">
      <c r="BQ290" s="22"/>
      <c r="BR290" s="22"/>
    </row>
    <row r="291" spans="69:70">
      <c r="BQ291" s="22"/>
      <c r="BR291" s="22"/>
    </row>
    <row r="292" spans="69:70">
      <c r="BQ292" s="22"/>
      <c r="BR292" s="22"/>
    </row>
    <row r="293" spans="69:70">
      <c r="BQ293" s="22"/>
      <c r="BR293" s="22"/>
    </row>
    <row r="294" spans="69:70">
      <c r="BQ294" s="22"/>
      <c r="BR294" s="22"/>
    </row>
    <row r="295" spans="69:70">
      <c r="BQ295" s="22"/>
      <c r="BR295" s="22"/>
    </row>
    <row r="296" spans="69:70">
      <c r="BQ296" s="22"/>
      <c r="BR296" s="22"/>
    </row>
    <row r="297" spans="69:70">
      <c r="BQ297" s="22"/>
      <c r="BR297" s="22"/>
    </row>
    <row r="298" spans="69:70">
      <c r="BQ298" s="22"/>
      <c r="BR298" s="22"/>
    </row>
    <row r="299" spans="69:70">
      <c r="BQ299" s="22"/>
      <c r="BR299" s="22"/>
    </row>
    <row r="300" spans="69:70">
      <c r="BQ300" s="22"/>
      <c r="BR300" s="22"/>
    </row>
    <row r="301" spans="69:70">
      <c r="BQ301" s="22"/>
      <c r="BR301" s="22"/>
    </row>
    <row r="302" spans="69:70">
      <c r="BQ302" s="22"/>
      <c r="BR302" s="22"/>
    </row>
    <row r="303" spans="69:70">
      <c r="BQ303" s="22"/>
      <c r="BR303" s="22"/>
    </row>
    <row r="304" spans="69:70">
      <c r="BQ304" s="22"/>
      <c r="BR304" s="22"/>
    </row>
  </sheetData>
  <printOptions horizontalCentered="1"/>
  <pageMargins left="0.25" right="0.17" top="0.32" bottom="0.19" header="0" footer="0"/>
  <pageSetup scale="50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269"/>
  <sheetViews>
    <sheetView zoomScale="85" zoomScaleNormal="75" workbookViewId="0">
      <pane xSplit="19" ySplit="8" topLeftCell="BN19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47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8554687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- 112000.xls]Summary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36857.654951388889</v>
      </c>
      <c r="BT3" s="23"/>
      <c r="BV3" s="78" t="str">
        <f>Summary!A5</f>
        <v>Revision # 68</v>
      </c>
    </row>
    <row r="4" spans="1:76" s="18" customFormat="1" ht="15.75">
      <c r="A4" s="94"/>
      <c r="B4" s="19">
        <f>Summary!C13</f>
        <v>509</v>
      </c>
      <c r="C4"/>
      <c r="G4" s="67"/>
      <c r="J4" s="268" t="s">
        <v>47</v>
      </c>
      <c r="L4" s="74"/>
      <c r="N4" s="69"/>
      <c r="O4" s="128" t="s">
        <v>406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282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69"/>
      <c r="AJ7" s="82" t="str">
        <f>+Summary!$O$4</f>
        <v xml:space="preserve"> As of 11/17/00</v>
      </c>
      <c r="AK7" s="69"/>
      <c r="AL7" s="82" t="str">
        <f>+Summary!$O$4</f>
        <v xml:space="preserve"> As of 11/17/00</v>
      </c>
      <c r="AM7" s="69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69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 t="str">
        <f>+Summary!$O$4</f>
        <v xml:space="preserve"> As of 11/17/00</v>
      </c>
      <c r="BA7" s="82"/>
      <c r="BB7" s="82" t="str">
        <f>+Summary!$O$4</f>
        <v xml:space="preserve"> As of 11/17/00</v>
      </c>
      <c r="BC7" s="82"/>
      <c r="BD7" s="82" t="str">
        <f>+Summary!$O$4</f>
        <v xml:space="preserve"> As of 11/17/00</v>
      </c>
      <c r="BE7" s="82"/>
      <c r="BF7" s="82" t="str">
        <f>+Summary!$O$4</f>
        <v xml:space="preserve"> As of 11/17/00</v>
      </c>
      <c r="BG7" s="82"/>
      <c r="BH7" s="82" t="str">
        <f>+Summary!$O$4</f>
        <v xml:space="preserve"> As of 11/17/00</v>
      </c>
      <c r="BI7" s="82"/>
      <c r="BJ7" s="82" t="str">
        <f>+Summary!$O$4</f>
        <v xml:space="preserve"> As of 11/17/00</v>
      </c>
      <c r="BK7" s="82"/>
      <c r="BL7" s="82" t="str">
        <f>+Summary!$O$4</f>
        <v xml:space="preserve"> As of 11/17/00</v>
      </c>
      <c r="BN7" s="71" t="str">
        <f>+Summary!$O$4</f>
        <v xml:space="preserve"> As of 11/17/00</v>
      </c>
      <c r="BP7" s="64" t="str">
        <f>+Summary!$O$4</f>
        <v xml:space="preserve"> As of 11/17/00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275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3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3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336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4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 hidden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3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 hidden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 hidden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 hidden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 hidden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3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58" t="s">
        <v>246</v>
      </c>
      <c r="B118" s="63"/>
      <c r="J118" s="155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3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3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3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376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377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6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430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3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3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3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3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3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3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3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268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269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270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271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272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6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6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7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7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7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7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277</v>
      </c>
      <c r="J189" s="157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7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7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7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6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5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6" customFormat="1">
      <c r="A205" s="165" t="s">
        <v>252</v>
      </c>
      <c r="J205" s="167"/>
      <c r="L205" s="168"/>
      <c r="M205" s="169"/>
      <c r="N205" s="169"/>
      <c r="O205" s="169"/>
      <c r="P205" s="169"/>
      <c r="Q205" s="169"/>
      <c r="R205" s="164">
        <f>R202+R200+R80+R70+R37</f>
        <v>0</v>
      </c>
      <c r="S205" s="164">
        <f t="shared" ref="S205:BV205" si="36">S37+S80+S70+S170+S89+S200+S202</f>
        <v>0</v>
      </c>
      <c r="T205" s="164">
        <f t="shared" si="36"/>
        <v>30080814</v>
      </c>
      <c r="U205" s="164">
        <f t="shared" si="36"/>
        <v>0</v>
      </c>
      <c r="V205" s="164">
        <f t="shared" si="36"/>
        <v>44071359</v>
      </c>
      <c r="W205" s="164">
        <f t="shared" si="36"/>
        <v>0</v>
      </c>
      <c r="X205" s="164">
        <f t="shared" si="36"/>
        <v>3684291.61</v>
      </c>
      <c r="Y205" s="164">
        <f t="shared" si="36"/>
        <v>0</v>
      </c>
      <c r="Z205" s="164">
        <f t="shared" si="36"/>
        <v>475448.42</v>
      </c>
      <c r="AA205" s="164">
        <f t="shared" si="36"/>
        <v>0</v>
      </c>
      <c r="AB205" s="164">
        <f t="shared" si="36"/>
        <v>3575429.56</v>
      </c>
      <c r="AC205" s="164">
        <f t="shared" si="36"/>
        <v>0</v>
      </c>
      <c r="AD205" s="164">
        <f t="shared" si="36"/>
        <v>7136491.0300000003</v>
      </c>
      <c r="AE205" s="164">
        <f t="shared" si="36"/>
        <v>0</v>
      </c>
      <c r="AF205" s="164">
        <f t="shared" si="36"/>
        <v>666001.55496666674</v>
      </c>
      <c r="AG205" s="164"/>
      <c r="AH205" s="164">
        <f t="shared" si="36"/>
        <v>1386914.0565032915</v>
      </c>
      <c r="AI205" s="164"/>
      <c r="AJ205" s="164">
        <f t="shared" si="36"/>
        <v>2148326.5742301848</v>
      </c>
      <c r="AK205" s="164"/>
      <c r="AL205" s="164">
        <f t="shared" si="36"/>
        <v>-93106786.032366812</v>
      </c>
      <c r="AM205" s="164"/>
      <c r="AN205" s="164">
        <f t="shared" si="36"/>
        <v>692746.19</v>
      </c>
      <c r="AO205" s="164"/>
      <c r="AP205" s="164">
        <f t="shared" si="36"/>
        <v>323352.19</v>
      </c>
      <c r="AQ205" s="164"/>
      <c r="AR205" s="164">
        <f t="shared" si="36"/>
        <v>16697.29</v>
      </c>
      <c r="AS205" s="164"/>
      <c r="AT205" s="164">
        <f t="shared" si="36"/>
        <v>250000</v>
      </c>
      <c r="AU205" s="164">
        <f t="shared" si="36"/>
        <v>0</v>
      </c>
      <c r="AV205" s="164">
        <f t="shared" si="36"/>
        <v>0</v>
      </c>
      <c r="AW205" s="164">
        <f t="shared" si="36"/>
        <v>0</v>
      </c>
      <c r="AX205" s="164">
        <f t="shared" si="36"/>
        <v>0</v>
      </c>
      <c r="AY205" s="164">
        <f t="shared" si="36"/>
        <v>0</v>
      </c>
      <c r="AZ205" s="164">
        <f t="shared" si="36"/>
        <v>0</v>
      </c>
      <c r="BA205" s="164">
        <f t="shared" si="36"/>
        <v>0</v>
      </c>
      <c r="BB205" s="164">
        <f t="shared" si="36"/>
        <v>0</v>
      </c>
      <c r="BC205" s="164">
        <f t="shared" si="36"/>
        <v>0</v>
      </c>
      <c r="BD205" s="164">
        <f t="shared" si="36"/>
        <v>6000</v>
      </c>
      <c r="BE205" s="164">
        <f t="shared" si="36"/>
        <v>0</v>
      </c>
      <c r="BF205" s="164">
        <f t="shared" si="36"/>
        <v>0</v>
      </c>
      <c r="BG205" s="164">
        <f t="shared" si="36"/>
        <v>0</v>
      </c>
      <c r="BH205" s="164">
        <f t="shared" si="36"/>
        <v>0</v>
      </c>
      <c r="BI205" s="164">
        <f t="shared" si="36"/>
        <v>0</v>
      </c>
      <c r="BJ205" s="164">
        <f t="shared" si="36"/>
        <v>0</v>
      </c>
      <c r="BK205" s="164">
        <f t="shared" si="36"/>
        <v>0</v>
      </c>
      <c r="BL205" s="164">
        <f t="shared" si="36"/>
        <v>0</v>
      </c>
      <c r="BM205" s="164">
        <f t="shared" si="36"/>
        <v>0</v>
      </c>
      <c r="BN205" s="164">
        <f t="shared" si="36"/>
        <v>1407085.4433333327</v>
      </c>
      <c r="BO205" s="164">
        <f t="shared" si="36"/>
        <v>2030320</v>
      </c>
      <c r="BP205" s="164">
        <f t="shared" si="36"/>
        <v>0</v>
      </c>
      <c r="BQ205" s="164">
        <f t="shared" si="36"/>
        <v>2030320</v>
      </c>
      <c r="BR205" s="164">
        <f t="shared" si="36"/>
        <v>0.62000000059197191</v>
      </c>
      <c r="BS205" s="164">
        <f t="shared" si="36"/>
        <v>2030320</v>
      </c>
      <c r="BT205" s="164">
        <f t="shared" si="36"/>
        <v>1407086.0633333332</v>
      </c>
      <c r="BU205" s="164">
        <f t="shared" si="36"/>
        <v>2030320</v>
      </c>
      <c r="BV205" s="164">
        <f t="shared" si="36"/>
        <v>-1407086.0633333332</v>
      </c>
      <c r="BW205" s="16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250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459</v>
      </c>
      <c r="B210" s="31"/>
      <c r="J210" s="8"/>
      <c r="L210" s="141" t="s">
        <v>460</v>
      </c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v>-400000</v>
      </c>
      <c r="BO210" s="9"/>
      <c r="BP210" s="10">
        <v>0</v>
      </c>
      <c r="BQ210" s="9"/>
      <c r="BR210" s="10">
        <v>0</v>
      </c>
      <c r="BS210" s="9"/>
      <c r="BT210" s="9">
        <f>+BN210+BR210</f>
        <v>-400000</v>
      </c>
      <c r="BU210" s="9"/>
      <c r="BV210" s="9">
        <f>+R210-BT210</f>
        <v>400000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329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265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251</v>
      </c>
      <c r="B216" s="54"/>
      <c r="J216" s="155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518970.44333333266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518971.06333333324</v>
      </c>
      <c r="BU216" s="121">
        <f t="shared" si="39"/>
        <v>2030320</v>
      </c>
      <c r="BV216" s="121">
        <f t="shared" si="39"/>
        <v>-518771.06333333324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6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6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6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6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6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6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6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6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6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6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6"/>
      <c r="BN232" s="22"/>
    </row>
    <row r="233" spans="11:124">
      <c r="K233" s="5"/>
      <c r="L233" s="146"/>
      <c r="BN233" s="22"/>
    </row>
    <row r="234" spans="11:124">
      <c r="K234" s="5"/>
      <c r="L234" s="146"/>
      <c r="BN234" s="22"/>
    </row>
    <row r="235" spans="11:124">
      <c r="K235" s="5"/>
      <c r="L235" s="146"/>
      <c r="BN235" s="22"/>
    </row>
    <row r="236" spans="11:124">
      <c r="K236" s="5"/>
      <c r="L236" s="146"/>
      <c r="BN236" s="22"/>
    </row>
    <row r="237" spans="11:124">
      <c r="K237" s="5"/>
      <c r="L237" s="146"/>
      <c r="BN237" s="22"/>
    </row>
    <row r="238" spans="11:124">
      <c r="K238" s="5"/>
      <c r="L238" s="146"/>
      <c r="BN238" s="22"/>
    </row>
    <row r="239" spans="11:124">
      <c r="K239" s="5"/>
      <c r="L239" s="146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52" bottom="0.25" header="0.5" footer="0.5"/>
  <pageSetup scale="3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299"/>
  <sheetViews>
    <sheetView topLeftCell="A152" zoomScale="80" zoomScaleNormal="80" workbookViewId="0">
      <pane xSplit="17" topLeftCell="R1" activePane="topRight" state="frozen"/>
      <selection activeCell="C2" sqref="C2"/>
      <selection pane="topRight" activeCell="C2" sqref="C2"/>
    </sheetView>
  </sheetViews>
  <sheetFormatPr defaultRowHeight="12.75"/>
  <cols>
    <col min="1" max="1" width="4.7109375" style="11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47" hidden="1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71093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7109375" style="6" hidden="1" customWidth="1"/>
    <col min="55" max="55" width="0.85546875" hidden="1" customWidth="1"/>
    <col min="56" max="56" width="18.570312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1.28515625" style="6" customWidth="1"/>
    <col min="64" max="64" width="18.5703125" style="65" hidden="1" customWidth="1"/>
    <col min="65" max="65" width="21.5703125" style="65" hidden="1" customWidth="1"/>
    <col min="66" max="66" width="2.140625" style="65" hidden="1" customWidth="1"/>
    <col min="67" max="67" width="21.5703125" style="65" hidden="1" customWidth="1"/>
    <col min="68" max="68" width="2.140625" style="4" hidden="1" customWidth="1"/>
    <col min="69" max="69" width="20.85546875" style="6" customWidth="1"/>
    <col min="70" max="70" width="0.85546875" style="4" customWidth="1"/>
    <col min="71" max="71" width="19.140625" style="65" customWidth="1"/>
    <col min="72" max="72" width="0.85546875" style="4" customWidth="1"/>
    <col min="73" max="73" width="23.85546875" style="6" bestFit="1" customWidth="1"/>
    <col min="74" max="74" width="1.7109375" style="6" customWidth="1"/>
    <col min="75" max="75" width="20.85546875" style="6" customWidth="1"/>
    <col min="76" max="76" width="1.7109375" style="6" customWidth="1"/>
    <col min="77" max="77" width="15.85546875" style="6" customWidth="1"/>
    <col min="78" max="78" width="0.85546875" style="4" customWidth="1"/>
    <col min="79" max="79" width="75.85546875" style="4" hidden="1" customWidth="1"/>
    <col min="80" max="16384" width="9.140625" style="4"/>
  </cols>
  <sheetData>
    <row r="1" spans="1:79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337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M1" s="81"/>
      <c r="BN1" s="81"/>
      <c r="BO1" s="81"/>
      <c r="BQ1" s="78"/>
      <c r="BS1" s="81"/>
      <c r="BU1" s="78"/>
      <c r="BV1" s="78"/>
      <c r="BW1" s="78"/>
      <c r="BX1" s="78"/>
      <c r="BY1" s="68"/>
    </row>
    <row r="2" spans="1:79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M2" s="81"/>
      <c r="BN2" s="81"/>
      <c r="BO2" s="81"/>
      <c r="BQ2" s="68"/>
      <c r="BS2" s="81"/>
      <c r="BU2" s="68"/>
      <c r="BV2" s="68"/>
      <c r="BW2" s="68"/>
      <c r="BX2" s="68"/>
      <c r="BY2" s="106" t="str">
        <f ca="1">CELL("filename")</f>
        <v>O:\Fin_Ops\Engysvc\PowerPlants\2000 Plants\Weekly Report\[2000 Weekly Report - 112000.xls]Summary</v>
      </c>
    </row>
    <row r="3" spans="1:79" s="18" customFormat="1" ht="15.75">
      <c r="A3" s="278" t="s">
        <v>289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M3" s="81"/>
      <c r="BN3" s="81"/>
      <c r="BO3" s="81"/>
      <c r="BQ3" s="23"/>
      <c r="BS3" s="81"/>
      <c r="BU3" s="23">
        <f ca="1">NOW()</f>
        <v>36857.654951388889</v>
      </c>
      <c r="BW3" s="23"/>
      <c r="BY3" s="78" t="str">
        <f>Summary!A5</f>
        <v>Revision # 68</v>
      </c>
    </row>
    <row r="4" spans="1:79" s="18" customFormat="1" ht="15.75">
      <c r="A4" s="279"/>
      <c r="B4" s="19">
        <f>Summary!C13</f>
        <v>509</v>
      </c>
      <c r="C4"/>
      <c r="G4" s="67"/>
      <c r="J4" s="67"/>
      <c r="L4" s="268" t="s">
        <v>47</v>
      </c>
      <c r="N4" s="69"/>
      <c r="O4" s="128" t="s">
        <v>455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 t="s">
        <v>122</v>
      </c>
      <c r="BN4" s="82"/>
      <c r="BO4" s="82" t="s">
        <v>122</v>
      </c>
      <c r="BQ4" s="71"/>
      <c r="BS4" s="70" t="s">
        <v>129</v>
      </c>
      <c r="BU4" s="71"/>
      <c r="BW4" s="71"/>
      <c r="BY4" s="71"/>
    </row>
    <row r="5" spans="1:79" s="18" customFormat="1" ht="15.75">
      <c r="A5" s="280" t="str">
        <f>Summary!A5</f>
        <v>Revision # 68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 t="s">
        <v>123</v>
      </c>
      <c r="BN5" s="82"/>
      <c r="BO5" s="82" t="s">
        <v>123</v>
      </c>
      <c r="BQ5" s="71" t="s">
        <v>44</v>
      </c>
      <c r="BS5" s="70" t="s">
        <v>130</v>
      </c>
      <c r="BU5" s="71" t="s">
        <v>42</v>
      </c>
      <c r="BW5" s="71" t="s">
        <v>144</v>
      </c>
      <c r="BY5" s="71"/>
    </row>
    <row r="6" spans="1:79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287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M6" s="83">
        <v>36830</v>
      </c>
      <c r="BN6" s="83"/>
      <c r="BO6" s="83">
        <v>36860</v>
      </c>
      <c r="BQ6" s="75" t="s">
        <v>126</v>
      </c>
      <c r="BS6" s="73" t="s">
        <v>131</v>
      </c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75">
      <c r="A7" s="280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69"/>
      <c r="AJ7" s="82" t="str">
        <f>+Summary!$O$4</f>
        <v xml:space="preserve"> As of 11/17/00</v>
      </c>
      <c r="AK7" s="69"/>
      <c r="AL7" s="82" t="str">
        <f>+Summary!$O$4</f>
        <v xml:space="preserve"> As of 11/17/00</v>
      </c>
      <c r="AM7" s="69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69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 t="str">
        <f>+Summary!$O$4</f>
        <v xml:space="preserve"> As of 11/17/00</v>
      </c>
      <c r="BA7" s="82"/>
      <c r="BB7" s="82" t="str">
        <f>BS7</f>
        <v xml:space="preserve"> As of 11/17/00</v>
      </c>
      <c r="BC7"/>
      <c r="BD7" s="82" t="str">
        <f>+Summary!$O$4</f>
        <v xml:space="preserve"> As of 11/17/00</v>
      </c>
      <c r="BE7"/>
      <c r="BF7" s="82" t="str">
        <f>+Summary!$O$4</f>
        <v xml:space="preserve"> As of 11/17/00</v>
      </c>
      <c r="BG7" s="82"/>
      <c r="BH7" s="82" t="str">
        <f>+Summary!$O$4</f>
        <v xml:space="preserve"> As of 11/17/00</v>
      </c>
      <c r="BI7" s="82"/>
      <c r="BJ7" s="82" t="str">
        <f>+Summary!$O$4</f>
        <v xml:space="preserve"> As of 11/17/00</v>
      </c>
      <c r="BK7" s="82"/>
      <c r="BL7" s="82" t="str">
        <f>+Summary!$O$4</f>
        <v xml:space="preserve"> As of 11/17/00</v>
      </c>
      <c r="BM7" s="82" t="str">
        <f>+Summary!$O$4</f>
        <v xml:space="preserve"> As of 11/17/00</v>
      </c>
      <c r="BN7" s="82"/>
      <c r="BO7" s="82" t="str">
        <f>+Summary!$O$4</f>
        <v xml:space="preserve"> As of 11/17/00</v>
      </c>
      <c r="BQ7" s="257" t="str">
        <f>+Summary!$O$4</f>
        <v xml:space="preserve"> As of 11/17/00</v>
      </c>
      <c r="BS7" s="64" t="str">
        <f>+Summary!$O$4</f>
        <v xml:space="preserve"> As of 11/17/00</v>
      </c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6"/>
      <c r="BR8" s="6"/>
      <c r="BS8" s="22"/>
      <c r="BT8" s="6"/>
      <c r="BZ8" s="6"/>
    </row>
    <row r="9" spans="1:79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>
        <v>0</v>
      </c>
      <c r="BN9" s="6"/>
      <c r="BO9" s="6">
        <v>0</v>
      </c>
      <c r="BP9" s="6"/>
      <c r="BQ9" s="6">
        <f t="shared" ref="BQ9:BQ14" si="0">SUM(T9:BP9)</f>
        <v>63409990.049999997</v>
      </c>
      <c r="BR9" s="6"/>
      <c r="BS9" s="6">
        <f>62515521-R9</f>
        <v>370521</v>
      </c>
      <c r="BT9" s="6"/>
      <c r="BU9" s="6">
        <f t="shared" ref="BU9:BU15" si="1">IF(+R9-BQ9+BS9&gt;0,R9-BQ9+BS9,0)</f>
        <v>0</v>
      </c>
      <c r="BW9" s="6">
        <f t="shared" ref="BW9:BW14" si="2">+BQ9+BU9</f>
        <v>63409990.049999997</v>
      </c>
      <c r="BY9" s="6">
        <f t="shared" ref="BY9:BY15" si="3">+R9-BW9</f>
        <v>-1264990.049999997</v>
      </c>
      <c r="BZ9" s="6"/>
    </row>
    <row r="10" spans="1:79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>
        <v>0</v>
      </c>
      <c r="BN10" s="6"/>
      <c r="BO10" s="6">
        <v>0</v>
      </c>
      <c r="BP10" s="6"/>
      <c r="BQ10" s="6">
        <f t="shared" si="0"/>
        <v>29625750</v>
      </c>
      <c r="BR10" s="6"/>
      <c r="BS10" s="6">
        <f>32649500-R10</f>
        <v>1464500</v>
      </c>
      <c r="BT10" s="6"/>
      <c r="BU10" s="6">
        <f t="shared" si="1"/>
        <v>3023750</v>
      </c>
      <c r="BW10" s="6">
        <f t="shared" si="2"/>
        <v>32649500</v>
      </c>
      <c r="BY10" s="6">
        <f t="shared" si="3"/>
        <v>-1464500</v>
      </c>
      <c r="BZ10" s="6"/>
    </row>
    <row r="11" spans="1:79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>
        <v>0</v>
      </c>
      <c r="BN11" s="6"/>
      <c r="BO11" s="6">
        <v>0</v>
      </c>
      <c r="BP11" s="6"/>
      <c r="BQ11" s="6">
        <f t="shared" si="0"/>
        <v>0</v>
      </c>
      <c r="BR11" s="6"/>
      <c r="BS11" s="6">
        <v>0</v>
      </c>
      <c r="BT11" s="6"/>
      <c r="BU11" s="6">
        <f t="shared" si="1"/>
        <v>0</v>
      </c>
      <c r="BW11" s="6">
        <f t="shared" si="2"/>
        <v>0</v>
      </c>
      <c r="BY11" s="6">
        <f t="shared" si="3"/>
        <v>0</v>
      </c>
      <c r="BZ11" s="6"/>
    </row>
    <row r="12" spans="1:79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>
        <v>0</v>
      </c>
      <c r="BN12" s="6"/>
      <c r="BO12" s="6">
        <v>0</v>
      </c>
      <c r="BP12" s="6"/>
      <c r="BQ12" s="6">
        <f t="shared" si="0"/>
        <v>0</v>
      </c>
      <c r="BR12" s="6"/>
      <c r="BS12" s="6">
        <v>0</v>
      </c>
      <c r="BT12" s="6"/>
      <c r="BU12" s="6">
        <f t="shared" si="1"/>
        <v>0</v>
      </c>
      <c r="BW12" s="6">
        <f t="shared" si="2"/>
        <v>0</v>
      </c>
      <c r="BY12" s="6">
        <f t="shared" si="3"/>
        <v>0</v>
      </c>
      <c r="BZ12" s="6"/>
    </row>
    <row r="13" spans="1:79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>
        <v>0</v>
      </c>
      <c r="BN13" s="6"/>
      <c r="BO13" s="6">
        <v>0</v>
      </c>
      <c r="BP13" s="6"/>
      <c r="BQ13" s="6">
        <f t="shared" si="0"/>
        <v>0</v>
      </c>
      <c r="BR13" s="6"/>
      <c r="BS13" s="6">
        <v>0</v>
      </c>
      <c r="BT13" s="6"/>
      <c r="BU13" s="6">
        <f t="shared" si="1"/>
        <v>0</v>
      </c>
      <c r="BW13" s="6">
        <f t="shared" si="2"/>
        <v>0</v>
      </c>
      <c r="BY13" s="6">
        <f t="shared" si="3"/>
        <v>0</v>
      </c>
      <c r="BZ13" s="6"/>
    </row>
    <row r="14" spans="1:79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>
        <v>0</v>
      </c>
      <c r="BN14" s="6"/>
      <c r="BO14" s="6">
        <v>0</v>
      </c>
      <c r="BP14" s="6"/>
      <c r="BQ14" s="6">
        <f t="shared" si="0"/>
        <v>874426.2</v>
      </c>
      <c r="BR14" s="6"/>
      <c r="BS14" s="6">
        <f>59734+767227+46974+39315-250000</f>
        <v>663250</v>
      </c>
      <c r="BT14" s="6"/>
      <c r="BU14" s="6">
        <f t="shared" si="1"/>
        <v>38823.800000000047</v>
      </c>
      <c r="BW14" s="6">
        <f t="shared" si="2"/>
        <v>913250</v>
      </c>
      <c r="BY14" s="6">
        <f t="shared" si="3"/>
        <v>-663250</v>
      </c>
      <c r="BZ14" s="6"/>
    </row>
    <row r="15" spans="1:79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6"/>
      <c r="BQ15" s="12"/>
      <c r="BR15" s="6"/>
      <c r="BS15" s="12"/>
      <c r="BT15" s="6"/>
      <c r="BU15" s="6">
        <f t="shared" si="1"/>
        <v>0</v>
      </c>
      <c r="BW15" s="12"/>
      <c r="BY15" s="6">
        <f t="shared" si="3"/>
        <v>0</v>
      </c>
      <c r="BZ15" s="6"/>
    </row>
    <row r="16" spans="1:79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101">
        <f>SUM(BM9:BM15)</f>
        <v>0</v>
      </c>
      <c r="BN16" s="101"/>
      <c r="BO16" s="101">
        <f>SUM(BO9:BO15)</f>
        <v>0</v>
      </c>
      <c r="BP16" s="6"/>
      <c r="BQ16" s="101">
        <f>SUM(BQ9:BQ15)</f>
        <v>93910166.25</v>
      </c>
      <c r="BR16" s="6"/>
      <c r="BS16" s="101">
        <f>SUM(BS9:BS15)</f>
        <v>2498271</v>
      </c>
      <c r="BT16" s="6"/>
      <c r="BU16" s="101">
        <f>SUM(BU9:BU15)</f>
        <v>3062573.8</v>
      </c>
      <c r="BW16" s="101">
        <f>SUM(BW9:BW15)</f>
        <v>96972740.049999997</v>
      </c>
      <c r="BY16" s="101">
        <f>SUM(BY9:BY15)</f>
        <v>-3392740.049999997</v>
      </c>
      <c r="BZ16" s="6"/>
    </row>
    <row r="17" spans="1:78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P17" s="6"/>
      <c r="BR17" s="6"/>
      <c r="BS17" s="6"/>
      <c r="BT17" s="6"/>
      <c r="BZ17" s="6"/>
    </row>
    <row r="18" spans="1:78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>
        <v>0</v>
      </c>
      <c r="BN18" s="6"/>
      <c r="BO18" s="6">
        <v>0</v>
      </c>
      <c r="BP18" s="6"/>
      <c r="BQ18" s="6">
        <f>SUM(T18:BP18)</f>
        <v>0</v>
      </c>
      <c r="BR18" s="6"/>
      <c r="BS18" s="6">
        <v>0</v>
      </c>
      <c r="BT18" s="6"/>
      <c r="BU18" s="6">
        <f>+R18-BQ18+BS18</f>
        <v>0</v>
      </c>
      <c r="BW18" s="6">
        <f t="shared" ref="BW18:BW34" si="4">+BQ18+BU18</f>
        <v>0</v>
      </c>
      <c r="BY18" s="6">
        <f t="shared" ref="BY18:BY34" si="5">+R18-BW18</f>
        <v>0</v>
      </c>
      <c r="BZ18" s="6"/>
    </row>
    <row r="19" spans="1:78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>
        <v>0</v>
      </c>
      <c r="BN19" s="6"/>
      <c r="BO19" s="6">
        <v>0</v>
      </c>
      <c r="BP19" s="6"/>
      <c r="BQ19" s="6">
        <f>SUM(T19:BP19)</f>
        <v>6268160.6999999993</v>
      </c>
      <c r="BR19" s="6"/>
      <c r="BS19" s="6">
        <f>220650+161700</f>
        <v>382350</v>
      </c>
      <c r="BT19" s="6"/>
      <c r="BU19" s="6">
        <f t="shared" ref="BU19:BU34" si="6">IF(+R19-BQ19+BS19&gt;0,R19-BQ19+BS19,0)</f>
        <v>0.30000000074505806</v>
      </c>
      <c r="BW19" s="6">
        <f t="shared" si="4"/>
        <v>6268161</v>
      </c>
      <c r="BY19" s="6">
        <f t="shared" si="5"/>
        <v>-382350</v>
      </c>
      <c r="BZ19" s="6"/>
    </row>
    <row r="20" spans="1:78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/>
      <c r="BQ20" s="6">
        <f t="shared" ref="BQ20:BQ33" si="7">SUM(T20:BP20)</f>
        <v>58500</v>
      </c>
      <c r="BR20" s="6"/>
      <c r="BS20" s="6"/>
      <c r="BT20" s="6"/>
      <c r="BU20" s="6">
        <f t="shared" si="6"/>
        <v>0</v>
      </c>
      <c r="BW20" s="6">
        <f t="shared" si="4"/>
        <v>58500</v>
      </c>
      <c r="BY20" s="6">
        <f t="shared" si="5"/>
        <v>-58500</v>
      </c>
      <c r="BZ20" s="6"/>
    </row>
    <row r="21" spans="1:78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/>
      <c r="BQ21" s="6">
        <f t="shared" si="7"/>
        <v>0</v>
      </c>
      <c r="BR21" s="6"/>
      <c r="BS21" s="6"/>
      <c r="BT21" s="6"/>
      <c r="BU21" s="6">
        <f t="shared" si="6"/>
        <v>0</v>
      </c>
      <c r="BW21" s="6">
        <f t="shared" si="4"/>
        <v>0</v>
      </c>
      <c r="BY21" s="6">
        <f t="shared" si="5"/>
        <v>0</v>
      </c>
      <c r="BZ21" s="6"/>
    </row>
    <row r="22" spans="1:78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/>
      <c r="BQ22" s="6">
        <f t="shared" si="7"/>
        <v>0</v>
      </c>
      <c r="BR22" s="6"/>
      <c r="BS22" s="6"/>
      <c r="BT22" s="6"/>
      <c r="BU22" s="6">
        <f t="shared" si="6"/>
        <v>0</v>
      </c>
      <c r="BW22" s="6">
        <f t="shared" si="4"/>
        <v>0</v>
      </c>
      <c r="BY22" s="6">
        <f t="shared" si="5"/>
        <v>0</v>
      </c>
      <c r="BZ22" s="6"/>
    </row>
    <row r="23" spans="1:78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/>
      <c r="BQ23" s="6">
        <f t="shared" si="7"/>
        <v>0</v>
      </c>
      <c r="BR23" s="6"/>
      <c r="BS23" s="6"/>
      <c r="BT23" s="6"/>
      <c r="BU23" s="6">
        <f t="shared" si="6"/>
        <v>0</v>
      </c>
      <c r="BW23" s="6">
        <f t="shared" si="4"/>
        <v>0</v>
      </c>
      <c r="BY23" s="6">
        <f t="shared" si="5"/>
        <v>0</v>
      </c>
      <c r="BZ23" s="6"/>
    </row>
    <row r="24" spans="1:78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/>
      <c r="BQ24" s="6">
        <f t="shared" si="7"/>
        <v>0</v>
      </c>
      <c r="BR24" s="6"/>
      <c r="BS24" s="6"/>
      <c r="BT24" s="6"/>
      <c r="BU24" s="6">
        <f t="shared" si="6"/>
        <v>0</v>
      </c>
      <c r="BW24" s="6">
        <f t="shared" si="4"/>
        <v>0</v>
      </c>
      <c r="BY24" s="6">
        <f t="shared" si="5"/>
        <v>0</v>
      </c>
      <c r="BZ24" s="6"/>
    </row>
    <row r="25" spans="1:78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>
        <v>0</v>
      </c>
      <c r="BN25" s="6"/>
      <c r="BO25" s="6">
        <v>0</v>
      </c>
      <c r="BP25" s="6"/>
      <c r="BQ25" s="6">
        <f t="shared" si="7"/>
        <v>0</v>
      </c>
      <c r="BR25" s="6"/>
      <c r="BS25" s="6">
        <v>0</v>
      </c>
      <c r="BT25" s="6"/>
      <c r="BU25" s="6">
        <f t="shared" si="6"/>
        <v>0</v>
      </c>
      <c r="BW25" s="6">
        <f t="shared" si="4"/>
        <v>0</v>
      </c>
      <c r="BY25" s="6">
        <f t="shared" si="5"/>
        <v>0</v>
      </c>
      <c r="BZ25" s="6"/>
    </row>
    <row r="26" spans="1:78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>
        <v>0</v>
      </c>
      <c r="BN26" s="6"/>
      <c r="BO26" s="6">
        <v>0</v>
      </c>
      <c r="BP26" s="6"/>
      <c r="BQ26" s="6">
        <f t="shared" si="7"/>
        <v>0</v>
      </c>
      <c r="BR26" s="6"/>
      <c r="BS26" s="6">
        <v>0</v>
      </c>
      <c r="BT26" s="6"/>
      <c r="BU26" s="6">
        <f t="shared" si="6"/>
        <v>0</v>
      </c>
      <c r="BW26" s="6">
        <f t="shared" si="4"/>
        <v>0</v>
      </c>
      <c r="BY26" s="6">
        <f t="shared" si="5"/>
        <v>0</v>
      </c>
      <c r="BZ26" s="6"/>
    </row>
    <row r="27" spans="1:78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>
        <v>0</v>
      </c>
      <c r="BN27" s="6"/>
      <c r="BO27" s="6">
        <v>0</v>
      </c>
      <c r="BP27" s="6"/>
      <c r="BQ27" s="6">
        <f t="shared" si="7"/>
        <v>0</v>
      </c>
      <c r="BR27" s="6"/>
      <c r="BS27" s="6">
        <v>0</v>
      </c>
      <c r="BT27" s="6"/>
      <c r="BU27" s="6">
        <f t="shared" si="6"/>
        <v>0</v>
      </c>
      <c r="BW27" s="6">
        <f t="shared" si="4"/>
        <v>0</v>
      </c>
      <c r="BY27" s="6">
        <f t="shared" si="5"/>
        <v>0</v>
      </c>
      <c r="BZ27" s="6"/>
    </row>
    <row r="28" spans="1:78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>
        <v>0</v>
      </c>
      <c r="BN28" s="6"/>
      <c r="BO28" s="6">
        <v>0</v>
      </c>
      <c r="BP28" s="6"/>
      <c r="BQ28" s="6">
        <f t="shared" si="7"/>
        <v>0</v>
      </c>
      <c r="BR28" s="6"/>
      <c r="BS28" s="6">
        <v>0</v>
      </c>
      <c r="BT28" s="6"/>
      <c r="BU28" s="6">
        <f t="shared" si="6"/>
        <v>0</v>
      </c>
      <c r="BW28" s="6">
        <f t="shared" si="4"/>
        <v>0</v>
      </c>
      <c r="BY28" s="6">
        <f t="shared" si="5"/>
        <v>0</v>
      </c>
      <c r="BZ28" s="6"/>
    </row>
    <row r="29" spans="1:78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>
        <v>0</v>
      </c>
      <c r="BN29" s="6"/>
      <c r="BO29" s="6">
        <v>0</v>
      </c>
      <c r="BP29" s="6"/>
      <c r="BQ29" s="6">
        <f t="shared" si="7"/>
        <v>0</v>
      </c>
      <c r="BR29" s="6"/>
      <c r="BS29" s="6">
        <v>0</v>
      </c>
      <c r="BT29" s="6"/>
      <c r="BU29" s="6">
        <f t="shared" si="6"/>
        <v>0</v>
      </c>
      <c r="BW29" s="6">
        <f t="shared" si="4"/>
        <v>0</v>
      </c>
      <c r="BY29" s="6">
        <f t="shared" si="5"/>
        <v>0</v>
      </c>
      <c r="BZ29" s="6"/>
    </row>
    <row r="30" spans="1:78" hidden="1">
      <c r="A30" s="281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>
        <v>0</v>
      </c>
      <c r="BN30" s="6"/>
      <c r="BO30" s="6">
        <v>0</v>
      </c>
      <c r="BP30" s="6"/>
      <c r="BQ30" s="6">
        <f t="shared" si="7"/>
        <v>0</v>
      </c>
      <c r="BR30" s="6"/>
      <c r="BS30" s="6">
        <v>0</v>
      </c>
      <c r="BT30" s="6"/>
      <c r="BU30" s="6">
        <f t="shared" si="6"/>
        <v>0</v>
      </c>
      <c r="BW30" s="6">
        <f t="shared" si="4"/>
        <v>0</v>
      </c>
      <c r="BY30" s="6">
        <f t="shared" si="5"/>
        <v>0</v>
      </c>
      <c r="BZ30" s="6"/>
    </row>
    <row r="31" spans="1:78" hidden="1">
      <c r="A31" s="281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>
        <v>0</v>
      </c>
      <c r="BN31" s="6"/>
      <c r="BO31" s="6">
        <v>0</v>
      </c>
      <c r="BP31" s="6"/>
      <c r="BQ31" s="6">
        <f t="shared" si="7"/>
        <v>0</v>
      </c>
      <c r="BR31" s="6"/>
      <c r="BS31" s="6">
        <v>0</v>
      </c>
      <c r="BT31" s="6"/>
      <c r="BU31" s="6">
        <f t="shared" si="6"/>
        <v>0</v>
      </c>
      <c r="BW31" s="6">
        <f t="shared" si="4"/>
        <v>0</v>
      </c>
      <c r="BY31" s="6">
        <f t="shared" si="5"/>
        <v>0</v>
      </c>
      <c r="BZ31" s="6"/>
    </row>
    <row r="32" spans="1:78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>
        <v>0</v>
      </c>
      <c r="BN32" s="12"/>
      <c r="BO32" s="12">
        <v>0</v>
      </c>
      <c r="BP32" s="12"/>
      <c r="BQ32" s="6">
        <f t="shared" si="7"/>
        <v>0</v>
      </c>
      <c r="BR32" s="12"/>
      <c r="BS32" s="12">
        <v>0</v>
      </c>
      <c r="BT32" s="12"/>
      <c r="BU32" s="6">
        <f t="shared" si="6"/>
        <v>0</v>
      </c>
      <c r="BV32" s="12"/>
      <c r="BW32" s="6">
        <f t="shared" si="4"/>
        <v>0</v>
      </c>
      <c r="BX32" s="12"/>
      <c r="BY32" s="6">
        <f t="shared" si="5"/>
        <v>0</v>
      </c>
      <c r="BZ32" s="12"/>
    </row>
    <row r="33" spans="1:78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12">
        <v>0</v>
      </c>
      <c r="BN33" s="12"/>
      <c r="BO33" s="12">
        <v>0</v>
      </c>
      <c r="BP33" s="6"/>
      <c r="BQ33" s="6">
        <f t="shared" si="7"/>
        <v>138800</v>
      </c>
      <c r="BR33" s="6"/>
      <c r="BS33" s="12">
        <v>0</v>
      </c>
      <c r="BT33" s="6"/>
      <c r="BU33" s="6">
        <f t="shared" si="6"/>
        <v>0</v>
      </c>
      <c r="BW33" s="6">
        <f t="shared" si="4"/>
        <v>138800</v>
      </c>
      <c r="BY33" s="6">
        <f t="shared" si="5"/>
        <v>-138800</v>
      </c>
      <c r="BZ33" s="12"/>
    </row>
    <row r="34" spans="1:78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6"/>
      <c r="BQ34" s="12"/>
      <c r="BR34" s="6"/>
      <c r="BS34" s="12"/>
      <c r="BT34" s="6"/>
      <c r="BU34" s="6">
        <f t="shared" si="6"/>
        <v>0</v>
      </c>
      <c r="BW34" s="6">
        <f t="shared" si="4"/>
        <v>0</v>
      </c>
      <c r="BY34" s="6">
        <f t="shared" si="5"/>
        <v>0</v>
      </c>
      <c r="BZ34" s="12"/>
    </row>
    <row r="35" spans="1:78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101">
        <f>SUM(BM18:BM34)</f>
        <v>0</v>
      </c>
      <c r="BN35" s="101"/>
      <c r="BO35" s="101">
        <f>SUM(BO18:BO34)</f>
        <v>0</v>
      </c>
      <c r="BP35" s="6"/>
      <c r="BQ35" s="101">
        <f>SUM(BQ18:BQ34)</f>
        <v>6465460.6999999993</v>
      </c>
      <c r="BR35" s="6"/>
      <c r="BS35" s="101">
        <f>SUM(BS18:BS34)</f>
        <v>382350</v>
      </c>
      <c r="BT35" s="6"/>
      <c r="BU35" s="101">
        <f>SUM(BU18:BU34)</f>
        <v>0.30000000074505806</v>
      </c>
      <c r="BW35" s="101">
        <f>SUM(BW18:BW34)</f>
        <v>6465461</v>
      </c>
      <c r="BY35" s="101">
        <f>SUM(BY18:BY34)</f>
        <v>-579650</v>
      </c>
      <c r="BZ35" s="12"/>
    </row>
    <row r="36" spans="1:78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6"/>
      <c r="BQ36" s="12"/>
      <c r="BR36" s="6"/>
      <c r="BS36" s="12"/>
      <c r="BT36" s="6"/>
      <c r="BU36" s="12"/>
      <c r="BW36" s="12"/>
      <c r="BY36" s="12"/>
      <c r="BZ36" s="12"/>
    </row>
    <row r="37" spans="1:78" s="114" customFormat="1">
      <c r="A37" s="28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>
        <f>+BM35+BM16</f>
        <v>0</v>
      </c>
      <c r="BN37" s="115"/>
      <c r="BO37" s="115">
        <f>+BO35+BO16</f>
        <v>0</v>
      </c>
      <c r="BP37" s="115"/>
      <c r="BQ37" s="115">
        <f>+BQ35+BQ16</f>
        <v>100375626.95</v>
      </c>
      <c r="BR37" s="115"/>
      <c r="BS37" s="115">
        <f>+BS35+BS16</f>
        <v>2880621</v>
      </c>
      <c r="BT37" s="115"/>
      <c r="BU37" s="115">
        <f>+BU35+BU16</f>
        <v>3062574.1000000006</v>
      </c>
      <c r="BV37" s="115"/>
      <c r="BW37" s="115">
        <f>+BW35+BW16</f>
        <v>103438201.05</v>
      </c>
      <c r="BX37" s="115"/>
      <c r="BY37" s="115">
        <f>+BY35+BY16</f>
        <v>-3972390.049999997</v>
      </c>
      <c r="BZ37" s="115"/>
    </row>
    <row r="38" spans="1:78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P38" s="6"/>
      <c r="BR38" s="6"/>
      <c r="BS38" s="6"/>
      <c r="BT38" s="6"/>
      <c r="BZ38" s="6"/>
    </row>
    <row r="39" spans="1:78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P39" s="6"/>
      <c r="BR39" s="6"/>
      <c r="BS39" s="6"/>
      <c r="BT39" s="6"/>
      <c r="BZ39" s="6"/>
    </row>
    <row r="40" spans="1:78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P40" s="6"/>
      <c r="BR40" s="6"/>
      <c r="BS40" s="6"/>
      <c r="BT40" s="6"/>
      <c r="BY40" s="4"/>
    </row>
    <row r="41" spans="1:78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P41" s="6"/>
      <c r="BR41" s="6"/>
      <c r="BS41" s="6"/>
      <c r="BT41" s="6"/>
      <c r="BY41" s="4"/>
    </row>
    <row r="42" spans="1:78">
      <c r="A42" s="100"/>
      <c r="B42" s="228" t="s">
        <v>294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P42" s="6"/>
      <c r="BR42" s="6"/>
      <c r="BS42" s="6"/>
      <c r="BT42" s="6"/>
      <c r="BY42" s="4"/>
    </row>
    <row r="43" spans="1:78">
      <c r="A43" s="100"/>
      <c r="B43" s="229" t="s">
        <v>292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1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/>
      <c r="BN43"/>
      <c r="BO43"/>
      <c r="BP43" s="6"/>
      <c r="BQ43" s="6">
        <f t="shared" ref="BQ43:BQ53" si="9">SUM(T43:BP43)</f>
        <v>1344184</v>
      </c>
      <c r="BR43" s="6"/>
      <c r="BS43" s="6">
        <f>1508635-1493645</f>
        <v>14990</v>
      </c>
      <c r="BT43" s="6"/>
      <c r="BU43" s="6">
        <f>IF(+R43-AR43+BS43&gt;0,R43-AR43+BS43,0)</f>
        <v>1497183</v>
      </c>
      <c r="BW43" s="6">
        <f>+AR43+BU43</f>
        <v>1508635</v>
      </c>
      <c r="BY43" s="6">
        <f t="shared" ref="BY43:BY54" si="10">+R43-BW43</f>
        <v>-14990</v>
      </c>
    </row>
    <row r="44" spans="1:78">
      <c r="A44" s="100"/>
      <c r="B44" s="229" t="s">
        <v>381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1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/>
      <c r="BN44"/>
      <c r="BO44"/>
      <c r="BP44" s="6"/>
      <c r="BQ44" s="6">
        <f t="shared" si="9"/>
        <v>1597694</v>
      </c>
      <c r="BR44" s="6"/>
      <c r="BS44" s="6">
        <f>2075718-1564045</f>
        <v>511673</v>
      </c>
      <c r="BT44" s="6"/>
      <c r="BU44" s="6">
        <f>IF(+R44-AR44+BS44&gt;0,R44-AR44+BS44,0)</f>
        <v>2020230</v>
      </c>
      <c r="BW44" s="6">
        <f>+AR44+BU44</f>
        <v>2075718</v>
      </c>
      <c r="BY44" s="6">
        <f t="shared" si="10"/>
        <v>-511673</v>
      </c>
    </row>
    <row r="45" spans="1:78">
      <c r="A45" s="100"/>
      <c r="B45" s="229" t="s">
        <v>382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1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58">
        <f>2452211-1506977</f>
        <v>945234</v>
      </c>
      <c r="BH45" s="6">
        <f>3634383-2452211</f>
        <v>1182172</v>
      </c>
      <c r="BL45"/>
      <c r="BM45"/>
      <c r="BN45"/>
      <c r="BO45"/>
      <c r="BP45" s="6"/>
      <c r="BQ45" s="6">
        <f t="shared" si="9"/>
        <v>3634383</v>
      </c>
      <c r="BR45" s="6"/>
      <c r="BS45" s="6">
        <f>11814208-11021245</f>
        <v>792963</v>
      </c>
      <c r="BT45" s="6"/>
      <c r="BU45" s="6">
        <f>IF(+R45-AR45+BS45&gt;0,R45-AR45+BS45,0)</f>
        <v>11530651</v>
      </c>
      <c r="BW45" s="6">
        <f>+AR45+BU45</f>
        <v>11814208</v>
      </c>
      <c r="BY45" s="6">
        <f t="shared" si="10"/>
        <v>-792963</v>
      </c>
    </row>
    <row r="46" spans="1:78">
      <c r="A46" s="100"/>
      <c r="B46" s="229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/>
      <c r="BN46"/>
      <c r="BO46"/>
      <c r="BP46" s="6"/>
      <c r="BQ46" s="6">
        <f t="shared" si="9"/>
        <v>464879</v>
      </c>
      <c r="BR46" s="6"/>
      <c r="BS46" s="6">
        <f>592469-538785</f>
        <v>53684</v>
      </c>
      <c r="BT46" s="6"/>
      <c r="BU46" s="6">
        <f>IF(+R46-AR46+BS46&gt;0,R46-AR46+BS46,0)</f>
        <v>533755</v>
      </c>
      <c r="BW46" s="6">
        <f>+AR46+BU46</f>
        <v>592469</v>
      </c>
      <c r="BY46" s="6">
        <f t="shared" si="10"/>
        <v>-53684</v>
      </c>
    </row>
    <row r="47" spans="1:78">
      <c r="A47" s="100"/>
      <c r="B47" s="229" t="s">
        <v>363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1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/>
      <c r="BN47"/>
      <c r="BO47"/>
      <c r="BP47" s="6"/>
      <c r="BQ47" s="6">
        <f t="shared" si="9"/>
        <v>137472</v>
      </c>
      <c r="BR47" s="6"/>
      <c r="BS47" s="6">
        <v>0</v>
      </c>
      <c r="BT47" s="6"/>
      <c r="BU47" s="6">
        <f>IF(+R47-AR47+BS47&gt;0,R47-AR47+BS47,0)</f>
        <v>138393</v>
      </c>
      <c r="BW47" s="6">
        <f>+AR47+BU47</f>
        <v>150000</v>
      </c>
      <c r="BY47" s="6">
        <f t="shared" si="10"/>
        <v>0</v>
      </c>
    </row>
    <row r="48" spans="1:78">
      <c r="A48" s="100"/>
      <c r="B48" s="229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1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/>
      <c r="BQ48" s="6">
        <f t="shared" si="9"/>
        <v>0</v>
      </c>
      <c r="BR48" s="6"/>
      <c r="BS48" s="6">
        <v>421112</v>
      </c>
      <c r="BT48" s="6"/>
      <c r="BU48" s="6">
        <f t="shared" ref="BU48:BU53" si="11">IF(+R48-BQ48+BS48&gt;0,R48-BQ48+BS48,0)</f>
        <v>421112</v>
      </c>
      <c r="BW48" s="6">
        <f t="shared" ref="BW48:BW53" si="12">+BQ48+BU48</f>
        <v>421112</v>
      </c>
      <c r="BY48" s="6">
        <f t="shared" si="10"/>
        <v>-421112</v>
      </c>
    </row>
    <row r="49" spans="1:77">
      <c r="A49" s="100"/>
      <c r="B49" s="229" t="s">
        <v>293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1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/>
      <c r="BQ49" s="6">
        <f t="shared" si="9"/>
        <v>0</v>
      </c>
      <c r="BR49" s="6"/>
      <c r="BS49" s="6"/>
      <c r="BT49" s="6"/>
      <c r="BU49" s="6">
        <f t="shared" si="11"/>
        <v>0</v>
      </c>
      <c r="BW49" s="6">
        <f t="shared" si="12"/>
        <v>0</v>
      </c>
      <c r="BY49" s="6">
        <f t="shared" si="10"/>
        <v>-2832</v>
      </c>
    </row>
    <row r="50" spans="1:77">
      <c r="A50" s="100"/>
      <c r="B50" s="229" t="s">
        <v>368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1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/>
      <c r="BQ50" s="6">
        <f t="shared" si="9"/>
        <v>138394</v>
      </c>
      <c r="BR50" s="6"/>
      <c r="BS50" s="6">
        <v>0</v>
      </c>
      <c r="BT50" s="6"/>
      <c r="BU50" s="6">
        <f t="shared" si="11"/>
        <v>0</v>
      </c>
      <c r="BW50" s="6">
        <f>+BQ50+BU50</f>
        <v>138394</v>
      </c>
      <c r="BY50" s="6">
        <f t="shared" si="10"/>
        <v>-138394</v>
      </c>
    </row>
    <row r="51" spans="1:77">
      <c r="A51" s="100"/>
      <c r="B51" s="229" t="s">
        <v>365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/>
      <c r="BQ51" s="6">
        <f>SUM(T51:BP51)</f>
        <v>548026</v>
      </c>
      <c r="BR51" s="6"/>
      <c r="BS51" s="6">
        <v>0</v>
      </c>
      <c r="BT51" s="6"/>
      <c r="BU51" s="6">
        <f t="shared" si="11"/>
        <v>0</v>
      </c>
      <c r="BW51" s="6">
        <f t="shared" si="12"/>
        <v>548026</v>
      </c>
      <c r="BY51" s="6">
        <f t="shared" si="10"/>
        <v>-548026</v>
      </c>
    </row>
    <row r="52" spans="1:77">
      <c r="A52" s="100"/>
      <c r="B52" s="229" t="s">
        <v>371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/>
      <c r="BQ52" s="6">
        <f>SUM(T52:BP52)</f>
        <v>281729</v>
      </c>
      <c r="BR52" s="6"/>
      <c r="BS52" s="6">
        <v>263743</v>
      </c>
      <c r="BT52" s="6"/>
      <c r="BU52" s="6">
        <f t="shared" si="11"/>
        <v>0</v>
      </c>
      <c r="BW52" s="6">
        <f t="shared" si="12"/>
        <v>281729</v>
      </c>
      <c r="BY52" s="6">
        <f t="shared" si="10"/>
        <v>-281729</v>
      </c>
    </row>
    <row r="53" spans="1:77">
      <c r="A53" s="100"/>
      <c r="B53" s="229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/>
      <c r="BQ53" s="6">
        <f t="shared" si="9"/>
        <v>0</v>
      </c>
      <c r="BR53" s="6"/>
      <c r="BS53" s="6"/>
      <c r="BT53" s="6"/>
      <c r="BU53" s="6">
        <f t="shared" si="11"/>
        <v>0</v>
      </c>
      <c r="BW53" s="6">
        <f t="shared" si="12"/>
        <v>0</v>
      </c>
      <c r="BY53" s="6">
        <f t="shared" si="10"/>
        <v>0</v>
      </c>
    </row>
    <row r="54" spans="1:77" s="21" customFormat="1">
      <c r="A54" s="283"/>
      <c r="B54" s="232" t="s">
        <v>295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W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/>
      <c r="BO54" s="9">
        <f t="shared" si="14"/>
        <v>0</v>
      </c>
      <c r="BP54" s="9">
        <f t="shared" si="14"/>
        <v>0</v>
      </c>
      <c r="BQ54" s="9">
        <f t="shared" si="14"/>
        <v>8146761</v>
      </c>
      <c r="BR54" s="9">
        <f t="shared" si="14"/>
        <v>0</v>
      </c>
      <c r="BS54" s="9">
        <f t="shared" si="14"/>
        <v>2058165</v>
      </c>
      <c r="BT54" s="9">
        <f t="shared" si="14"/>
        <v>0</v>
      </c>
      <c r="BU54" s="9">
        <f t="shared" si="14"/>
        <v>16141324</v>
      </c>
      <c r="BV54" s="9">
        <f t="shared" si="14"/>
        <v>0</v>
      </c>
      <c r="BW54" s="9">
        <f t="shared" si="14"/>
        <v>17530291</v>
      </c>
      <c r="BX54" s="9"/>
      <c r="BY54" s="9">
        <f t="shared" si="10"/>
        <v>-2765403</v>
      </c>
    </row>
    <row r="55" spans="1:77">
      <c r="A55" s="100"/>
      <c r="B55" s="230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P55" s="6"/>
      <c r="BR55" s="6"/>
      <c r="BS55" s="6"/>
      <c r="BT55" s="6"/>
      <c r="BY55" s="4"/>
    </row>
    <row r="56" spans="1:77">
      <c r="B56" s="21" t="s">
        <v>296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P56" s="6"/>
      <c r="BR56" s="6"/>
      <c r="BS56" s="6"/>
      <c r="BT56" s="6"/>
      <c r="BY56" s="4"/>
    </row>
    <row r="57" spans="1:77">
      <c r="A57" s="30"/>
      <c r="B57" s="229" t="s">
        <v>383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1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/>
      <c r="BQ57" s="6">
        <f>SUM(T57:BP57)</f>
        <v>288544</v>
      </c>
      <c r="BR57" s="6"/>
      <c r="BS57" s="6"/>
      <c r="BT57" s="6"/>
      <c r="BU57" s="6">
        <f>IF(+R57-BQ57+BS57&gt;0,R57-BQ57+BS57,0)</f>
        <v>0</v>
      </c>
      <c r="BW57" s="6">
        <f>+BQ57+BU57</f>
        <v>288544</v>
      </c>
      <c r="BY57" s="6">
        <f>+R57-BW57</f>
        <v>-88059</v>
      </c>
    </row>
    <row r="58" spans="1:77">
      <c r="A58" s="30"/>
      <c r="B58" s="229" t="s">
        <v>384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1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/>
      <c r="BQ58" s="6">
        <f>SUM(T58:BP58)</f>
        <v>3204369</v>
      </c>
      <c r="BR58" s="6"/>
      <c r="BS58" s="6">
        <f>3006669-3824394</f>
        <v>-817725</v>
      </c>
      <c r="BT58" s="6"/>
      <c r="BU58" s="6">
        <f>IF(+R58-BQ58+BS58&gt;0,R58-BQ58+BS58,0)</f>
        <v>0</v>
      </c>
      <c r="BW58" s="6">
        <f>+BQ58+BU58</f>
        <v>3204369</v>
      </c>
      <c r="BY58" s="6">
        <f>+R58-BW58</f>
        <v>620025</v>
      </c>
    </row>
    <row r="59" spans="1:77">
      <c r="A59" s="30"/>
      <c r="B59" s="229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1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/>
      <c r="BQ59" s="6">
        <f>SUM(T59:BP59)</f>
        <v>682994</v>
      </c>
      <c r="BR59" s="6"/>
      <c r="BS59" s="6">
        <v>0</v>
      </c>
      <c r="BT59" s="6"/>
      <c r="BU59" s="6">
        <f>IF(+R59-BQ59+BS59&gt;0,R59-BQ59+BS59,0)</f>
        <v>106266</v>
      </c>
      <c r="BW59" s="6">
        <f>+BQ59+BU59</f>
        <v>789260</v>
      </c>
      <c r="BY59" s="6">
        <f>+R59-BW59</f>
        <v>0</v>
      </c>
    </row>
    <row r="60" spans="1:77">
      <c r="A60" s="30"/>
      <c r="B60" s="229" t="s">
        <v>385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1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/>
      <c r="BQ60" s="6">
        <f>SUM(T60:BP60)</f>
        <v>406264</v>
      </c>
      <c r="BR60" s="6"/>
      <c r="BS60" s="6">
        <f>442495-482700</f>
        <v>-40205</v>
      </c>
      <c r="BT60" s="6"/>
      <c r="BU60" s="6">
        <f>IF(+R60-BQ60+BS60&gt;0,R60-BQ60+BS60,0)</f>
        <v>36231</v>
      </c>
      <c r="BW60" s="6">
        <f>+BQ60+BU60</f>
        <v>442495</v>
      </c>
      <c r="BY60" s="6">
        <f>+R60-BW60</f>
        <v>40205</v>
      </c>
    </row>
    <row r="61" spans="1:77">
      <c r="A61" s="30"/>
      <c r="B61" s="229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1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/>
      <c r="BQ61" s="6">
        <f>SUM(T61:BP61)</f>
        <v>20421</v>
      </c>
      <c r="BR61" s="6"/>
      <c r="BS61" s="6">
        <v>0</v>
      </c>
      <c r="BT61" s="6"/>
      <c r="BU61" s="6">
        <f>IF(+R61-BQ61+BS61&gt;0,R61-BQ61+BS61,0)</f>
        <v>0</v>
      </c>
      <c r="BW61" s="6">
        <f>+BQ61+BU61</f>
        <v>20421</v>
      </c>
      <c r="BY61" s="6">
        <f>+R61-BW61</f>
        <v>-20421</v>
      </c>
    </row>
    <row r="62" spans="1:77">
      <c r="A62" s="30"/>
      <c r="B62" s="229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1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P62" s="6"/>
      <c r="BR62" s="6"/>
      <c r="BS62" s="6"/>
      <c r="BT62" s="6"/>
    </row>
    <row r="63" spans="1:77" s="21" customFormat="1">
      <c r="A63" s="31"/>
      <c r="B63" s="232" t="s">
        <v>297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W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/>
      <c r="BO63" s="9">
        <f>SUM(BO57:BO61)</f>
        <v>0</v>
      </c>
      <c r="BP63" s="9">
        <f t="shared" si="16"/>
        <v>0</v>
      </c>
      <c r="BQ63" s="9">
        <f t="shared" si="16"/>
        <v>4602592</v>
      </c>
      <c r="BR63" s="9">
        <f t="shared" si="16"/>
        <v>0</v>
      </c>
      <c r="BS63" s="9">
        <f t="shared" si="16"/>
        <v>-857930</v>
      </c>
      <c r="BT63" s="9">
        <f t="shared" si="16"/>
        <v>0</v>
      </c>
      <c r="BU63" s="9">
        <f t="shared" si="16"/>
        <v>142497</v>
      </c>
      <c r="BV63" s="9">
        <f t="shared" si="16"/>
        <v>0</v>
      </c>
      <c r="BW63" s="9">
        <f t="shared" si="16"/>
        <v>4745089</v>
      </c>
      <c r="BX63" s="9"/>
      <c r="BY63" s="9">
        <f>+R63-BW63</f>
        <v>551750</v>
      </c>
    </row>
    <row r="64" spans="1:77" s="21" customFormat="1">
      <c r="A64" s="31"/>
      <c r="B64" s="232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</row>
    <row r="65" spans="1:77" s="21" customFormat="1">
      <c r="A65" s="31"/>
      <c r="B65" s="233" t="s">
        <v>309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</row>
    <row r="66" spans="1:77" s="21" customFormat="1">
      <c r="A66" s="31"/>
      <c r="B66" s="234" t="s">
        <v>298</v>
      </c>
      <c r="J66" s="8"/>
      <c r="L66" s="141"/>
      <c r="M66" s="9"/>
      <c r="N66" s="9"/>
      <c r="O66" s="9"/>
      <c r="P66" s="9"/>
      <c r="Q66" s="9"/>
      <c r="R66" s="231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9"/>
      <c r="BQ66" s="6">
        <f t="shared" ref="BQ66:BQ84" si="17">SUM(T66:BP66)</f>
        <v>3098792</v>
      </c>
      <c r="BR66" s="9"/>
      <c r="BS66" s="6">
        <v>0</v>
      </c>
      <c r="BT66" s="6"/>
      <c r="BU66" s="6">
        <f t="shared" ref="BU66:BU85" si="18">IF(+R66-BQ66+BS66&gt;0,R66-BQ66+BS66,0)</f>
        <v>0</v>
      </c>
      <c r="BV66" s="6"/>
      <c r="BW66" s="6">
        <f t="shared" ref="BW66:BW85" si="19">+BQ66+BU66</f>
        <v>3098792</v>
      </c>
      <c r="BX66" s="9"/>
      <c r="BY66" s="6">
        <f t="shared" ref="BY66:BY86" si="20">+R66-BW66</f>
        <v>-877039</v>
      </c>
    </row>
    <row r="67" spans="1:77" s="21" customFormat="1">
      <c r="A67" s="31"/>
      <c r="B67" s="234" t="s">
        <v>386</v>
      </c>
      <c r="J67" s="8"/>
      <c r="L67" s="141"/>
      <c r="M67" s="9"/>
      <c r="N67" s="9"/>
      <c r="O67" s="9"/>
      <c r="P67" s="9"/>
      <c r="Q67" s="9"/>
      <c r="R67" s="231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9"/>
      <c r="BQ67" s="6">
        <f t="shared" si="17"/>
        <v>1007521</v>
      </c>
      <c r="BR67" s="9"/>
      <c r="BS67" s="6">
        <f>508478-363263</f>
        <v>145215</v>
      </c>
      <c r="BT67" s="6"/>
      <c r="BU67" s="6">
        <f t="shared" si="18"/>
        <v>0</v>
      </c>
      <c r="BV67" s="6"/>
      <c r="BW67" s="6">
        <f t="shared" si="19"/>
        <v>1007521</v>
      </c>
      <c r="BX67" s="9"/>
      <c r="BY67" s="6">
        <f t="shared" si="20"/>
        <v>-644214</v>
      </c>
    </row>
    <row r="68" spans="1:77" s="21" customFormat="1">
      <c r="A68" s="31"/>
      <c r="B68" s="234" t="s">
        <v>299</v>
      </c>
      <c r="J68" s="8"/>
      <c r="L68" s="141"/>
      <c r="M68" s="9"/>
      <c r="N68" s="9"/>
      <c r="O68" s="9"/>
      <c r="P68" s="9"/>
      <c r="Q68" s="9"/>
      <c r="R68" s="231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9"/>
      <c r="BQ68" s="6">
        <f t="shared" si="17"/>
        <v>230143</v>
      </c>
      <c r="BR68" s="9"/>
      <c r="BS68" s="6"/>
      <c r="BT68" s="6"/>
      <c r="BU68" s="6">
        <f t="shared" si="18"/>
        <v>42232</v>
      </c>
      <c r="BV68" s="6"/>
      <c r="BW68" s="6">
        <f t="shared" si="19"/>
        <v>272375</v>
      </c>
      <c r="BX68" s="9"/>
      <c r="BY68" s="6">
        <f t="shared" si="20"/>
        <v>0</v>
      </c>
    </row>
    <row r="69" spans="1:77" s="21" customFormat="1">
      <c r="A69" s="31"/>
      <c r="B69" s="234" t="s">
        <v>387</v>
      </c>
      <c r="J69" s="8"/>
      <c r="L69" s="141"/>
      <c r="M69" s="9"/>
      <c r="N69" s="9"/>
      <c r="O69" s="9"/>
      <c r="P69" s="9"/>
      <c r="Q69" s="9"/>
      <c r="R69" s="231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9"/>
      <c r="BQ69" s="6">
        <f t="shared" si="17"/>
        <v>599775</v>
      </c>
      <c r="BR69" s="9"/>
      <c r="BS69" s="6">
        <f>374050-294546</f>
        <v>79504</v>
      </c>
      <c r="BT69" s="6"/>
      <c r="BU69" s="6">
        <f t="shared" si="18"/>
        <v>0</v>
      </c>
      <c r="BV69" s="6"/>
      <c r="BW69" s="6">
        <f t="shared" si="19"/>
        <v>599775</v>
      </c>
      <c r="BX69" s="9"/>
      <c r="BY69" s="6">
        <f t="shared" si="20"/>
        <v>-305229</v>
      </c>
    </row>
    <row r="70" spans="1:77" s="21" customFormat="1">
      <c r="A70" s="31"/>
      <c r="B70" s="234" t="s">
        <v>300</v>
      </c>
      <c r="J70" s="8"/>
      <c r="L70" s="141"/>
      <c r="M70" s="9"/>
      <c r="N70" s="9"/>
      <c r="O70" s="9"/>
      <c r="P70" s="9"/>
      <c r="Q70" s="9"/>
      <c r="R70" s="231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9"/>
      <c r="BQ70" s="6">
        <f t="shared" si="17"/>
        <v>266441</v>
      </c>
      <c r="BR70" s="9"/>
      <c r="BS70" s="6">
        <v>0</v>
      </c>
      <c r="BT70" s="6"/>
      <c r="BU70" s="6">
        <f t="shared" si="18"/>
        <v>0</v>
      </c>
      <c r="BV70" s="6"/>
      <c r="BW70" s="6">
        <f t="shared" si="19"/>
        <v>266441</v>
      </c>
      <c r="BX70" s="9"/>
      <c r="BY70" s="6">
        <f t="shared" si="20"/>
        <v>-94210</v>
      </c>
    </row>
    <row r="71" spans="1:77" s="21" customFormat="1">
      <c r="A71" s="31"/>
      <c r="B71" s="234" t="s">
        <v>393</v>
      </c>
      <c r="J71" s="8"/>
      <c r="L71" s="141"/>
      <c r="M71" s="9"/>
      <c r="N71" s="9"/>
      <c r="O71" s="9"/>
      <c r="P71" s="9"/>
      <c r="Q71" s="9"/>
      <c r="R71" s="231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9"/>
      <c r="BQ71" s="6">
        <f t="shared" si="17"/>
        <v>1843466</v>
      </c>
      <c r="BR71" s="9"/>
      <c r="BS71" s="6">
        <f>1569522-1115136</f>
        <v>454386</v>
      </c>
      <c r="BT71" s="6"/>
      <c r="BU71" s="6">
        <f t="shared" si="18"/>
        <v>0</v>
      </c>
      <c r="BV71" s="6"/>
      <c r="BW71" s="6">
        <f t="shared" si="19"/>
        <v>1843466</v>
      </c>
      <c r="BX71" s="9"/>
      <c r="BY71" s="6">
        <f t="shared" si="20"/>
        <v>-728330</v>
      </c>
    </row>
    <row r="72" spans="1:77" s="21" customFormat="1">
      <c r="A72" s="31"/>
      <c r="B72" s="234" t="s">
        <v>301</v>
      </c>
      <c r="J72" s="8"/>
      <c r="L72" s="141"/>
      <c r="M72" s="9"/>
      <c r="N72" s="9"/>
      <c r="O72" s="9"/>
      <c r="P72" s="9"/>
      <c r="Q72" s="9"/>
      <c r="R72" s="231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9"/>
      <c r="BQ72" s="6">
        <f t="shared" si="17"/>
        <v>645350</v>
      </c>
      <c r="BR72" s="9"/>
      <c r="BS72" s="6"/>
      <c r="BT72" s="6"/>
      <c r="BU72" s="6">
        <f t="shared" si="18"/>
        <v>105760</v>
      </c>
      <c r="BV72" s="6"/>
      <c r="BW72" s="6">
        <f t="shared" si="19"/>
        <v>751110</v>
      </c>
      <c r="BX72" s="9"/>
      <c r="BY72" s="6">
        <f t="shared" si="20"/>
        <v>0</v>
      </c>
    </row>
    <row r="73" spans="1:77" s="21" customFormat="1">
      <c r="A73" s="31"/>
      <c r="B73" s="234" t="s">
        <v>388</v>
      </c>
      <c r="J73" s="8"/>
      <c r="L73" s="141"/>
      <c r="M73" s="9"/>
      <c r="N73" s="9"/>
      <c r="O73" s="9"/>
      <c r="P73" s="9"/>
      <c r="Q73" s="9"/>
      <c r="R73" s="231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9"/>
      <c r="BQ73" s="6">
        <f t="shared" si="17"/>
        <v>97281</v>
      </c>
      <c r="BR73" s="9"/>
      <c r="BS73" s="6">
        <f>108008-79049</f>
        <v>28959</v>
      </c>
      <c r="BT73" s="6"/>
      <c r="BU73" s="6">
        <f t="shared" si="18"/>
        <v>10727</v>
      </c>
      <c r="BV73" s="6"/>
      <c r="BW73" s="6">
        <f t="shared" si="19"/>
        <v>108008</v>
      </c>
      <c r="BX73" s="9"/>
      <c r="BY73" s="6">
        <f t="shared" si="20"/>
        <v>-28959</v>
      </c>
    </row>
    <row r="74" spans="1:77" s="21" customFormat="1">
      <c r="A74" s="31"/>
      <c r="B74" s="234" t="s">
        <v>392</v>
      </c>
      <c r="J74" s="8"/>
      <c r="L74" s="141"/>
      <c r="M74" s="9"/>
      <c r="N74" s="9"/>
      <c r="O74" s="9"/>
      <c r="P74" s="9"/>
      <c r="Q74" s="9"/>
      <c r="R74" s="231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9"/>
      <c r="BQ74" s="6">
        <f t="shared" si="17"/>
        <v>27594</v>
      </c>
      <c r="BR74" s="9"/>
      <c r="BS74" s="6"/>
      <c r="BT74" s="6"/>
      <c r="BU74" s="6">
        <f t="shared" si="18"/>
        <v>15906</v>
      </c>
      <c r="BV74" s="6"/>
      <c r="BW74" s="6">
        <f t="shared" si="19"/>
        <v>43500</v>
      </c>
      <c r="BX74" s="9"/>
      <c r="BY74" s="6">
        <f t="shared" si="20"/>
        <v>0</v>
      </c>
    </row>
    <row r="75" spans="1:77" s="21" customFormat="1">
      <c r="A75" s="31"/>
      <c r="B75" s="234" t="s">
        <v>400</v>
      </c>
      <c r="J75" s="8"/>
      <c r="L75" s="141"/>
      <c r="M75" s="9"/>
      <c r="N75" s="9"/>
      <c r="O75" s="9"/>
      <c r="P75" s="9"/>
      <c r="Q75" s="9"/>
      <c r="R75" s="231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9"/>
      <c r="BQ75" s="6">
        <f t="shared" si="17"/>
        <v>141341</v>
      </c>
      <c r="BR75" s="9"/>
      <c r="BS75" s="6">
        <f>101800-81956</f>
        <v>19844</v>
      </c>
      <c r="BT75" s="6"/>
      <c r="BU75" s="6">
        <f t="shared" si="18"/>
        <v>0</v>
      </c>
      <c r="BV75" s="6"/>
      <c r="BW75" s="6">
        <f t="shared" si="19"/>
        <v>141341</v>
      </c>
      <c r="BX75" s="9"/>
      <c r="BY75" s="6">
        <f t="shared" si="20"/>
        <v>-59385</v>
      </c>
    </row>
    <row r="76" spans="1:77" s="21" customFormat="1">
      <c r="A76" s="31"/>
      <c r="B76" s="234" t="s">
        <v>303</v>
      </c>
      <c r="J76" s="8"/>
      <c r="L76" s="141"/>
      <c r="M76" s="9"/>
      <c r="N76" s="9"/>
      <c r="O76" s="9"/>
      <c r="P76" s="9"/>
      <c r="Q76" s="9"/>
      <c r="R76" s="231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9"/>
      <c r="BQ76" s="6">
        <f t="shared" si="17"/>
        <v>3351</v>
      </c>
      <c r="BR76" s="9"/>
      <c r="BS76" s="6"/>
      <c r="BT76" s="6"/>
      <c r="BU76" s="6">
        <f t="shared" si="18"/>
        <v>213999</v>
      </c>
      <c r="BV76" s="6"/>
      <c r="BW76" s="6">
        <f t="shared" si="19"/>
        <v>217350</v>
      </c>
      <c r="BX76" s="9"/>
      <c r="BY76" s="6">
        <f t="shared" si="20"/>
        <v>0</v>
      </c>
    </row>
    <row r="77" spans="1:77" s="21" customFormat="1">
      <c r="A77" s="31"/>
      <c r="B77" s="234" t="s">
        <v>304</v>
      </c>
      <c r="J77" s="8"/>
      <c r="L77" s="141"/>
      <c r="M77" s="9"/>
      <c r="N77" s="9"/>
      <c r="O77" s="9"/>
      <c r="P77" s="9"/>
      <c r="Q77" s="9"/>
      <c r="R77" s="231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9"/>
      <c r="BQ77" s="6">
        <f t="shared" si="17"/>
        <v>658070</v>
      </c>
      <c r="BR77" s="9"/>
      <c r="BS77" s="6">
        <f>200656-199748</f>
        <v>908</v>
      </c>
      <c r="BT77" s="6"/>
      <c r="BU77" s="6">
        <f t="shared" si="18"/>
        <v>0</v>
      </c>
      <c r="BV77" s="6"/>
      <c r="BW77" s="6">
        <f t="shared" si="19"/>
        <v>658070</v>
      </c>
      <c r="BX77" s="9"/>
      <c r="BY77" s="6">
        <f t="shared" si="20"/>
        <v>-458322</v>
      </c>
    </row>
    <row r="78" spans="1:77" s="21" customFormat="1">
      <c r="A78" s="31"/>
      <c r="B78" s="234" t="s">
        <v>305</v>
      </c>
      <c r="J78" s="8"/>
      <c r="L78" s="141"/>
      <c r="M78" s="9"/>
      <c r="N78" s="9"/>
      <c r="O78" s="9"/>
      <c r="P78" s="9"/>
      <c r="Q78" s="9"/>
      <c r="R78" s="231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9"/>
      <c r="BQ78" s="6">
        <f t="shared" si="17"/>
        <v>202295</v>
      </c>
      <c r="BR78" s="9"/>
      <c r="BS78" s="6"/>
      <c r="BT78" s="6"/>
      <c r="BU78" s="6">
        <f t="shared" si="18"/>
        <v>187705</v>
      </c>
      <c r="BV78" s="6"/>
      <c r="BW78" s="6">
        <f t="shared" si="19"/>
        <v>390000</v>
      </c>
      <c r="BX78" s="9"/>
      <c r="BY78" s="6">
        <f t="shared" si="20"/>
        <v>0</v>
      </c>
    </row>
    <row r="79" spans="1:77" s="21" customFormat="1">
      <c r="A79" s="31"/>
      <c r="B79" s="234" t="s">
        <v>390</v>
      </c>
      <c r="J79" s="8"/>
      <c r="L79" s="141"/>
      <c r="M79" s="9"/>
      <c r="N79" s="9"/>
      <c r="O79" s="9"/>
      <c r="P79" s="9"/>
      <c r="Q79" s="9"/>
      <c r="R79" s="231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9"/>
      <c r="BQ79" s="6">
        <f t="shared" si="17"/>
        <v>267349</v>
      </c>
      <c r="BR79" s="9"/>
      <c r="BS79" s="6">
        <f>369817-290544</f>
        <v>79273</v>
      </c>
      <c r="BT79" s="6"/>
      <c r="BU79" s="6">
        <f t="shared" si="18"/>
        <v>102468</v>
      </c>
      <c r="BV79" s="6"/>
      <c r="BW79" s="6">
        <f t="shared" si="19"/>
        <v>369817</v>
      </c>
      <c r="BX79" s="9"/>
      <c r="BY79" s="6">
        <f t="shared" si="20"/>
        <v>-79273</v>
      </c>
    </row>
    <row r="80" spans="1:77" s="21" customFormat="1">
      <c r="A80" s="31"/>
      <c r="B80" s="234" t="s">
        <v>391</v>
      </c>
      <c r="J80" s="8"/>
      <c r="L80" s="141"/>
      <c r="M80" s="9"/>
      <c r="N80" s="9"/>
      <c r="O80" s="9"/>
      <c r="P80" s="9"/>
      <c r="Q80" s="9"/>
      <c r="R80" s="231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9"/>
      <c r="BQ80" s="6">
        <f t="shared" si="17"/>
        <v>2254200</v>
      </c>
      <c r="BR80" s="9"/>
      <c r="BS80" s="6">
        <f>1887865-1025638</f>
        <v>862227</v>
      </c>
      <c r="BT80" s="6"/>
      <c r="BU80" s="6">
        <f t="shared" si="18"/>
        <v>0</v>
      </c>
      <c r="BV80" s="6"/>
      <c r="BW80" s="6">
        <f t="shared" si="19"/>
        <v>2254200</v>
      </c>
      <c r="BX80" s="9"/>
      <c r="BY80" s="6">
        <f t="shared" si="20"/>
        <v>-1228562</v>
      </c>
    </row>
    <row r="81" spans="1:77" s="21" customFormat="1">
      <c r="A81" s="31"/>
      <c r="B81" s="234" t="s">
        <v>396</v>
      </c>
      <c r="J81" s="8"/>
      <c r="L81" s="141"/>
      <c r="M81" s="9"/>
      <c r="N81" s="9"/>
      <c r="O81" s="9"/>
      <c r="P81" s="9"/>
      <c r="Q81" s="9"/>
      <c r="R81" s="231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9"/>
      <c r="BQ81" s="6">
        <f t="shared" si="17"/>
        <v>70748</v>
      </c>
      <c r="BR81" s="9"/>
      <c r="BS81" s="6">
        <f>382731-347524</f>
        <v>35207</v>
      </c>
      <c r="BT81" s="6"/>
      <c r="BU81" s="6">
        <f t="shared" si="18"/>
        <v>311983</v>
      </c>
      <c r="BV81" s="6"/>
      <c r="BW81" s="6">
        <f t="shared" si="19"/>
        <v>382731</v>
      </c>
      <c r="BX81" s="9"/>
      <c r="BY81" s="6">
        <f t="shared" si="20"/>
        <v>-35207</v>
      </c>
    </row>
    <row r="82" spans="1:77" s="21" customFormat="1">
      <c r="A82" s="31"/>
      <c r="B82" s="234" t="s">
        <v>307</v>
      </c>
      <c r="J82" s="8"/>
      <c r="L82" s="141"/>
      <c r="M82" s="9"/>
      <c r="N82" s="9"/>
      <c r="O82" s="9"/>
      <c r="P82" s="9"/>
      <c r="Q82" s="9"/>
      <c r="R82" s="231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9"/>
      <c r="BQ82" s="6">
        <f t="shared" si="17"/>
        <v>664653</v>
      </c>
      <c r="BR82" s="9"/>
      <c r="BS82" s="6">
        <v>0</v>
      </c>
      <c r="BT82" s="6"/>
      <c r="BU82" s="6">
        <f t="shared" si="18"/>
        <v>0</v>
      </c>
      <c r="BV82" s="6"/>
      <c r="BW82" s="6">
        <f t="shared" si="19"/>
        <v>664653</v>
      </c>
      <c r="BX82" s="9"/>
      <c r="BY82" s="6">
        <f t="shared" si="20"/>
        <v>-99706</v>
      </c>
    </row>
    <row r="83" spans="1:77" s="21" customFormat="1">
      <c r="A83" s="31"/>
      <c r="B83" s="234" t="s">
        <v>395</v>
      </c>
      <c r="J83" s="8"/>
      <c r="L83" s="141"/>
      <c r="M83" s="9"/>
      <c r="N83" s="9"/>
      <c r="O83" s="9"/>
      <c r="P83" s="9"/>
      <c r="Q83" s="9"/>
      <c r="R83" s="231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9"/>
      <c r="BQ83" s="6">
        <f t="shared" si="17"/>
        <v>4758976</v>
      </c>
      <c r="BR83" s="9"/>
      <c r="BS83" s="6">
        <f>4361334-3436815</f>
        <v>924519</v>
      </c>
      <c r="BT83" s="6"/>
      <c r="BU83" s="6">
        <f t="shared" si="18"/>
        <v>0</v>
      </c>
      <c r="BV83" s="6"/>
      <c r="BW83" s="6">
        <f t="shared" si="19"/>
        <v>4758976</v>
      </c>
      <c r="BX83" s="9"/>
      <c r="BY83" s="6">
        <f t="shared" si="20"/>
        <v>-1322161</v>
      </c>
    </row>
    <row r="84" spans="1:77" s="21" customFormat="1">
      <c r="A84" s="31"/>
      <c r="B84" s="234" t="s">
        <v>397</v>
      </c>
      <c r="J84" s="8"/>
      <c r="L84" s="141"/>
      <c r="M84" s="9"/>
      <c r="N84" s="9"/>
      <c r="O84" s="9"/>
      <c r="P84" s="9"/>
      <c r="Q84" s="9"/>
      <c r="R84" s="231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9"/>
      <c r="BQ84" s="6">
        <f t="shared" si="17"/>
        <v>786230</v>
      </c>
      <c r="BR84" s="9"/>
      <c r="BS84" s="6">
        <f>836221-582144</f>
        <v>254077</v>
      </c>
      <c r="BT84" s="6"/>
      <c r="BU84" s="6">
        <f t="shared" si="18"/>
        <v>49991</v>
      </c>
      <c r="BV84" s="6"/>
      <c r="BW84" s="6">
        <f t="shared" si="19"/>
        <v>836221</v>
      </c>
      <c r="BX84" s="9"/>
      <c r="BY84" s="6">
        <f t="shared" si="20"/>
        <v>-254077</v>
      </c>
    </row>
    <row r="85" spans="1:77" s="21" customFormat="1">
      <c r="A85" s="31"/>
      <c r="B85" s="235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6">
        <f t="shared" si="18"/>
        <v>0</v>
      </c>
      <c r="BV85" s="6"/>
      <c r="BW85" s="6">
        <f t="shared" si="19"/>
        <v>0</v>
      </c>
      <c r="BX85" s="9"/>
      <c r="BY85" s="6">
        <f t="shared" si="20"/>
        <v>0</v>
      </c>
    </row>
    <row r="86" spans="1:77" s="21" customFormat="1">
      <c r="A86" s="31"/>
      <c r="B86" s="232" t="s">
        <v>310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X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/>
      <c r="BO86" s="9">
        <f t="shared" si="22"/>
        <v>0</v>
      </c>
      <c r="BP86" s="9">
        <f t="shared" si="22"/>
        <v>0</v>
      </c>
      <c r="BQ86" s="9">
        <f t="shared" si="22"/>
        <v>17623576</v>
      </c>
      <c r="BR86" s="9">
        <f t="shared" si="22"/>
        <v>0</v>
      </c>
      <c r="BS86" s="9">
        <f t="shared" si="22"/>
        <v>2884119</v>
      </c>
      <c r="BT86" s="9">
        <f t="shared" si="22"/>
        <v>0</v>
      </c>
      <c r="BU86" s="9">
        <f t="shared" si="22"/>
        <v>1040771</v>
      </c>
      <c r="BV86" s="9">
        <f t="shared" si="22"/>
        <v>0</v>
      </c>
      <c r="BW86" s="9">
        <f t="shared" si="22"/>
        <v>18664347</v>
      </c>
      <c r="BX86" s="9">
        <f t="shared" si="22"/>
        <v>0</v>
      </c>
      <c r="BY86" s="9">
        <f t="shared" si="20"/>
        <v>-6214674</v>
      </c>
    </row>
    <row r="87" spans="1:77" s="21" customFormat="1">
      <c r="A87" s="31"/>
      <c r="B87" s="232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</row>
    <row r="88" spans="1:77" s="21" customFormat="1">
      <c r="A88" s="31"/>
      <c r="B88" s="237" t="s">
        <v>312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</row>
    <row r="89" spans="1:77" s="21" customFormat="1">
      <c r="A89" s="31"/>
      <c r="B89" s="236" t="s">
        <v>67</v>
      </c>
      <c r="J89" s="8"/>
      <c r="L89" s="141"/>
      <c r="M89" s="9"/>
      <c r="N89" s="9"/>
      <c r="O89" s="9"/>
      <c r="P89" s="9"/>
      <c r="Q89" s="9"/>
      <c r="R89" s="231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9"/>
      <c r="BQ89" s="6">
        <f>SUM(T89:BP89)</f>
        <v>12182028</v>
      </c>
      <c r="BR89" s="9"/>
      <c r="BS89" s="6">
        <f>12136758-9230000</f>
        <v>2906758</v>
      </c>
      <c r="BT89" s="6"/>
      <c r="BU89" s="6">
        <f>IF(+R89-BQ89+BS89&gt;0,R89-BQ89+BS89,0)</f>
        <v>0</v>
      </c>
      <c r="BV89" s="6"/>
      <c r="BW89" s="6">
        <f>+BQ89+BU89</f>
        <v>12182028</v>
      </c>
      <c r="BX89" s="9"/>
      <c r="BY89" s="6">
        <f>+R89-BW89</f>
        <v>-2952028</v>
      </c>
    </row>
    <row r="90" spans="1:77" s="21" customFormat="1">
      <c r="A90" s="31"/>
      <c r="B90" s="229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</row>
    <row r="91" spans="1:77" s="21" customFormat="1">
      <c r="A91" s="31"/>
      <c r="B91" s="230" t="s">
        <v>311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W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/>
      <c r="BO91" s="9">
        <f t="shared" si="24"/>
        <v>0</v>
      </c>
      <c r="BP91" s="9">
        <f t="shared" si="24"/>
        <v>0</v>
      </c>
      <c r="BQ91" s="9">
        <f t="shared" si="24"/>
        <v>12182028</v>
      </c>
      <c r="BR91" s="9">
        <f t="shared" si="24"/>
        <v>0</v>
      </c>
      <c r="BS91" s="9">
        <f t="shared" si="24"/>
        <v>2906758</v>
      </c>
      <c r="BT91" s="9">
        <f t="shared" si="24"/>
        <v>0</v>
      </c>
      <c r="BU91" s="9">
        <f t="shared" si="24"/>
        <v>0</v>
      </c>
      <c r="BV91" s="9">
        <f t="shared" si="24"/>
        <v>0</v>
      </c>
      <c r="BW91" s="9">
        <f t="shared" si="24"/>
        <v>12182028</v>
      </c>
      <c r="BX91" s="9"/>
      <c r="BY91" s="9">
        <f>+R91-BW91</f>
        <v>-2952028</v>
      </c>
    </row>
    <row r="92" spans="1:77" s="21" customFormat="1">
      <c r="A92" s="31"/>
      <c r="B92" s="230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93" spans="1:77" s="21" customFormat="1">
      <c r="A93" s="31"/>
      <c r="B93" s="17" t="s">
        <v>336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6">
        <f>SUM(T93:BP93)</f>
        <v>-250000</v>
      </c>
      <c r="BR93" s="9"/>
      <c r="BS93" s="9">
        <v>0</v>
      </c>
      <c r="BT93" s="9"/>
      <c r="BU93" s="6"/>
      <c r="BV93" s="9"/>
      <c r="BW93" s="6">
        <v>0</v>
      </c>
      <c r="BX93" s="9"/>
      <c r="BY93" s="6">
        <f>+R93-BW93</f>
        <v>0</v>
      </c>
    </row>
    <row r="94" spans="1:77" s="21" customFormat="1">
      <c r="A94" s="31"/>
      <c r="B94" s="230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6"/>
    </row>
    <row r="95" spans="1:77" s="21" customFormat="1">
      <c r="A95" s="31"/>
      <c r="B95" s="237" t="s">
        <v>313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9"/>
      <c r="BQ95" s="6">
        <f>SUM(T95:BP95)</f>
        <v>3367161.5599999987</v>
      </c>
      <c r="BR95" s="9"/>
      <c r="BS95" s="9">
        <f>-50096668+46735000</f>
        <v>-3361668</v>
      </c>
      <c r="BT95" s="9"/>
      <c r="BU95" s="9"/>
      <c r="BV95" s="9"/>
      <c r="BW95" s="6">
        <f>-52871755+46735000</f>
        <v>-6136755</v>
      </c>
      <c r="BX95" s="9"/>
      <c r="BY95" s="6">
        <f>+R95-BW95</f>
        <v>6136755</v>
      </c>
    </row>
    <row r="96" spans="1:77" s="21" customFormat="1">
      <c r="A96" s="31"/>
      <c r="B96" s="232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</row>
    <row r="97" spans="1:78" s="105" customFormat="1">
      <c r="A97" s="54"/>
      <c r="B97" s="238" t="s">
        <v>243</v>
      </c>
      <c r="J97" s="155"/>
      <c r="L97" s="142"/>
      <c r="M97" s="13"/>
      <c r="N97" s="239">
        <f>SUM(N41:N96)</f>
        <v>0</v>
      </c>
      <c r="O97" s="13"/>
      <c r="P97" s="239">
        <f>SUM(P41:P96)</f>
        <v>0</v>
      </c>
      <c r="Q97" s="13"/>
      <c r="R97" s="239">
        <f t="shared" ref="R97:AH97" si="25">R91+R86+R63+R54+R95</f>
        <v>41741400</v>
      </c>
      <c r="S97" s="239">
        <f t="shared" si="25"/>
        <v>0</v>
      </c>
      <c r="T97" s="239">
        <f t="shared" si="25"/>
        <v>0</v>
      </c>
      <c r="U97" s="239">
        <f t="shared" si="25"/>
        <v>0</v>
      </c>
      <c r="V97" s="239">
        <f t="shared" si="25"/>
        <v>0</v>
      </c>
      <c r="W97" s="239">
        <f t="shared" si="25"/>
        <v>0</v>
      </c>
      <c r="X97" s="239">
        <f t="shared" si="25"/>
        <v>0</v>
      </c>
      <c r="Y97" s="239">
        <f t="shared" si="25"/>
        <v>0</v>
      </c>
      <c r="Z97" s="239">
        <f t="shared" si="25"/>
        <v>0</v>
      </c>
      <c r="AA97" s="239">
        <f t="shared" si="25"/>
        <v>0</v>
      </c>
      <c r="AB97" s="239">
        <f t="shared" si="25"/>
        <v>0</v>
      </c>
      <c r="AC97" s="239">
        <f t="shared" si="25"/>
        <v>0</v>
      </c>
      <c r="AD97" s="239">
        <f t="shared" si="25"/>
        <v>0</v>
      </c>
      <c r="AE97" s="239">
        <f t="shared" si="25"/>
        <v>0</v>
      </c>
      <c r="AF97" s="239">
        <f t="shared" si="25"/>
        <v>0</v>
      </c>
      <c r="AG97" s="239">
        <f t="shared" si="25"/>
        <v>0</v>
      </c>
      <c r="AH97" s="239">
        <f t="shared" si="25"/>
        <v>0</v>
      </c>
      <c r="AI97" s="239"/>
      <c r="AJ97" s="239">
        <f>AJ91+AJ86+AJ63+AJ54+AJ95</f>
        <v>0</v>
      </c>
      <c r="AK97" s="239"/>
      <c r="AL97" s="239">
        <f>AL91+AL86+AL63+AL54+AL95</f>
        <v>0</v>
      </c>
      <c r="AM97" s="239"/>
      <c r="AN97" s="239">
        <f>AN91+AN86+AN63+AN54+AN95</f>
        <v>0</v>
      </c>
      <c r="AO97" s="239"/>
      <c r="AP97" s="239">
        <f>AP91+AP86+AP63+AP54+AP95</f>
        <v>0</v>
      </c>
      <c r="AQ97" s="239"/>
      <c r="AR97" s="239">
        <f>AR91+AR86+AR63+AR54+AR95</f>
        <v>6054031.5599999996</v>
      </c>
      <c r="AS97" s="239">
        <f>AS91+AS86+AS63+AS54+AS95</f>
        <v>0</v>
      </c>
      <c r="AT97" s="239">
        <f>AT91+AT86+AT63+AT54+AT95+AT93</f>
        <v>-250000</v>
      </c>
      <c r="AU97" s="239">
        <f t="shared" ref="AU97:BF97" si="26">AU91+AU86+AU63+AU54+AU95+AU93</f>
        <v>0</v>
      </c>
      <c r="AV97" s="239">
        <f t="shared" si="26"/>
        <v>5295206</v>
      </c>
      <c r="AW97" s="239">
        <f t="shared" si="26"/>
        <v>0</v>
      </c>
      <c r="AX97" s="239">
        <f t="shared" si="26"/>
        <v>6512226</v>
      </c>
      <c r="AY97" s="239">
        <f t="shared" si="26"/>
        <v>0</v>
      </c>
      <c r="AZ97" s="239">
        <f t="shared" si="26"/>
        <v>8178457</v>
      </c>
      <c r="BA97" s="239">
        <f t="shared" si="26"/>
        <v>0</v>
      </c>
      <c r="BB97" s="239">
        <f t="shared" si="26"/>
        <v>7581129</v>
      </c>
      <c r="BC97" s="239">
        <f t="shared" si="26"/>
        <v>0</v>
      </c>
      <c r="BD97" s="239">
        <f t="shared" si="26"/>
        <v>0</v>
      </c>
      <c r="BE97" s="239">
        <f t="shared" si="26"/>
        <v>0</v>
      </c>
      <c r="BF97" s="239">
        <f t="shared" si="26"/>
        <v>10998139</v>
      </c>
      <c r="BG97" s="239">
        <f t="shared" ref="BG97:BZ97" si="27">BG91+BG86+BG63+BG54+BG95+BG93</f>
        <v>0</v>
      </c>
      <c r="BH97" s="239">
        <f t="shared" si="27"/>
        <v>1302930</v>
      </c>
      <c r="BI97" s="239">
        <f t="shared" si="27"/>
        <v>0</v>
      </c>
      <c r="BJ97" s="239">
        <f t="shared" si="27"/>
        <v>0</v>
      </c>
      <c r="BK97" s="239">
        <f t="shared" si="27"/>
        <v>0</v>
      </c>
      <c r="BL97" s="239">
        <f t="shared" si="27"/>
        <v>0</v>
      </c>
      <c r="BM97" s="239">
        <f>BM91+BM86+BM63+BM54+BM95+BM93</f>
        <v>0</v>
      </c>
      <c r="BN97" s="239"/>
      <c r="BO97" s="239">
        <f>BO91+BO86+BO63+BO54+BO95+BO93</f>
        <v>0</v>
      </c>
      <c r="BP97" s="239">
        <f t="shared" si="27"/>
        <v>0</v>
      </c>
      <c r="BQ97" s="239">
        <f t="shared" si="27"/>
        <v>45672118.560000002</v>
      </c>
      <c r="BR97" s="239">
        <f t="shared" si="27"/>
        <v>0</v>
      </c>
      <c r="BS97" s="239">
        <f t="shared" si="27"/>
        <v>3629444</v>
      </c>
      <c r="BT97" s="239">
        <f t="shared" si="27"/>
        <v>0</v>
      </c>
      <c r="BU97" s="239">
        <f>BW97-BQ97</f>
        <v>1312881.4399999976</v>
      </c>
      <c r="BV97" s="239">
        <f t="shared" si="27"/>
        <v>0</v>
      </c>
      <c r="BW97" s="239">
        <f t="shared" si="27"/>
        <v>46985000</v>
      </c>
      <c r="BX97" s="239">
        <f t="shared" si="27"/>
        <v>0</v>
      </c>
      <c r="BY97" s="239">
        <f t="shared" si="27"/>
        <v>-5243600</v>
      </c>
      <c r="BZ97" s="239">
        <f t="shared" si="27"/>
        <v>0</v>
      </c>
    </row>
    <row r="98" spans="1:78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/>
      <c r="BQ98" s="6">
        <f>BQ97+250000</f>
        <v>45922118.560000002</v>
      </c>
      <c r="BR98" s="6"/>
      <c r="BS98" s="6"/>
      <c r="BT98" s="6"/>
      <c r="BW98" s="6">
        <f>BW97+250000</f>
        <v>47235000</v>
      </c>
      <c r="BZ98" s="6"/>
    </row>
    <row r="99" spans="1:78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P99" s="6"/>
      <c r="BR99" s="6"/>
      <c r="BS99" s="6"/>
      <c r="BT99" s="6"/>
      <c r="BZ99" s="6"/>
    </row>
    <row r="100" spans="1:78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f>7096+6741</f>
        <v>13837</v>
      </c>
      <c r="BM100" s="6">
        <v>0</v>
      </c>
      <c r="BN100" s="6"/>
      <c r="BO100" s="6">
        <v>0</v>
      </c>
      <c r="BP100" s="6"/>
      <c r="BQ100" s="6">
        <f t="shared" ref="BQ100:BQ105" si="28">SUM(T100:BP100)</f>
        <v>943636.66999999981</v>
      </c>
      <c r="BR100" s="6"/>
      <c r="BS100" s="6">
        <v>0</v>
      </c>
      <c r="BT100" s="6"/>
      <c r="BU100" s="6">
        <f>IF(+R100-BQ100+BS100&gt;0,R100-BQ100+BS100,0)</f>
        <v>0</v>
      </c>
      <c r="BW100" s="6">
        <f t="shared" ref="BW100:BW105" si="29">+BQ100+BU100</f>
        <v>943636.66999999981</v>
      </c>
      <c r="BY100" s="6">
        <f t="shared" ref="BY100:BY105" si="30">+R100-BW100</f>
        <v>-13836.669999999809</v>
      </c>
      <c r="BZ100" s="6"/>
    </row>
    <row r="101" spans="1:78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>
        <v>0</v>
      </c>
      <c r="BN101" s="6"/>
      <c r="BO101" s="6">
        <v>0</v>
      </c>
      <c r="BP101" s="6"/>
      <c r="BQ101" s="6">
        <f t="shared" si="28"/>
        <v>2840670.66</v>
      </c>
      <c r="BR101" s="6"/>
      <c r="BS101" s="6">
        <v>-29</v>
      </c>
      <c r="BT101" s="6"/>
      <c r="BU101" s="6">
        <f>IF(+R101-BQ101+BS101&gt;0,R101-BQ101+BS101,0)</f>
        <v>0.33999999985098839</v>
      </c>
      <c r="BW101" s="6">
        <f t="shared" si="29"/>
        <v>2840671</v>
      </c>
      <c r="BY101" s="6">
        <f t="shared" si="30"/>
        <v>29</v>
      </c>
      <c r="BZ101" s="6"/>
    </row>
    <row r="102" spans="1:78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>
        <v>0</v>
      </c>
      <c r="BN102" s="6"/>
      <c r="BO102" s="6">
        <v>0</v>
      </c>
      <c r="BP102" s="6"/>
      <c r="BQ102" s="6">
        <f t="shared" si="28"/>
        <v>0</v>
      </c>
      <c r="BR102" s="6"/>
      <c r="BS102" s="6">
        <v>0</v>
      </c>
      <c r="BT102" s="6"/>
      <c r="BU102" s="6">
        <f>IF(+R102-BQ102+BS102&gt;0,R102-BQ102+BS102,0)</f>
        <v>0</v>
      </c>
      <c r="BW102" s="6">
        <f t="shared" si="29"/>
        <v>0</v>
      </c>
      <c r="BY102" s="6">
        <f t="shared" si="30"/>
        <v>0</v>
      </c>
      <c r="BZ102" s="6"/>
    </row>
    <row r="103" spans="1:78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>
        <v>0</v>
      </c>
      <c r="BN103" s="12"/>
      <c r="BO103" s="12">
        <v>0</v>
      </c>
      <c r="BP103" s="12"/>
      <c r="BQ103" s="12">
        <f t="shared" si="28"/>
        <v>0</v>
      </c>
      <c r="BR103" s="6"/>
      <c r="BS103" s="12">
        <v>0</v>
      </c>
      <c r="BT103" s="6"/>
      <c r="BU103" s="6">
        <f>IF(+R103-BQ103+BS103&gt;0,R103-BQ103+BS103,0)</f>
        <v>0</v>
      </c>
      <c r="BV103" s="12"/>
      <c r="BW103" s="6">
        <f t="shared" si="29"/>
        <v>0</v>
      </c>
      <c r="BX103" s="12"/>
      <c r="BY103" s="6">
        <f t="shared" si="30"/>
        <v>0</v>
      </c>
      <c r="BZ103" s="12"/>
    </row>
    <row r="104" spans="1:78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3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>
        <v>0</v>
      </c>
      <c r="BN104" s="12"/>
      <c r="BO104" s="12">
        <v>0</v>
      </c>
      <c r="BP104" s="12"/>
      <c r="BQ104" s="12">
        <f t="shared" si="28"/>
        <v>0</v>
      </c>
      <c r="BR104" s="12"/>
      <c r="BS104" s="12">
        <v>0</v>
      </c>
      <c r="BT104" s="12"/>
      <c r="BU104" s="6">
        <f>IF(+R104-BQ104+BS104&gt;0,R104-BQ104+BS104,0)</f>
        <v>0</v>
      </c>
      <c r="BV104" s="12"/>
      <c r="BW104" s="6">
        <f t="shared" si="29"/>
        <v>0</v>
      </c>
      <c r="BX104" s="12"/>
      <c r="BY104" s="6">
        <f t="shared" si="30"/>
        <v>0</v>
      </c>
      <c r="BZ104" s="12"/>
    </row>
    <row r="105" spans="1:78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>
        <v>0</v>
      </c>
      <c r="BN105" s="12"/>
      <c r="BO105" s="12">
        <v>0</v>
      </c>
      <c r="BP105" s="12"/>
      <c r="BQ105" s="12">
        <f t="shared" si="28"/>
        <v>0</v>
      </c>
      <c r="BR105" s="6"/>
      <c r="BS105" s="12">
        <v>0</v>
      </c>
      <c r="BT105" s="6"/>
      <c r="BU105" s="6">
        <v>0</v>
      </c>
      <c r="BV105" s="12"/>
      <c r="BW105" s="9">
        <f t="shared" si="29"/>
        <v>0</v>
      </c>
      <c r="BX105" s="12"/>
      <c r="BY105" s="6">
        <f t="shared" si="30"/>
        <v>0</v>
      </c>
      <c r="BZ105" s="12"/>
    </row>
    <row r="106" spans="1:78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6"/>
      <c r="BS106" s="12"/>
      <c r="BT106" s="6"/>
      <c r="BU106" s="6">
        <f>IF(+R106-BQ106+BS106&gt;0,R106-BQ106+BS106,0)</f>
        <v>0</v>
      </c>
      <c r="BV106" s="12"/>
      <c r="BW106" s="12"/>
      <c r="BX106" s="12"/>
      <c r="BY106" s="12"/>
      <c r="BZ106" s="12"/>
    </row>
    <row r="107" spans="1:78" s="114" customFormat="1">
      <c r="A107" s="282"/>
      <c r="B107" s="113" t="s">
        <v>244</v>
      </c>
      <c r="J107" s="154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6">
        <f>SUM(BM100:BM106)</f>
        <v>0</v>
      </c>
      <c r="BN107" s="116"/>
      <c r="BO107" s="116">
        <f>SUM(BO100:BO106)</f>
        <v>0</v>
      </c>
      <c r="BP107" s="115"/>
      <c r="BQ107" s="116">
        <f>SUM(BQ100:BQ106)</f>
        <v>3784307.33</v>
      </c>
      <c r="BR107" s="115"/>
      <c r="BS107" s="116">
        <f>SUM(BS100:BS106)</f>
        <v>-29</v>
      </c>
      <c r="BT107" s="115"/>
      <c r="BU107" s="116">
        <f>SUM(BU100:BU106)</f>
        <v>0.33999999985098839</v>
      </c>
      <c r="BV107" s="115"/>
      <c r="BW107" s="116">
        <f>SUM(BW100:BW106)</f>
        <v>3784307.67</v>
      </c>
      <c r="BX107" s="115"/>
      <c r="BY107" s="116">
        <f>SUM(BY100:BY106)</f>
        <v>-13807.669999999809</v>
      </c>
      <c r="BZ107" s="117"/>
    </row>
    <row r="108" spans="1:78" customFormat="1">
      <c r="A108" s="30"/>
    </row>
    <row r="109" spans="1:78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</row>
    <row r="110" spans="1:78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80">
        <v>0</v>
      </c>
      <c r="BN110" s="80"/>
      <c r="BO110" s="80">
        <v>0</v>
      </c>
      <c r="BP110" s="22"/>
      <c r="BQ110" s="80">
        <f>SUM(T110:BP110)</f>
        <v>0</v>
      </c>
      <c r="BR110" s="22"/>
      <c r="BS110" s="80">
        <v>0</v>
      </c>
      <c r="BT110" s="22"/>
      <c r="BU110" s="6">
        <f>IF(+R110-BQ110+BS110&gt;0,R110-BQ110+BS110,0)</f>
        <v>0</v>
      </c>
      <c r="BV110" s="22"/>
      <c r="BW110" s="6">
        <f>+BQ110+BU110</f>
        <v>0</v>
      </c>
      <c r="BX110" s="22"/>
      <c r="BY110" s="6">
        <f>+R110-BW110</f>
        <v>0</v>
      </c>
      <c r="BZ110" s="80"/>
    </row>
    <row r="111" spans="1:78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22"/>
      <c r="BQ111" s="80"/>
      <c r="BR111" s="22"/>
      <c r="BS111" s="80"/>
      <c r="BT111" s="22"/>
      <c r="BU111" s="80"/>
      <c r="BV111" s="22"/>
      <c r="BW111" s="80"/>
      <c r="BX111" s="22"/>
      <c r="BY111" s="80"/>
      <c r="BZ111" s="80"/>
    </row>
    <row r="112" spans="1:78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08">
        <f>SUM(BM110:BM111)</f>
        <v>0</v>
      </c>
      <c r="BN112" s="108"/>
      <c r="BO112" s="108">
        <f>SUM(BO110:BO111)</f>
        <v>0</v>
      </c>
      <c r="BP112" s="16"/>
      <c r="BQ112" s="108">
        <f>SUM(BQ110:BQ111)</f>
        <v>0</v>
      </c>
      <c r="BR112" s="16"/>
      <c r="BS112" s="108">
        <f>SUM(BS110:BS111)</f>
        <v>0</v>
      </c>
      <c r="BT112" s="16"/>
      <c r="BU112" s="108">
        <f>SUM(BU110:BU111)</f>
        <v>0</v>
      </c>
      <c r="BV112" s="16"/>
      <c r="BW112" s="108">
        <f>SUM(BW110:BW111)</f>
        <v>0</v>
      </c>
      <c r="BX112" s="16"/>
      <c r="BY112" s="108">
        <f>SUM(BY110:BY111)</f>
        <v>0</v>
      </c>
      <c r="BZ112" s="16"/>
    </row>
    <row r="113" spans="1:78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</row>
    <row r="114" spans="1:78" s="105" customFormat="1">
      <c r="A114" s="238" t="s">
        <v>246</v>
      </c>
      <c r="B114" s="63"/>
      <c r="J114" s="155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 spans="1:78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>
        <v>0</v>
      </c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</row>
    <row r="116" spans="1:78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1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>
        <v>0</v>
      </c>
      <c r="BN116" s="22"/>
      <c r="BO116" s="22">
        <v>0</v>
      </c>
      <c r="BP116" s="22"/>
      <c r="BQ116" s="22">
        <f t="shared" ref="BQ116:BQ125" si="32">SUM(T116:BP116)</f>
        <v>0</v>
      </c>
      <c r="BR116" s="22"/>
      <c r="BS116" s="22">
        <v>0</v>
      </c>
      <c r="BT116" s="22"/>
      <c r="BU116" s="22">
        <f t="shared" ref="BU116:BU125" si="33">+R116-BQ116+BS116</f>
        <v>0</v>
      </c>
      <c r="BV116" s="22"/>
      <c r="BW116" s="6">
        <f t="shared" ref="BW116:BW125" si="34">+BQ116+BU116</f>
        <v>0</v>
      </c>
      <c r="BX116" s="22"/>
      <c r="BY116" s="6">
        <f t="shared" ref="BY116:BY125" si="35">+R116-BW116</f>
        <v>0</v>
      </c>
      <c r="BZ116" s="22"/>
    </row>
    <row r="117" spans="1:78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1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>
        <v>0</v>
      </c>
      <c r="BN117" s="22"/>
      <c r="BO117" s="22">
        <v>0</v>
      </c>
      <c r="BP117" s="22"/>
      <c r="BQ117" s="22">
        <f t="shared" si="32"/>
        <v>0</v>
      </c>
      <c r="BR117" s="22"/>
      <c r="BS117" s="22">
        <v>0</v>
      </c>
      <c r="BT117" s="22"/>
      <c r="BU117" s="22">
        <f t="shared" si="33"/>
        <v>0</v>
      </c>
      <c r="BV117" s="22"/>
      <c r="BW117" s="6">
        <f t="shared" si="34"/>
        <v>0</v>
      </c>
      <c r="BX117" s="22"/>
      <c r="BY117" s="6">
        <f t="shared" si="35"/>
        <v>0</v>
      </c>
      <c r="BZ117" s="22"/>
    </row>
    <row r="118" spans="1:78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1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>
        <v>0</v>
      </c>
      <c r="BN118" s="22"/>
      <c r="BO118" s="22">
        <v>0</v>
      </c>
      <c r="BP118" s="22"/>
      <c r="BQ118" s="22">
        <f t="shared" si="32"/>
        <v>0</v>
      </c>
      <c r="BR118" s="22"/>
      <c r="BS118" s="22">
        <v>0</v>
      </c>
      <c r="BT118" s="22"/>
      <c r="BU118" s="22">
        <f t="shared" si="33"/>
        <v>0</v>
      </c>
      <c r="BV118" s="22"/>
      <c r="BW118" s="6">
        <f t="shared" si="34"/>
        <v>0</v>
      </c>
      <c r="BX118" s="22"/>
      <c r="BY118" s="6">
        <f t="shared" si="35"/>
        <v>0</v>
      </c>
      <c r="BZ118" s="22"/>
    </row>
    <row r="119" spans="1:78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1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>
        <v>0</v>
      </c>
      <c r="BN119" s="22"/>
      <c r="BO119" s="22">
        <v>0</v>
      </c>
      <c r="BP119" s="22"/>
      <c r="BQ119" s="22">
        <f t="shared" si="32"/>
        <v>0</v>
      </c>
      <c r="BR119" s="22"/>
      <c r="BS119" s="22">
        <v>0</v>
      </c>
      <c r="BT119" s="22"/>
      <c r="BU119" s="22">
        <f t="shared" si="33"/>
        <v>0</v>
      </c>
      <c r="BV119" s="22"/>
      <c r="BW119" s="6">
        <f t="shared" si="34"/>
        <v>0</v>
      </c>
      <c r="BX119" s="22"/>
      <c r="BY119" s="6">
        <f t="shared" si="35"/>
        <v>0</v>
      </c>
      <c r="BZ119" s="22"/>
    </row>
    <row r="120" spans="1:78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1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>
        <v>0</v>
      </c>
      <c r="BN120" s="22"/>
      <c r="BO120" s="22">
        <v>0</v>
      </c>
      <c r="BP120" s="22"/>
      <c r="BQ120" s="22">
        <f t="shared" si="32"/>
        <v>0</v>
      </c>
      <c r="BR120" s="22"/>
      <c r="BS120" s="22">
        <v>0</v>
      </c>
      <c r="BT120" s="22"/>
      <c r="BU120" s="22">
        <f t="shared" si="33"/>
        <v>0</v>
      </c>
      <c r="BV120" s="22"/>
      <c r="BW120" s="6">
        <f t="shared" si="34"/>
        <v>0</v>
      </c>
      <c r="BX120" s="22"/>
      <c r="BY120" s="6">
        <f t="shared" si="35"/>
        <v>0</v>
      </c>
      <c r="BZ120" s="22"/>
    </row>
    <row r="121" spans="1:78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1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>
        <v>0</v>
      </c>
      <c r="BN121" s="22"/>
      <c r="BO121" s="22">
        <v>0</v>
      </c>
      <c r="BP121" s="22"/>
      <c r="BQ121" s="22">
        <f t="shared" si="32"/>
        <v>0</v>
      </c>
      <c r="BR121" s="22"/>
      <c r="BS121" s="22">
        <v>0</v>
      </c>
      <c r="BT121" s="22"/>
      <c r="BU121" s="22">
        <f t="shared" si="33"/>
        <v>0</v>
      </c>
      <c r="BV121" s="22"/>
      <c r="BW121" s="6">
        <f t="shared" si="34"/>
        <v>0</v>
      </c>
      <c r="BX121" s="22"/>
      <c r="BY121" s="6">
        <f t="shared" si="35"/>
        <v>0</v>
      </c>
      <c r="BZ121" s="22"/>
    </row>
    <row r="122" spans="1:78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1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>
        <v>0</v>
      </c>
      <c r="BN122" s="22"/>
      <c r="BO122" s="22">
        <v>0</v>
      </c>
      <c r="BP122" s="22"/>
      <c r="BQ122" s="22">
        <f t="shared" si="32"/>
        <v>0</v>
      </c>
      <c r="BR122" s="22"/>
      <c r="BS122" s="22">
        <v>0</v>
      </c>
      <c r="BT122" s="22"/>
      <c r="BU122" s="22">
        <f t="shared" si="33"/>
        <v>0</v>
      </c>
      <c r="BV122" s="22"/>
      <c r="BW122" s="6">
        <f t="shared" si="34"/>
        <v>0</v>
      </c>
      <c r="BX122" s="22"/>
      <c r="BY122" s="6">
        <f t="shared" si="35"/>
        <v>0</v>
      </c>
      <c r="BZ122" s="22"/>
    </row>
    <row r="123" spans="1:78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1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>
        <v>0</v>
      </c>
      <c r="BN123" s="22"/>
      <c r="BO123" s="22">
        <v>0</v>
      </c>
      <c r="BP123" s="22"/>
      <c r="BQ123" s="22">
        <f t="shared" si="32"/>
        <v>0</v>
      </c>
      <c r="BR123" s="22"/>
      <c r="BS123" s="22">
        <v>0</v>
      </c>
      <c r="BT123" s="22"/>
      <c r="BU123" s="22">
        <f t="shared" si="33"/>
        <v>0</v>
      </c>
      <c r="BV123" s="22"/>
      <c r="BW123" s="6">
        <f t="shared" si="34"/>
        <v>0</v>
      </c>
      <c r="BX123" s="22"/>
      <c r="BY123" s="6">
        <f t="shared" si="35"/>
        <v>0</v>
      </c>
      <c r="BZ123" s="22"/>
    </row>
    <row r="124" spans="1:78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3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1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>
        <v>0</v>
      </c>
      <c r="BN124" s="80"/>
      <c r="BO124" s="80">
        <v>0</v>
      </c>
      <c r="BP124" s="80"/>
      <c r="BQ124" s="80">
        <f t="shared" si="32"/>
        <v>0</v>
      </c>
      <c r="BR124" s="80"/>
      <c r="BS124" s="80">
        <v>0</v>
      </c>
      <c r="BT124" s="80"/>
      <c r="BU124" s="80">
        <f t="shared" si="33"/>
        <v>0</v>
      </c>
      <c r="BV124" s="80"/>
      <c r="BW124" s="6">
        <f t="shared" si="34"/>
        <v>0</v>
      </c>
      <c r="BX124" s="80"/>
      <c r="BY124" s="6">
        <f t="shared" si="35"/>
        <v>0</v>
      </c>
      <c r="BZ124" s="80"/>
    </row>
    <row r="125" spans="1:78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3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1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>
        <v>0</v>
      </c>
      <c r="BN125" s="80"/>
      <c r="BO125" s="80">
        <v>0</v>
      </c>
      <c r="BP125" s="80"/>
      <c r="BQ125" s="80">
        <f t="shared" si="32"/>
        <v>0</v>
      </c>
      <c r="BR125" s="80"/>
      <c r="BS125" s="80">
        <v>0</v>
      </c>
      <c r="BT125" s="80"/>
      <c r="BU125" s="80">
        <f t="shared" si="33"/>
        <v>0</v>
      </c>
      <c r="BV125" s="80"/>
      <c r="BW125" s="6">
        <f t="shared" si="34"/>
        <v>0</v>
      </c>
      <c r="BX125" s="80"/>
      <c r="BY125" s="6">
        <f t="shared" si="35"/>
        <v>0</v>
      </c>
      <c r="BZ125" s="80"/>
    </row>
    <row r="126" spans="1:78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3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</row>
    <row r="127" spans="1:78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08">
        <f>SUM(BM116:BM126)</f>
        <v>0</v>
      </c>
      <c r="BN127" s="108"/>
      <c r="BO127" s="108">
        <f>SUM(BO116:BO126)</f>
        <v>0</v>
      </c>
      <c r="BP127" s="16"/>
      <c r="BQ127" s="108">
        <f>SUM(BQ116:BQ126)</f>
        <v>0</v>
      </c>
      <c r="BR127" s="16"/>
      <c r="BS127" s="108">
        <f>SUM(BS116:BS126)</f>
        <v>0</v>
      </c>
      <c r="BT127" s="16"/>
      <c r="BU127" s="108">
        <f>SUM(BU116:BU126)</f>
        <v>0</v>
      </c>
      <c r="BV127" s="16"/>
      <c r="BW127" s="108">
        <f>SUM(BW116:BW126)</f>
        <v>0</v>
      </c>
      <c r="BX127" s="16"/>
      <c r="BY127" s="108">
        <f>SUM(BY116:BY126)</f>
        <v>0</v>
      </c>
      <c r="BZ127" s="103"/>
    </row>
    <row r="128" spans="1:78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</row>
    <row r="129" spans="1:78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</row>
    <row r="130" spans="1:78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P130" s="6"/>
      <c r="BR130" s="6"/>
      <c r="BS130" s="6"/>
      <c r="BT130" s="6"/>
      <c r="BV130" s="22"/>
      <c r="BX130" s="22"/>
      <c r="BZ130" s="6"/>
    </row>
    <row r="131" spans="1:78">
      <c r="A131" s="17"/>
      <c r="B131" s="17" t="s">
        <v>376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>
        <v>0</v>
      </c>
      <c r="BN131" s="6"/>
      <c r="BO131" s="6">
        <v>0</v>
      </c>
      <c r="BP131" s="6"/>
      <c r="BQ131" s="6">
        <f>SUM(T131:BP131)</f>
        <v>185000</v>
      </c>
      <c r="BR131" s="6"/>
      <c r="BS131" s="6">
        <v>0</v>
      </c>
      <c r="BT131" s="6"/>
      <c r="BU131" s="6">
        <f>IF(+R131-BQ131+BS131&gt;0,R131-BQ131+BS131,0)</f>
        <v>0</v>
      </c>
      <c r="BV131" s="22"/>
      <c r="BW131" s="6">
        <f>+BQ131+BU131</f>
        <v>185000</v>
      </c>
      <c r="BX131" s="22"/>
      <c r="BY131" s="6">
        <f>+R131-BW131</f>
        <v>0</v>
      </c>
      <c r="BZ131" s="6"/>
    </row>
    <row r="132" spans="1:78">
      <c r="A132" s="17"/>
      <c r="B132" s="17" t="s">
        <v>378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>
        <v>955</v>
      </c>
      <c r="BN132" s="6"/>
      <c r="BO132" s="6">
        <v>0</v>
      </c>
      <c r="BP132" s="6"/>
      <c r="BQ132" s="6">
        <f>SUM(T132:BP132)</f>
        <v>899341.16</v>
      </c>
      <c r="BR132" s="6"/>
      <c r="BS132" s="6">
        <v>0</v>
      </c>
      <c r="BT132" s="6"/>
      <c r="BU132" s="6">
        <f>IF(+R132-BQ132+BS132&gt;0,R132-BQ132+BS132,0)</f>
        <v>0</v>
      </c>
      <c r="BV132" s="22"/>
      <c r="BW132" s="6">
        <f>+BQ132+BU132</f>
        <v>899341.16</v>
      </c>
      <c r="BX132" s="22"/>
      <c r="BY132" s="6">
        <f>+R132-BW132</f>
        <v>-175555.16000000003</v>
      </c>
      <c r="BZ132" s="6"/>
    </row>
    <row r="133" spans="1:78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>
        <v>0</v>
      </c>
      <c r="BN133" s="6"/>
      <c r="BO133" s="6">
        <v>0</v>
      </c>
      <c r="BP133" s="6"/>
      <c r="BQ133" s="6">
        <f>SUM(T133:BP133)</f>
        <v>0</v>
      </c>
      <c r="BR133" s="6"/>
      <c r="BS133" s="6">
        <v>0</v>
      </c>
      <c r="BT133" s="6"/>
      <c r="BU133" s="6">
        <f>+R133-BQ133+BS133</f>
        <v>0</v>
      </c>
      <c r="BV133" s="22"/>
      <c r="BW133" s="6">
        <f>+BQ133+BU133</f>
        <v>0</v>
      </c>
      <c r="BX133" s="22"/>
      <c r="BY133" s="6">
        <f>+R133-BW133</f>
        <v>0</v>
      </c>
      <c r="BZ133" s="6"/>
    </row>
    <row r="134" spans="1:78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102">
        <f>SUM(BM131:BM133)</f>
        <v>955</v>
      </c>
      <c r="BN134" s="102"/>
      <c r="BO134" s="102">
        <f>SUM(BO131:BO133)</f>
        <v>0</v>
      </c>
      <c r="BP134" s="9"/>
      <c r="BQ134" s="102">
        <f>SUM(BQ131:BQ133)</f>
        <v>1084341.1600000001</v>
      </c>
      <c r="BR134" s="9"/>
      <c r="BS134" s="102">
        <f>SUM(BS131:BS133)</f>
        <v>0</v>
      </c>
      <c r="BT134" s="9"/>
      <c r="BU134" s="102">
        <f>SUM(BU131:BU133)</f>
        <v>0</v>
      </c>
      <c r="BV134" s="16"/>
      <c r="BW134" s="102">
        <f>SUM(BW131:BW133)</f>
        <v>1084341.1600000001</v>
      </c>
      <c r="BX134" s="16"/>
      <c r="BY134" s="102">
        <f>SUM(BY131:BY133)</f>
        <v>-175555.16000000003</v>
      </c>
      <c r="BZ134" s="9"/>
    </row>
    <row r="135" spans="1:78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9"/>
      <c r="BQ135" s="10"/>
      <c r="BR135" s="9"/>
      <c r="BS135" s="10"/>
      <c r="BT135" s="9"/>
      <c r="BU135" s="10"/>
      <c r="BV135" s="16"/>
      <c r="BW135" s="10"/>
      <c r="BX135" s="16"/>
      <c r="BY135" s="10"/>
      <c r="BZ135" s="9"/>
    </row>
    <row r="136" spans="1:78" s="21" customFormat="1">
      <c r="A136" s="77" t="s">
        <v>407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>
        <v>0</v>
      </c>
      <c r="BN136" s="9"/>
      <c r="BO136" s="9">
        <v>0</v>
      </c>
      <c r="BP136" s="9"/>
      <c r="BQ136" s="16">
        <f>SUM(T136:BP136)</f>
        <v>112320.7</v>
      </c>
      <c r="BR136" s="9"/>
      <c r="BS136" s="9">
        <v>0</v>
      </c>
      <c r="BT136" s="9"/>
      <c r="BU136" s="6">
        <f>IF(+R136-BQ136+BS136&gt;0,R136-BQ136+BS136,0)</f>
        <v>0</v>
      </c>
      <c r="BV136" s="9"/>
      <c r="BW136" s="9">
        <f>+BQ136+BU136</f>
        <v>112320.7</v>
      </c>
      <c r="BX136" s="9"/>
      <c r="BY136" s="9">
        <f>+R136-BW136</f>
        <v>-112320.7</v>
      </c>
      <c r="BZ136" s="9"/>
    </row>
    <row r="137" spans="1:78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</row>
    <row r="138" spans="1:78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>
        <v>0</v>
      </c>
      <c r="BN138" s="9"/>
      <c r="BO138" s="9">
        <v>0</v>
      </c>
      <c r="BP138" s="9"/>
      <c r="BQ138" s="9">
        <f>SUM(T138:BP138)</f>
        <v>0</v>
      </c>
      <c r="BR138" s="9"/>
      <c r="BS138" s="9">
        <v>0</v>
      </c>
      <c r="BT138" s="9"/>
      <c r="BU138" s="6">
        <f>IF(+R138-BQ138+BS138&gt;0,R138-BQ138+BS138,0)</f>
        <v>0</v>
      </c>
      <c r="BV138" s="9"/>
      <c r="BW138" s="9">
        <f>+BQ138+BU138</f>
        <v>0</v>
      </c>
      <c r="BX138" s="9"/>
      <c r="BY138" s="9">
        <f>+R138-BW138</f>
        <v>0</v>
      </c>
      <c r="BZ138" s="9"/>
    </row>
    <row r="139" spans="1:78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</row>
    <row r="140" spans="1:78" s="31" customFormat="1">
      <c r="A140" s="58" t="s">
        <v>291</v>
      </c>
      <c r="J140" s="156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>
        <v>0</v>
      </c>
      <c r="BN140" s="10"/>
      <c r="BO140" s="10">
        <v>0</v>
      </c>
      <c r="BP140" s="10"/>
      <c r="BQ140" s="10">
        <f>SUM(T140:BP140)</f>
        <v>0</v>
      </c>
      <c r="BR140" s="10"/>
      <c r="BS140" s="10">
        <v>0</v>
      </c>
      <c r="BT140" s="10"/>
      <c r="BU140" s="6">
        <f>IF(+R140-BQ140+BS140&gt;0,R140-BQ140+BS140,0)</f>
        <v>675000</v>
      </c>
      <c r="BV140" s="10"/>
      <c r="BW140" s="9">
        <f>+BQ140+BU140</f>
        <v>675000</v>
      </c>
      <c r="BX140" s="10"/>
      <c r="BY140" s="6">
        <f>+R140-BW140</f>
        <v>0</v>
      </c>
      <c r="BZ140" s="10"/>
    </row>
    <row r="141" spans="1:78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</row>
    <row r="142" spans="1:78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>
        <v>0</v>
      </c>
      <c r="BN142" s="9"/>
      <c r="BO142" s="9">
        <v>0</v>
      </c>
      <c r="BP142" s="9"/>
      <c r="BQ142" s="9">
        <f>SUM(T142:BP142)</f>
        <v>33710</v>
      </c>
      <c r="BR142" s="9"/>
      <c r="BS142" s="9">
        <v>0</v>
      </c>
      <c r="BT142" s="9"/>
      <c r="BU142" s="6">
        <v>0</v>
      </c>
      <c r="BV142" s="16"/>
      <c r="BW142" s="9">
        <f>+BQ142+BU142</f>
        <v>33710</v>
      </c>
      <c r="BX142" s="16"/>
      <c r="BY142" s="6">
        <f>+R142-BW142</f>
        <v>1213297</v>
      </c>
      <c r="BZ142" s="9"/>
    </row>
    <row r="143" spans="1:78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</row>
    <row r="144" spans="1:78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>
        <v>0</v>
      </c>
      <c r="BP144" s="6"/>
      <c r="BR144" s="6"/>
      <c r="BS144" s="6"/>
      <c r="BT144" s="6"/>
      <c r="BZ144" s="6"/>
    </row>
    <row r="145" spans="1:78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>
        <v>0</v>
      </c>
      <c r="BN145" s="6"/>
      <c r="BO145" s="6">
        <v>0</v>
      </c>
      <c r="BP145" s="6"/>
      <c r="BQ145" s="6">
        <f>SUM(T145:BP145)</f>
        <v>45010</v>
      </c>
      <c r="BR145" s="6"/>
      <c r="BS145" s="6">
        <v>0</v>
      </c>
      <c r="BT145" s="6"/>
      <c r="BU145" s="6">
        <f>IF(+R145-BQ145+BS145&gt;0,R145-BQ145+BS145,0)</f>
        <v>0</v>
      </c>
      <c r="BW145" s="6">
        <f>+BQ145+BU145</f>
        <v>45010</v>
      </c>
      <c r="BY145" s="6">
        <f>+R145-BW145</f>
        <v>-45010</v>
      </c>
      <c r="BZ145" s="6"/>
    </row>
    <row r="146" spans="1:78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>
        <v>0</v>
      </c>
      <c r="BN146" s="6"/>
      <c r="BO146" s="6">
        <v>0</v>
      </c>
      <c r="BP146" s="6"/>
      <c r="BQ146" s="6">
        <f>SUM(T146:BP146)</f>
        <v>0</v>
      </c>
      <c r="BR146" s="6"/>
      <c r="BS146" s="6">
        <v>0</v>
      </c>
      <c r="BT146" s="6"/>
      <c r="BU146" s="6">
        <f>IF(+R146-BQ146+BS146&gt;0,R146-BQ146+BS146,0)</f>
        <v>0</v>
      </c>
      <c r="BW146" s="6">
        <f>+BQ146+BU146</f>
        <v>0</v>
      </c>
      <c r="BY146" s="6">
        <f>+R146-BW146</f>
        <v>0</v>
      </c>
      <c r="BZ146" s="6"/>
    </row>
    <row r="147" spans="1:78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>
        <v>0</v>
      </c>
      <c r="BN147" s="6"/>
      <c r="BO147" s="6">
        <v>0</v>
      </c>
      <c r="BP147" s="6"/>
      <c r="BQ147" s="6">
        <f>SUM(T147:BP147)</f>
        <v>437856</v>
      </c>
      <c r="BR147" s="6"/>
      <c r="BS147" s="6">
        <v>54315</v>
      </c>
      <c r="BT147" s="6"/>
      <c r="BU147" s="6">
        <f>IF(+R147-BQ147+BS147&gt;0,R147-BQ147+BS147,0)</f>
        <v>0</v>
      </c>
      <c r="BW147" s="6">
        <f>+BQ147+BU147</f>
        <v>437856</v>
      </c>
      <c r="BY147" s="6">
        <f>+R147-BW147</f>
        <v>-68815</v>
      </c>
      <c r="BZ147" s="6"/>
    </row>
    <row r="148" spans="1:78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P148" s="6"/>
      <c r="BR148" s="6"/>
      <c r="BS148" s="6"/>
      <c r="BT148" s="6"/>
      <c r="BU148" s="6">
        <f>IF(+R148-BQ148+BS148&gt;0,R148-BQ148+BS148,0)</f>
        <v>0</v>
      </c>
      <c r="BW148" s="6">
        <f>+BQ148+BU148</f>
        <v>0</v>
      </c>
      <c r="BY148" s="6">
        <f>+R148-BW148</f>
        <v>0</v>
      </c>
      <c r="BZ148" s="6"/>
    </row>
    <row r="149" spans="1:78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102">
        <f>SUM(BM145:BM148)</f>
        <v>0</v>
      </c>
      <c r="BN149" s="102"/>
      <c r="BO149" s="102">
        <f>SUM(BO145:BO148)</f>
        <v>0</v>
      </c>
      <c r="BP149" s="9"/>
      <c r="BQ149" s="102">
        <f>SUM(BQ145:BQ148)</f>
        <v>482866</v>
      </c>
      <c r="BR149" s="9"/>
      <c r="BS149" s="102">
        <f>SUM(BS145:BS148)</f>
        <v>54315</v>
      </c>
      <c r="BT149" s="9"/>
      <c r="BU149" s="102">
        <f>SUM(BU145:BU148)</f>
        <v>0</v>
      </c>
      <c r="BV149" s="9"/>
      <c r="BW149" s="102">
        <f>SUM(BW145:BW148)</f>
        <v>482866</v>
      </c>
      <c r="BX149" s="9"/>
      <c r="BY149" s="102">
        <f>SUM(BY145:BY148)</f>
        <v>-113825</v>
      </c>
      <c r="BZ149" s="9"/>
    </row>
    <row r="150" spans="1:78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</row>
    <row r="151" spans="1:78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P151" s="6"/>
      <c r="BR151" s="6"/>
      <c r="BS151" s="6"/>
      <c r="BT151" s="6"/>
      <c r="BZ151" s="6"/>
    </row>
    <row r="152" spans="1:78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>
        <v>0</v>
      </c>
      <c r="BN152" s="6"/>
      <c r="BO152" s="6">
        <v>0</v>
      </c>
      <c r="BP152" s="6"/>
      <c r="BQ152" s="6">
        <f t="shared" ref="BQ152:BQ157" si="36">SUM(T152:BP152)</f>
        <v>69419</v>
      </c>
      <c r="BR152" s="6"/>
      <c r="BS152" s="223">
        <v>0</v>
      </c>
      <c r="BT152" s="6"/>
      <c r="BU152" s="6">
        <f t="shared" ref="BU152:BU158" si="37">IF(+R152-BQ152+BS152&gt;0,R152-BQ152+BS152,0)</f>
        <v>0</v>
      </c>
      <c r="BW152" s="6">
        <f t="shared" ref="BW152:BW157" si="38">+BQ152+BU152</f>
        <v>69419</v>
      </c>
      <c r="BY152" s="6">
        <f t="shared" ref="BY152:BY157" si="39">+R152-BW152</f>
        <v>0</v>
      </c>
      <c r="BZ152" s="6"/>
    </row>
    <row r="153" spans="1:78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>
        <v>0</v>
      </c>
      <c r="BN153" s="6"/>
      <c r="BO153" s="6">
        <v>0</v>
      </c>
      <c r="BP153" s="6"/>
      <c r="BQ153" s="6">
        <f t="shared" si="36"/>
        <v>0</v>
      </c>
      <c r="BR153" s="6"/>
      <c r="BS153" s="223">
        <v>0</v>
      </c>
      <c r="BT153" s="6"/>
      <c r="BU153" s="6">
        <f t="shared" si="37"/>
        <v>0</v>
      </c>
      <c r="BW153" s="6">
        <f t="shared" si="38"/>
        <v>0</v>
      </c>
      <c r="BY153" s="6">
        <f t="shared" si="39"/>
        <v>0</v>
      </c>
      <c r="BZ153" s="6"/>
    </row>
    <row r="154" spans="1:78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>
        <v>0</v>
      </c>
      <c r="BN154" s="6"/>
      <c r="BO154" s="6">
        <v>0</v>
      </c>
      <c r="BP154" s="6"/>
      <c r="BQ154" s="6">
        <f t="shared" si="36"/>
        <v>501836.64</v>
      </c>
      <c r="BR154" s="6"/>
      <c r="BS154" s="223">
        <v>0</v>
      </c>
      <c r="BT154" s="6"/>
      <c r="BU154" s="6">
        <f t="shared" si="37"/>
        <v>0</v>
      </c>
      <c r="BW154" s="6">
        <f t="shared" si="38"/>
        <v>501836.64</v>
      </c>
      <c r="BY154" s="6">
        <f t="shared" si="39"/>
        <v>-501836.64</v>
      </c>
      <c r="BZ154" s="6"/>
    </row>
    <row r="155" spans="1:78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>
        <v>0</v>
      </c>
      <c r="BN155" s="6"/>
      <c r="BO155" s="6">
        <v>0</v>
      </c>
      <c r="BP155" s="6"/>
      <c r="BQ155" s="6">
        <f t="shared" si="36"/>
        <v>35600.880000000005</v>
      </c>
      <c r="BR155" s="6"/>
      <c r="BS155" s="223">
        <v>0</v>
      </c>
      <c r="BT155" s="6"/>
      <c r="BU155" s="6">
        <f t="shared" si="37"/>
        <v>0</v>
      </c>
      <c r="BW155" s="6">
        <f t="shared" si="38"/>
        <v>35600.880000000005</v>
      </c>
      <c r="BY155" s="6">
        <f t="shared" si="39"/>
        <v>-35600.880000000005</v>
      </c>
      <c r="BZ155" s="6"/>
    </row>
    <row r="156" spans="1:78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>
        <v>0</v>
      </c>
      <c r="BN156" s="6"/>
      <c r="BO156" s="6">
        <v>0</v>
      </c>
      <c r="BP156" s="6"/>
      <c r="BQ156" s="6">
        <f t="shared" si="36"/>
        <v>0</v>
      </c>
      <c r="BR156" s="6"/>
      <c r="BS156" s="223">
        <v>0</v>
      </c>
      <c r="BT156" s="6"/>
      <c r="BU156" s="6">
        <f t="shared" si="37"/>
        <v>0</v>
      </c>
      <c r="BW156" s="6">
        <f t="shared" si="38"/>
        <v>0</v>
      </c>
      <c r="BY156" s="6">
        <f t="shared" si="39"/>
        <v>0</v>
      </c>
      <c r="BZ156" s="6"/>
    </row>
    <row r="157" spans="1:78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>
        <v>0</v>
      </c>
      <c r="BP157" s="6"/>
      <c r="BQ157" s="6">
        <f t="shared" si="36"/>
        <v>638626.94999999995</v>
      </c>
      <c r="BR157" s="6"/>
      <c r="BS157" s="223">
        <v>0</v>
      </c>
      <c r="BT157" s="6"/>
      <c r="BU157" s="6">
        <f t="shared" si="37"/>
        <v>0</v>
      </c>
      <c r="BW157" s="6">
        <f t="shared" si="38"/>
        <v>638626.94999999995</v>
      </c>
      <c r="BY157" s="6">
        <f t="shared" si="39"/>
        <v>-168045.94999999995</v>
      </c>
      <c r="BZ157" s="6"/>
    </row>
    <row r="158" spans="1:78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P158" s="6"/>
      <c r="BR158" s="6"/>
      <c r="BS158" s="223"/>
      <c r="BT158" s="6"/>
      <c r="BU158" s="6">
        <f t="shared" si="37"/>
        <v>0</v>
      </c>
      <c r="BZ158" s="6"/>
    </row>
    <row r="159" spans="1:78" s="21" customFormat="1">
      <c r="A159" s="283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102">
        <f>SUM(BM152:BM158)</f>
        <v>0</v>
      </c>
      <c r="BN159" s="102"/>
      <c r="BO159" s="102">
        <f>SUM(BO152:BO158)</f>
        <v>0</v>
      </c>
      <c r="BP159" s="9"/>
      <c r="BQ159" s="102">
        <f>SUM(BQ152:BQ158)</f>
        <v>1245483.47</v>
      </c>
      <c r="BR159" s="9"/>
      <c r="BS159" s="102">
        <f>SUM(BS152:BS158)</f>
        <v>0</v>
      </c>
      <c r="BT159" s="9"/>
      <c r="BU159" s="102">
        <f>SUM(BU152:BU158)</f>
        <v>0</v>
      </c>
      <c r="BV159" s="9"/>
      <c r="BW159" s="102">
        <f>SUM(BW152:BW158)</f>
        <v>1245483.47</v>
      </c>
      <c r="BX159" s="9"/>
      <c r="BY159" s="102">
        <f>SUM(BY152:BY158)</f>
        <v>-705483.47</v>
      </c>
      <c r="BZ159" s="9"/>
    </row>
    <row r="160" spans="1:78" s="21" customFormat="1">
      <c r="A160" s="283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>
        <v>0</v>
      </c>
      <c r="BP160" s="9"/>
      <c r="BQ160" s="10"/>
      <c r="BR160" s="9"/>
      <c r="BS160" s="10"/>
      <c r="BT160" s="9"/>
      <c r="BU160" s="10"/>
      <c r="BV160" s="9"/>
      <c r="BW160" s="10"/>
      <c r="BX160" s="9"/>
      <c r="BY160" s="10"/>
      <c r="BZ160" s="9"/>
    </row>
    <row r="161" spans="1:77">
      <c r="A161" s="58" t="s">
        <v>283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P161" s="6"/>
      <c r="BR161" s="6"/>
      <c r="BS161" s="6"/>
      <c r="BT161" s="6"/>
      <c r="BY161" s="4"/>
    </row>
    <row r="162" spans="1:77">
      <c r="A162" s="58"/>
      <c r="B162" s="11" t="s">
        <v>269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>
        <v>0</v>
      </c>
      <c r="BN162" s="6"/>
      <c r="BO162" s="6"/>
      <c r="BP162" s="6"/>
      <c r="BQ162" s="6">
        <f>SUM(T162:BP162)</f>
        <v>145668.99</v>
      </c>
      <c r="BR162" s="6"/>
      <c r="BS162" s="6">
        <v>0</v>
      </c>
      <c r="BT162" s="6"/>
      <c r="BU162" s="6">
        <v>225000</v>
      </c>
      <c r="BW162" s="6">
        <f>+BQ162+BU162</f>
        <v>370668.99</v>
      </c>
      <c r="BY162" s="6">
        <f t="shared" ref="BY162:BY181" si="40">+R162-BW162</f>
        <v>-310668.99</v>
      </c>
    </row>
    <row r="163" spans="1:77">
      <c r="A163" s="58"/>
      <c r="B163" s="11" t="s">
        <v>270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>
        <v>0</v>
      </c>
      <c r="BN163" s="6"/>
      <c r="BO163" s="6">
        <v>0</v>
      </c>
      <c r="BP163" s="6"/>
      <c r="BQ163" s="6">
        <f>SUM(T163:BP163)</f>
        <v>58683.839999999997</v>
      </c>
      <c r="BR163" s="6"/>
      <c r="BS163" s="6">
        <v>0</v>
      </c>
      <c r="BT163" s="6"/>
      <c r="BU163" s="6">
        <f t="shared" ref="BU163:BU179" si="41">IF(+R163-BQ163+BS163&gt;0,R163-BQ163+BS163,0)</f>
        <v>0</v>
      </c>
      <c r="BW163" s="6">
        <f>+BQ163+BU163</f>
        <v>58683.839999999997</v>
      </c>
      <c r="BY163" s="6">
        <f t="shared" si="40"/>
        <v>-23683.839999999997</v>
      </c>
    </row>
    <row r="164" spans="1:77">
      <c r="A164" s="58"/>
      <c r="B164" s="11" t="s">
        <v>342</v>
      </c>
      <c r="C164"/>
      <c r="D164"/>
      <c r="E164"/>
      <c r="F164"/>
      <c r="G164"/>
      <c r="H164"/>
      <c r="I164"/>
      <c r="J164"/>
      <c r="K164" s="132" t="s">
        <v>202</v>
      </c>
      <c r="L164" s="250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5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>
        <v>0</v>
      </c>
      <c r="BP164" s="6"/>
      <c r="BQ164" s="6">
        <f>SUM(T164:BP164)</f>
        <v>1273949</v>
      </c>
      <c r="BR164" s="6"/>
      <c r="BS164" s="6"/>
      <c r="BT164" s="6"/>
      <c r="BU164" s="6">
        <f t="shared" si="41"/>
        <v>330364</v>
      </c>
      <c r="BW164" s="6">
        <f>+BQ164+BU164</f>
        <v>1604313</v>
      </c>
      <c r="BY164" s="6">
        <f t="shared" si="40"/>
        <v>0</v>
      </c>
    </row>
    <row r="165" spans="1:77">
      <c r="A165" s="58"/>
      <c r="B165" s="11" t="s">
        <v>343</v>
      </c>
      <c r="C165"/>
      <c r="D165"/>
      <c r="E165"/>
      <c r="F165"/>
      <c r="G165"/>
      <c r="H165"/>
      <c r="I165"/>
      <c r="J165"/>
      <c r="K165" s="132"/>
      <c r="L165" s="250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>
        <v>0</v>
      </c>
      <c r="BP165" s="6"/>
      <c r="BQ165" s="6">
        <f t="shared" ref="BQ165:BQ181" si="42">SUM(T165:BP165)</f>
        <v>764455</v>
      </c>
      <c r="BR165" s="6"/>
      <c r="BS165" s="6"/>
      <c r="BT165" s="6"/>
      <c r="BU165" s="6">
        <f t="shared" si="41"/>
        <v>0</v>
      </c>
      <c r="BW165" s="6">
        <f t="shared" ref="BW165:BW181" si="43">+BQ165+BU165</f>
        <v>764455</v>
      </c>
      <c r="BY165" s="6">
        <f t="shared" si="40"/>
        <v>-8092</v>
      </c>
    </row>
    <row r="166" spans="1:77">
      <c r="A166" s="58"/>
      <c r="B166" s="11" t="s">
        <v>344</v>
      </c>
      <c r="C166"/>
      <c r="D166"/>
      <c r="E166"/>
      <c r="F166"/>
      <c r="G166"/>
      <c r="H166"/>
      <c r="I166"/>
      <c r="J166"/>
      <c r="K166" s="132"/>
      <c r="L166" s="250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>
        <v>0</v>
      </c>
      <c r="BP166" s="6"/>
      <c r="BQ166" s="6">
        <f t="shared" si="42"/>
        <v>12</v>
      </c>
      <c r="BR166" s="6"/>
      <c r="BS166" s="6"/>
      <c r="BT166" s="6"/>
      <c r="BU166" s="6">
        <f t="shared" si="41"/>
        <v>21060</v>
      </c>
      <c r="BW166" s="6">
        <f t="shared" si="43"/>
        <v>21072</v>
      </c>
      <c r="BY166" s="6">
        <f t="shared" si="40"/>
        <v>0</v>
      </c>
    </row>
    <row r="167" spans="1:77">
      <c r="A167" s="58"/>
      <c r="B167" s="11" t="s">
        <v>345</v>
      </c>
      <c r="C167"/>
      <c r="D167"/>
      <c r="E167"/>
      <c r="F167"/>
      <c r="G167"/>
      <c r="H167"/>
      <c r="I167"/>
      <c r="J167"/>
      <c r="K167" s="132"/>
      <c r="L167" s="250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>
        <v>0</v>
      </c>
      <c r="BP167" s="6"/>
      <c r="BQ167" s="6">
        <f t="shared" si="42"/>
        <v>165140</v>
      </c>
      <c r="BR167" s="6"/>
      <c r="BS167" s="6"/>
      <c r="BT167" s="6"/>
      <c r="BU167" s="6">
        <f t="shared" si="41"/>
        <v>0</v>
      </c>
      <c r="BW167" s="6">
        <f t="shared" si="43"/>
        <v>165140</v>
      </c>
      <c r="BY167" s="6">
        <f t="shared" si="40"/>
        <v>-28424</v>
      </c>
    </row>
    <row r="168" spans="1:77">
      <c r="A168" s="58"/>
      <c r="B168" s="11" t="s">
        <v>346</v>
      </c>
      <c r="C168"/>
      <c r="D168"/>
      <c r="E168"/>
      <c r="F168"/>
      <c r="G168"/>
      <c r="H168"/>
      <c r="I168"/>
      <c r="J168"/>
      <c r="K168" s="132"/>
      <c r="L168" s="250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>
        <v>0</v>
      </c>
      <c r="BP168" s="6"/>
      <c r="BQ168" s="6">
        <f t="shared" si="42"/>
        <v>387185</v>
      </c>
      <c r="BR168" s="6"/>
      <c r="BS168" s="6"/>
      <c r="BT168" s="6"/>
      <c r="BU168" s="6">
        <f t="shared" si="41"/>
        <v>31721</v>
      </c>
      <c r="BW168" s="6">
        <f t="shared" si="43"/>
        <v>418906</v>
      </c>
      <c r="BY168" s="6">
        <f t="shared" si="40"/>
        <v>0</v>
      </c>
    </row>
    <row r="169" spans="1:77">
      <c r="A169" s="58"/>
      <c r="B169" s="11" t="s">
        <v>347</v>
      </c>
      <c r="C169"/>
      <c r="D169"/>
      <c r="E169"/>
      <c r="F169"/>
      <c r="G169"/>
      <c r="H169"/>
      <c r="I169"/>
      <c r="J169"/>
      <c r="K169" s="132"/>
      <c r="L169" s="250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>
        <v>0</v>
      </c>
      <c r="BP169" s="6"/>
      <c r="BQ169" s="6">
        <f t="shared" si="42"/>
        <v>60493</v>
      </c>
      <c r="BR169" s="6"/>
      <c r="BS169" s="6"/>
      <c r="BT169" s="6"/>
      <c r="BU169" s="6">
        <f t="shared" si="41"/>
        <v>19525</v>
      </c>
      <c r="BW169" s="6">
        <f t="shared" si="43"/>
        <v>80018</v>
      </c>
      <c r="BY169" s="6">
        <f t="shared" si="40"/>
        <v>0</v>
      </c>
    </row>
    <row r="170" spans="1:77">
      <c r="A170" s="58"/>
      <c r="B170" s="11" t="s">
        <v>348</v>
      </c>
      <c r="C170"/>
      <c r="D170"/>
      <c r="E170"/>
      <c r="F170"/>
      <c r="G170"/>
      <c r="H170"/>
      <c r="I170"/>
      <c r="J170"/>
      <c r="K170" s="132"/>
      <c r="L170" s="250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>
        <v>0</v>
      </c>
      <c r="BP170" s="6"/>
      <c r="BQ170" s="6">
        <f t="shared" si="42"/>
        <v>41255</v>
      </c>
      <c r="BR170" s="6"/>
      <c r="BS170" s="6"/>
      <c r="BT170" s="6"/>
      <c r="BU170" s="6">
        <f t="shared" si="41"/>
        <v>8774</v>
      </c>
      <c r="BW170" s="6">
        <f t="shared" si="43"/>
        <v>50029</v>
      </c>
      <c r="BY170" s="6">
        <f t="shared" si="40"/>
        <v>0</v>
      </c>
    </row>
    <row r="171" spans="1:77">
      <c r="A171" s="58"/>
      <c r="B171" s="11" t="s">
        <v>349</v>
      </c>
      <c r="C171"/>
      <c r="D171"/>
      <c r="E171"/>
      <c r="F171"/>
      <c r="G171"/>
      <c r="H171"/>
      <c r="I171"/>
      <c r="J171"/>
      <c r="K171" s="132"/>
      <c r="L171" s="250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>
        <v>0</v>
      </c>
      <c r="BP171" s="6"/>
      <c r="BQ171" s="6">
        <f t="shared" si="42"/>
        <v>64530</v>
      </c>
      <c r="BR171" s="6"/>
      <c r="BS171" s="6"/>
      <c r="BT171" s="6"/>
      <c r="BU171" s="6">
        <f t="shared" si="41"/>
        <v>0</v>
      </c>
      <c r="BW171" s="6">
        <f t="shared" si="43"/>
        <v>64530</v>
      </c>
      <c r="BY171" s="6">
        <f t="shared" si="40"/>
        <v>-2773</v>
      </c>
    </row>
    <row r="172" spans="1:77">
      <c r="A172" s="58"/>
      <c r="B172" s="11" t="s">
        <v>350</v>
      </c>
      <c r="C172"/>
      <c r="D172"/>
      <c r="E172"/>
      <c r="F172"/>
      <c r="G172"/>
      <c r="H172"/>
      <c r="I172"/>
      <c r="J172"/>
      <c r="K172" s="132"/>
      <c r="L172" s="250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>
        <v>0</v>
      </c>
      <c r="BP172" s="6"/>
      <c r="BQ172" s="6">
        <f t="shared" si="42"/>
        <v>6247</v>
      </c>
      <c r="BR172" s="6"/>
      <c r="BS172" s="6"/>
      <c r="BT172" s="6"/>
      <c r="BU172" s="6">
        <f t="shared" si="41"/>
        <v>15715</v>
      </c>
      <c r="BW172" s="6">
        <f t="shared" si="43"/>
        <v>21962</v>
      </c>
      <c r="BY172" s="6">
        <f t="shared" si="40"/>
        <v>0</v>
      </c>
    </row>
    <row r="173" spans="1:77">
      <c r="A173" s="58"/>
      <c r="B173" s="11" t="s">
        <v>351</v>
      </c>
      <c r="C173"/>
      <c r="D173"/>
      <c r="E173"/>
      <c r="F173"/>
      <c r="G173"/>
      <c r="H173"/>
      <c r="I173"/>
      <c r="J173"/>
      <c r="K173" s="132"/>
      <c r="L173" s="250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>
        <v>0</v>
      </c>
      <c r="BP173" s="6"/>
      <c r="BQ173" s="6">
        <f t="shared" si="42"/>
        <v>91429</v>
      </c>
      <c r="BR173" s="6"/>
      <c r="BS173" s="6"/>
      <c r="BT173" s="6"/>
      <c r="BU173" s="6">
        <f t="shared" si="41"/>
        <v>34084</v>
      </c>
      <c r="BW173" s="6">
        <f t="shared" si="43"/>
        <v>125513</v>
      </c>
      <c r="BY173" s="6">
        <f t="shared" si="40"/>
        <v>0</v>
      </c>
    </row>
    <row r="174" spans="1:77">
      <c r="A174" s="58"/>
      <c r="B174" s="11" t="s">
        <v>352</v>
      </c>
      <c r="C174"/>
      <c r="D174"/>
      <c r="E174"/>
      <c r="F174"/>
      <c r="G174"/>
      <c r="H174"/>
      <c r="I174"/>
      <c r="J174"/>
      <c r="K174" s="132"/>
      <c r="L174" s="250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>
        <v>0</v>
      </c>
      <c r="BP174" s="6"/>
      <c r="BQ174" s="6">
        <f t="shared" si="42"/>
        <v>265915</v>
      </c>
      <c r="BR174" s="6"/>
      <c r="BS174" s="6"/>
      <c r="BT174" s="6"/>
      <c r="BU174" s="6">
        <f t="shared" si="41"/>
        <v>0</v>
      </c>
      <c r="BW174" s="6">
        <f t="shared" si="43"/>
        <v>265915</v>
      </c>
      <c r="BY174" s="6">
        <f t="shared" si="40"/>
        <v>-6785</v>
      </c>
    </row>
    <row r="175" spans="1:77">
      <c r="A175" s="58"/>
      <c r="B175" s="11" t="s">
        <v>353</v>
      </c>
      <c r="C175"/>
      <c r="D175"/>
      <c r="E175"/>
      <c r="F175"/>
      <c r="G175"/>
      <c r="H175"/>
      <c r="I175"/>
      <c r="J175"/>
      <c r="K175" s="132"/>
      <c r="L175" s="250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>
        <v>0</v>
      </c>
      <c r="BP175" s="6"/>
      <c r="BQ175" s="6">
        <f t="shared" si="42"/>
        <v>20551</v>
      </c>
      <c r="BR175" s="6"/>
      <c r="BS175" s="6"/>
      <c r="BT175" s="6"/>
      <c r="BU175" s="6">
        <f t="shared" si="41"/>
        <v>9951</v>
      </c>
      <c r="BW175" s="6">
        <f t="shared" si="43"/>
        <v>30502</v>
      </c>
      <c r="BY175" s="6">
        <f t="shared" si="40"/>
        <v>0</v>
      </c>
    </row>
    <row r="176" spans="1:77">
      <c r="A176" s="58"/>
      <c r="B176" s="11" t="s">
        <v>354</v>
      </c>
      <c r="C176"/>
      <c r="D176"/>
      <c r="E176"/>
      <c r="F176"/>
      <c r="G176"/>
      <c r="H176"/>
      <c r="I176"/>
      <c r="J176"/>
      <c r="K176" s="132"/>
      <c r="L176" s="250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>
        <v>0</v>
      </c>
      <c r="BP176" s="6"/>
      <c r="BQ176" s="6">
        <f t="shared" si="42"/>
        <v>4772</v>
      </c>
      <c r="BR176" s="6"/>
      <c r="BS176" s="6"/>
      <c r="BT176" s="6"/>
      <c r="BU176" s="6">
        <f t="shared" si="41"/>
        <v>8151</v>
      </c>
      <c r="BW176" s="6">
        <f t="shared" si="43"/>
        <v>12923</v>
      </c>
      <c r="BY176" s="6">
        <f t="shared" si="40"/>
        <v>0</v>
      </c>
    </row>
    <row r="177" spans="1:78">
      <c r="A177" s="58"/>
      <c r="B177" s="11" t="s">
        <v>355</v>
      </c>
      <c r="C177"/>
      <c r="D177"/>
      <c r="E177"/>
      <c r="F177"/>
      <c r="G177"/>
      <c r="H177"/>
      <c r="I177"/>
      <c r="J177"/>
      <c r="K177" s="132"/>
      <c r="L177" s="250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>
        <v>0</v>
      </c>
      <c r="BP177" s="6"/>
      <c r="BQ177" s="6">
        <f t="shared" si="42"/>
        <v>26579</v>
      </c>
      <c r="BR177" s="6"/>
      <c r="BS177" s="6"/>
      <c r="BT177" s="6"/>
      <c r="BU177" s="6">
        <f t="shared" si="41"/>
        <v>2964</v>
      </c>
      <c r="BW177" s="6">
        <f t="shared" si="43"/>
        <v>29543</v>
      </c>
      <c r="BY177" s="6">
        <f t="shared" si="40"/>
        <v>0</v>
      </c>
    </row>
    <row r="178" spans="1:78">
      <c r="A178" s="58"/>
      <c r="B178" s="11" t="s">
        <v>356</v>
      </c>
      <c r="C178"/>
      <c r="D178"/>
      <c r="E178"/>
      <c r="F178"/>
      <c r="G178"/>
      <c r="H178"/>
      <c r="I178"/>
      <c r="J178"/>
      <c r="K178" s="132"/>
      <c r="L178" s="250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>
        <v>0</v>
      </c>
      <c r="BP178" s="6"/>
      <c r="BQ178" s="6">
        <f t="shared" si="42"/>
        <v>31667</v>
      </c>
      <c r="BR178" s="6"/>
      <c r="BS178" s="6"/>
      <c r="BT178" s="6"/>
      <c r="BU178" s="6">
        <f t="shared" si="41"/>
        <v>0</v>
      </c>
      <c r="BW178" s="6">
        <f t="shared" si="43"/>
        <v>31667</v>
      </c>
      <c r="BY178" s="6">
        <f t="shared" si="40"/>
        <v>-276</v>
      </c>
    </row>
    <row r="179" spans="1:78">
      <c r="A179" s="58"/>
      <c r="B179" s="11" t="s">
        <v>357</v>
      </c>
      <c r="C179"/>
      <c r="D179"/>
      <c r="E179"/>
      <c r="F179"/>
      <c r="G179"/>
      <c r="H179"/>
      <c r="I179"/>
      <c r="J179"/>
      <c r="K179" s="132"/>
      <c r="L179" s="250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>
        <v>0</v>
      </c>
      <c r="BP179" s="6"/>
      <c r="BQ179" s="6">
        <f t="shared" si="42"/>
        <v>18519</v>
      </c>
      <c r="BR179" s="6"/>
      <c r="BS179" s="6"/>
      <c r="BT179" s="6"/>
      <c r="BU179" s="6">
        <f t="shared" si="41"/>
        <v>3718</v>
      </c>
      <c r="BW179" s="6">
        <f t="shared" si="43"/>
        <v>22237</v>
      </c>
      <c r="BY179" s="6">
        <f t="shared" si="40"/>
        <v>0</v>
      </c>
    </row>
    <row r="180" spans="1:78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0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>
        <v>-327840</v>
      </c>
      <c r="BN180" s="6"/>
      <c r="BO180" s="6">
        <v>0</v>
      </c>
      <c r="BP180" s="6"/>
      <c r="BQ180" s="6">
        <f t="shared" si="42"/>
        <v>-267840</v>
      </c>
      <c r="BR180" s="6"/>
      <c r="BS180" s="6"/>
      <c r="BT180" s="6"/>
      <c r="BU180" s="6">
        <v>-837000</v>
      </c>
      <c r="BW180" s="6">
        <f t="shared" si="43"/>
        <v>-1104840</v>
      </c>
      <c r="BY180" s="6">
        <f t="shared" si="40"/>
        <v>1104840</v>
      </c>
    </row>
    <row r="181" spans="1:78">
      <c r="A181" s="58"/>
      <c r="B181" s="11" t="s">
        <v>359</v>
      </c>
      <c r="C181"/>
      <c r="D181"/>
      <c r="E181"/>
      <c r="F181"/>
      <c r="G181"/>
      <c r="H181"/>
      <c r="I181"/>
      <c r="J181"/>
      <c r="K181" s="132"/>
      <c r="L181" s="250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/>
      <c r="BQ181" s="6">
        <f t="shared" si="42"/>
        <v>0</v>
      </c>
      <c r="BR181" s="6"/>
      <c r="BS181" s="6">
        <v>1690117</v>
      </c>
      <c r="BT181" s="6"/>
      <c r="BU181" s="6">
        <f>IF(+R181-BQ181+BS181&gt;0,R181-BQ181+BS181,0)</f>
        <v>132742</v>
      </c>
      <c r="BW181" s="6">
        <f t="shared" si="43"/>
        <v>132742</v>
      </c>
      <c r="BY181" s="6">
        <f t="shared" si="40"/>
        <v>-1690117</v>
      </c>
    </row>
    <row r="182" spans="1:78" s="21" customFormat="1">
      <c r="A182" s="58"/>
      <c r="B182" s="31" t="s">
        <v>272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Z182" si="44">SUM(AT162:AT181)</f>
        <v>7500</v>
      </c>
      <c r="AU182" s="102">
        <f t="shared" si="44"/>
        <v>0</v>
      </c>
      <c r="AV182" s="102">
        <f t="shared" si="44"/>
        <v>20486.25</v>
      </c>
      <c r="AW182" s="102">
        <f t="shared" si="44"/>
        <v>0</v>
      </c>
      <c r="AX182" s="102">
        <f t="shared" si="44"/>
        <v>0</v>
      </c>
      <c r="AY182" s="102">
        <f t="shared" si="44"/>
        <v>0</v>
      </c>
      <c r="AZ182" s="102">
        <f t="shared" si="44"/>
        <v>10602.45</v>
      </c>
      <c r="BA182" s="102">
        <f t="shared" si="44"/>
        <v>0</v>
      </c>
      <c r="BB182" s="102">
        <f t="shared" si="44"/>
        <v>2820532.52</v>
      </c>
      <c r="BC182"/>
      <c r="BD182" s="102">
        <f t="shared" si="44"/>
        <v>110182.74</v>
      </c>
      <c r="BE182"/>
      <c r="BF182" s="102">
        <f t="shared" si="44"/>
        <v>0</v>
      </c>
      <c r="BG182" s="102">
        <f t="shared" si="44"/>
        <v>0</v>
      </c>
      <c r="BH182" s="102">
        <f t="shared" si="44"/>
        <v>0</v>
      </c>
      <c r="BI182" s="102">
        <f t="shared" si="44"/>
        <v>0</v>
      </c>
      <c r="BJ182" s="102">
        <f t="shared" si="44"/>
        <v>0</v>
      </c>
      <c r="BK182" s="102">
        <f t="shared" si="44"/>
        <v>0</v>
      </c>
      <c r="BL182" s="102">
        <f t="shared" si="44"/>
        <v>499729</v>
      </c>
      <c r="BM182" s="102">
        <f t="shared" si="44"/>
        <v>-327840</v>
      </c>
      <c r="BN182" s="102"/>
      <c r="BO182" s="102">
        <f t="shared" si="44"/>
        <v>0</v>
      </c>
      <c r="BP182" s="102">
        <f t="shared" si="44"/>
        <v>0</v>
      </c>
      <c r="BQ182" s="102">
        <f t="shared" si="44"/>
        <v>3159210.83</v>
      </c>
      <c r="BR182" s="102">
        <f t="shared" si="44"/>
        <v>0</v>
      </c>
      <c r="BS182" s="102">
        <f t="shared" si="44"/>
        <v>1690117</v>
      </c>
      <c r="BT182" s="102">
        <f t="shared" si="44"/>
        <v>0</v>
      </c>
      <c r="BU182" s="102">
        <f t="shared" si="44"/>
        <v>6769</v>
      </c>
      <c r="BV182" s="102">
        <f t="shared" si="44"/>
        <v>0</v>
      </c>
      <c r="BW182" s="102">
        <f t="shared" si="44"/>
        <v>3165979.83</v>
      </c>
      <c r="BX182" s="102">
        <f t="shared" si="44"/>
        <v>0</v>
      </c>
      <c r="BY182" s="102">
        <f t="shared" si="44"/>
        <v>-965979.83</v>
      </c>
      <c r="BZ182" s="102">
        <f t="shared" si="44"/>
        <v>0</v>
      </c>
    </row>
    <row r="183" spans="1:78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10"/>
      <c r="BN183" s="10"/>
      <c r="BO183" s="10"/>
      <c r="BP183" s="9"/>
      <c r="BQ183" s="10"/>
      <c r="BR183" s="9"/>
      <c r="BS183" s="10"/>
      <c r="BT183" s="9"/>
      <c r="BU183" s="10"/>
      <c r="BV183" s="9"/>
      <c r="BW183" s="10"/>
      <c r="BX183" s="9"/>
    </row>
    <row r="184" spans="1:78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>
        <v>50000</v>
      </c>
      <c r="BN184" s="9"/>
      <c r="BO184" s="9">
        <v>12522</v>
      </c>
      <c r="BP184" s="9"/>
      <c r="BQ184" s="9">
        <f>SUM(T184:BP184)</f>
        <v>819401.77</v>
      </c>
      <c r="BR184" s="9"/>
      <c r="BS184" s="9">
        <v>0</v>
      </c>
      <c r="BT184" s="9"/>
      <c r="BU184" s="6">
        <f>IF(+R184-BQ184+BS184&gt;0,R184-BQ184+BS184,0)</f>
        <v>280598.23</v>
      </c>
      <c r="BV184" s="9"/>
      <c r="BW184" s="9">
        <f>+BQ184+BU184</f>
        <v>1100000</v>
      </c>
      <c r="BX184" s="9"/>
      <c r="BY184" s="9">
        <f>+R184-BW184</f>
        <v>0</v>
      </c>
      <c r="BZ184" s="9"/>
    </row>
    <row r="185" spans="1:78" s="21" customFormat="1">
      <c r="A185" s="283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9"/>
      <c r="BQ185" s="10"/>
      <c r="BR185" s="9"/>
      <c r="BS185" s="10"/>
      <c r="BT185" s="9"/>
      <c r="BU185" s="10"/>
      <c r="BV185" s="9"/>
      <c r="BW185" s="10"/>
      <c r="BX185" s="9"/>
      <c r="BY185" s="10"/>
      <c r="BZ185" s="9"/>
    </row>
    <row r="186" spans="1:78" s="15" customFormat="1">
      <c r="A186" s="32" t="s">
        <v>284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</row>
    <row r="187" spans="1:78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>
        <v>0</v>
      </c>
      <c r="BN187" s="22"/>
      <c r="BO187" s="22">
        <v>0</v>
      </c>
      <c r="BP187" s="22"/>
      <c r="BQ187" s="22">
        <f>SUM(T187:BP187)</f>
        <v>0</v>
      </c>
      <c r="BR187" s="22"/>
      <c r="BS187" s="22">
        <v>0</v>
      </c>
      <c r="BT187" s="22"/>
      <c r="BU187" s="22">
        <f>+R187-BQ187+BS187</f>
        <v>0</v>
      </c>
      <c r="BV187" s="22"/>
      <c r="BW187" s="6">
        <f>+BQ187+BU187</f>
        <v>0</v>
      </c>
      <c r="BX187" s="22"/>
      <c r="BY187" s="6">
        <f>+R187-BW187</f>
        <v>0</v>
      </c>
      <c r="BZ187" s="22"/>
    </row>
    <row r="188" spans="1:78" s="15" customFormat="1">
      <c r="A188" s="109"/>
      <c r="B188" s="60" t="s">
        <v>285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>
        <v>0</v>
      </c>
      <c r="BN188" s="22"/>
      <c r="BO188" s="22">
        <v>0</v>
      </c>
      <c r="BP188" s="22"/>
      <c r="BQ188" s="22">
        <f>SUM(T188:BP188)</f>
        <v>1097879.92</v>
      </c>
      <c r="BR188" s="22"/>
      <c r="BS188" s="22">
        <v>0</v>
      </c>
      <c r="BT188" s="22"/>
      <c r="BU188" s="6">
        <f>IF(+R188-BQ188+BS188&gt;0,R188-BQ188+BS188,0)</f>
        <v>0</v>
      </c>
      <c r="BV188" s="22"/>
      <c r="BW188" s="6">
        <f>+BQ188+BU188</f>
        <v>1097879.92</v>
      </c>
      <c r="BX188" s="22"/>
      <c r="BY188" s="6">
        <f>+R188-BW188</f>
        <v>-597879.91999999993</v>
      </c>
      <c r="BZ188" s="22"/>
    </row>
    <row r="189" spans="1:78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>
        <v>0</v>
      </c>
      <c r="BN189" s="22"/>
      <c r="BO189" s="22">
        <v>0</v>
      </c>
      <c r="BP189" s="22"/>
      <c r="BQ189" s="22">
        <f>SUM(T189:BP189)</f>
        <v>0</v>
      </c>
      <c r="BR189" s="22"/>
      <c r="BS189" s="22">
        <v>0</v>
      </c>
      <c r="BT189" s="22"/>
      <c r="BU189" s="22">
        <f>+R189-BQ189+BS189</f>
        <v>0</v>
      </c>
      <c r="BV189" s="22"/>
      <c r="BW189" s="6">
        <f>+BQ189+BU189</f>
        <v>0</v>
      </c>
      <c r="BX189" s="22"/>
      <c r="BY189" s="6">
        <f>+R189-BW189</f>
        <v>0</v>
      </c>
      <c r="BZ189" s="22"/>
    </row>
    <row r="190" spans="1:78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08">
        <f>SUM(BM187:BM189)</f>
        <v>0</v>
      </c>
      <c r="BN190" s="108"/>
      <c r="BO190" s="108">
        <f>SUM(BO187:BO189)</f>
        <v>0</v>
      </c>
      <c r="BP190" s="16"/>
      <c r="BQ190" s="108">
        <f>SUM(BQ187:BQ189)</f>
        <v>1097879.92</v>
      </c>
      <c r="BR190" s="16"/>
      <c r="BS190" s="108">
        <f>SUM(BS187:BS189)</f>
        <v>0</v>
      </c>
      <c r="BT190" s="16"/>
      <c r="BU190" s="108">
        <f>SUM(BU187:BU189)</f>
        <v>0</v>
      </c>
      <c r="BV190" s="16"/>
      <c r="BW190" s="108">
        <f>SUM(BW187:BW189)</f>
        <v>1097879.92</v>
      </c>
      <c r="BX190" s="16"/>
      <c r="BY190" s="108">
        <f>SUM(BY187:BY189)</f>
        <v>-597879.91999999993</v>
      </c>
      <c r="BZ190" s="16"/>
    </row>
    <row r="191" spans="1:78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6"/>
      <c r="BQ191" s="103"/>
      <c r="BR191" s="16"/>
      <c r="BS191" s="103"/>
      <c r="BT191" s="16"/>
      <c r="BU191" s="103"/>
      <c r="BV191" s="16"/>
      <c r="BW191" s="103"/>
      <c r="BX191" s="16"/>
      <c r="BY191" s="103"/>
      <c r="BZ191" s="16"/>
    </row>
    <row r="192" spans="1:78" s="31" customFormat="1">
      <c r="A192" s="58" t="s">
        <v>31</v>
      </c>
      <c r="J192" s="156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>
        <v>0</v>
      </c>
      <c r="BN192" s="10"/>
      <c r="BO192" s="10">
        <v>0</v>
      </c>
      <c r="BP192" s="10"/>
      <c r="BQ192" s="10">
        <f>SUM(T192:BP192)</f>
        <v>200935.25</v>
      </c>
      <c r="BR192" s="10"/>
      <c r="BS192" s="10">
        <v>0</v>
      </c>
      <c r="BT192" s="10"/>
      <c r="BU192" s="6">
        <f>IF(+R192-BQ192+BS192&gt;0,R192-BQ192+BS192,0)</f>
        <v>0</v>
      </c>
      <c r="BV192" s="10"/>
      <c r="BW192" s="9">
        <f>+BQ192+BU192</f>
        <v>200935.25</v>
      </c>
      <c r="BX192" s="10"/>
      <c r="BY192" s="9">
        <f>+R192-BW192</f>
        <v>-935.25</v>
      </c>
      <c r="BZ192" s="10"/>
    </row>
    <row r="193" spans="1:127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</row>
    <row r="194" spans="1:127" s="31" customFormat="1">
      <c r="A194" s="58" t="s">
        <v>32</v>
      </c>
      <c r="J194" s="156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>
        <v>0</v>
      </c>
      <c r="BN194" s="10"/>
      <c r="BO194" s="10"/>
      <c r="BP194" s="10"/>
      <c r="BQ194" s="10">
        <f>SUM(T194:BP194)</f>
        <v>112115.35</v>
      </c>
      <c r="BR194" s="10"/>
      <c r="BS194" s="10">
        <v>-87885</v>
      </c>
      <c r="BT194" s="10"/>
      <c r="BU194" s="6">
        <f>IF(+R194-BQ194+BS194&gt;0,R194-BQ194+BS194,0)</f>
        <v>0</v>
      </c>
      <c r="BV194" s="10"/>
      <c r="BW194" s="9">
        <f>+BQ194+BU194</f>
        <v>112115.35</v>
      </c>
      <c r="BX194" s="10"/>
      <c r="BY194" s="9">
        <f>+R194-BW194</f>
        <v>87884.65</v>
      </c>
      <c r="BZ194" s="10"/>
    </row>
    <row r="195" spans="1:127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</row>
    <row r="196" spans="1:127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P196" s="6"/>
      <c r="BR196" s="6"/>
      <c r="BS196" s="6"/>
      <c r="BT196" s="6"/>
      <c r="BZ196" s="6"/>
    </row>
    <row r="197" spans="1:127" s="11" customFormat="1">
      <c r="A197" s="17"/>
      <c r="B197" s="11" t="s">
        <v>184</v>
      </c>
      <c r="J197" s="157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>
        <v>0</v>
      </c>
      <c r="BN197" s="12"/>
      <c r="BO197" s="12">
        <v>0</v>
      </c>
      <c r="BP197" s="12"/>
      <c r="BQ197" s="12">
        <f t="shared" ref="BQ197:BQ202" si="45">SUM(T197:BP197)</f>
        <v>13179.81</v>
      </c>
      <c r="BR197" s="12"/>
      <c r="BS197" s="12">
        <v>-86820</v>
      </c>
      <c r="BT197" s="12"/>
      <c r="BU197" s="6">
        <f>IF(+R197-BQ197+BS197&gt;0,R197-BQ197+BS197,0)</f>
        <v>0.19000000000232831</v>
      </c>
      <c r="BV197" s="12"/>
      <c r="BW197" s="6">
        <f t="shared" ref="BW197:BW202" si="46">+BQ197+BU197</f>
        <v>13180.000000000002</v>
      </c>
      <c r="BX197" s="12"/>
      <c r="BY197" s="6">
        <f t="shared" ref="BY197:BY202" si="47">+R197-BW197</f>
        <v>86820</v>
      </c>
      <c r="BZ197" s="12"/>
    </row>
    <row r="198" spans="1:127" s="11" customFormat="1">
      <c r="A198" s="17"/>
      <c r="B198" s="11" t="s">
        <v>34</v>
      </c>
      <c r="J198" s="157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>
        <v>0</v>
      </c>
      <c r="BN198" s="12"/>
      <c r="BO198" s="12">
        <v>0</v>
      </c>
      <c r="BP198" s="12"/>
      <c r="BQ198" s="12">
        <f t="shared" si="45"/>
        <v>100904.54</v>
      </c>
      <c r="BR198" s="12"/>
      <c r="BS198" s="12">
        <v>-49095</v>
      </c>
      <c r="BT198" s="12"/>
      <c r="BU198" s="6">
        <f>IF(+R198-BQ198+BS198&gt;0,R198-BQ198+BS198,0)</f>
        <v>0.46000000000640284</v>
      </c>
      <c r="BV198" s="12"/>
      <c r="BW198" s="6">
        <f t="shared" si="46"/>
        <v>100905</v>
      </c>
      <c r="BX198" s="12"/>
      <c r="BY198" s="6">
        <f t="shared" si="47"/>
        <v>49095</v>
      </c>
      <c r="BZ198" s="12"/>
    </row>
    <row r="199" spans="1:127" s="11" customFormat="1">
      <c r="A199" s="17"/>
      <c r="B199" s="11" t="s">
        <v>217</v>
      </c>
      <c r="J199" s="157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>
        <v>0</v>
      </c>
      <c r="BN199" s="12"/>
      <c r="BO199" s="12">
        <v>0</v>
      </c>
      <c r="BP199" s="12"/>
      <c r="BQ199" s="12">
        <f t="shared" si="45"/>
        <v>17043.53</v>
      </c>
      <c r="BR199" s="12"/>
      <c r="BS199" s="12">
        <v>0</v>
      </c>
      <c r="BT199" s="12"/>
      <c r="BU199" s="6">
        <v>0</v>
      </c>
      <c r="BV199" s="12"/>
      <c r="BW199" s="6">
        <f t="shared" si="46"/>
        <v>17043.53</v>
      </c>
      <c r="BX199" s="12"/>
      <c r="BY199" s="6">
        <f t="shared" si="47"/>
        <v>7191.4700000000012</v>
      </c>
      <c r="BZ199" s="12"/>
    </row>
    <row r="200" spans="1:127" s="11" customFormat="1">
      <c r="A200" s="17"/>
      <c r="B200" s="11" t="s">
        <v>121</v>
      </c>
      <c r="J200" s="157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</f>
        <v>18870</v>
      </c>
      <c r="BM200" s="12">
        <v>3299</v>
      </c>
      <c r="BN200" s="12"/>
      <c r="BO200" s="12">
        <v>0</v>
      </c>
      <c r="BP200" s="12"/>
      <c r="BQ200" s="12">
        <f t="shared" si="45"/>
        <v>750274.99</v>
      </c>
      <c r="BR200" s="12"/>
      <c r="BS200" s="12">
        <v>0</v>
      </c>
      <c r="BT200" s="12"/>
      <c r="BU200" s="6">
        <f>IF(+R200-BQ200+BS200&gt;0,R200-BQ200+BS200,0)</f>
        <v>0</v>
      </c>
      <c r="BV200" s="12"/>
      <c r="BW200" s="6">
        <f t="shared" si="46"/>
        <v>750274.99</v>
      </c>
      <c r="BX200" s="12"/>
      <c r="BY200" s="6">
        <f t="shared" si="47"/>
        <v>-624509.99</v>
      </c>
      <c r="BZ200" s="12"/>
    </row>
    <row r="201" spans="1:127" s="11" customFormat="1">
      <c r="A201" s="17"/>
      <c r="B201" s="11" t="s">
        <v>332</v>
      </c>
      <c r="J201" s="157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>
        <f t="shared" si="45"/>
        <v>191012.90000000002</v>
      </c>
      <c r="BR201" s="12"/>
      <c r="BS201" s="12"/>
      <c r="BT201" s="12"/>
      <c r="BU201" s="6">
        <f>IF(+R201-BQ201+BS201&gt;0,R201-BQ201+BS201,0)</f>
        <v>0</v>
      </c>
      <c r="BV201" s="12"/>
      <c r="BW201" s="6">
        <f t="shared" si="46"/>
        <v>191012.90000000002</v>
      </c>
      <c r="BX201" s="12"/>
      <c r="BY201" s="6">
        <f t="shared" si="47"/>
        <v>-191012.90000000002</v>
      </c>
      <c r="BZ201" s="12"/>
    </row>
    <row r="202" spans="1:127" s="11" customFormat="1">
      <c r="A202" s="17"/>
      <c r="B202" s="11" t="s">
        <v>277</v>
      </c>
      <c r="J202" s="157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>
        <f t="shared" si="45"/>
        <v>32203.279999999999</v>
      </c>
      <c r="BR202" s="12"/>
      <c r="BS202" s="12"/>
      <c r="BT202" s="12"/>
      <c r="BU202" s="6"/>
      <c r="BV202" s="12"/>
      <c r="BW202" s="6">
        <f t="shared" si="46"/>
        <v>32203.279999999999</v>
      </c>
      <c r="BX202" s="12"/>
      <c r="BY202" s="6">
        <f t="shared" si="47"/>
        <v>-32203.279999999999</v>
      </c>
      <c r="BZ202" s="12"/>
    </row>
    <row r="203" spans="1:127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Z203" si="48">SUM(R197:R202)</f>
        <v>400000</v>
      </c>
      <c r="S203" s="102">
        <f t="shared" si="48"/>
        <v>0</v>
      </c>
      <c r="T203" s="102">
        <f t="shared" si="48"/>
        <v>0</v>
      </c>
      <c r="U203" s="102">
        <f t="shared" si="48"/>
        <v>0</v>
      </c>
      <c r="V203" s="102">
        <f t="shared" si="48"/>
        <v>0</v>
      </c>
      <c r="W203" s="102">
        <f t="shared" si="48"/>
        <v>0</v>
      </c>
      <c r="X203" s="102">
        <f t="shared" si="48"/>
        <v>0</v>
      </c>
      <c r="Y203" s="102">
        <f t="shared" si="48"/>
        <v>0</v>
      </c>
      <c r="Z203" s="102">
        <f t="shared" si="48"/>
        <v>0</v>
      </c>
      <c r="AA203" s="102">
        <f t="shared" si="48"/>
        <v>0</v>
      </c>
      <c r="AB203" s="102">
        <f t="shared" si="48"/>
        <v>0</v>
      </c>
      <c r="AC203" s="102">
        <f t="shared" si="48"/>
        <v>0</v>
      </c>
      <c r="AD203" s="102">
        <f t="shared" si="48"/>
        <v>0</v>
      </c>
      <c r="AE203" s="102">
        <f t="shared" si="48"/>
        <v>0</v>
      </c>
      <c r="AF203" s="102">
        <f t="shared" si="48"/>
        <v>0</v>
      </c>
      <c r="AG203" s="102">
        <f t="shared" si="48"/>
        <v>0</v>
      </c>
      <c r="AH203" s="102">
        <f t="shared" si="48"/>
        <v>0</v>
      </c>
      <c r="AI203" s="102"/>
      <c r="AJ203" s="102">
        <f t="shared" si="48"/>
        <v>19083.809999999998</v>
      </c>
      <c r="AK203" s="102"/>
      <c r="AL203" s="102">
        <f t="shared" si="48"/>
        <v>118678.91</v>
      </c>
      <c r="AM203" s="102"/>
      <c r="AN203" s="102">
        <f t="shared" si="48"/>
        <v>2410.5100000000002</v>
      </c>
      <c r="AO203" s="102"/>
      <c r="AP203" s="102">
        <f t="shared" si="48"/>
        <v>18873.63</v>
      </c>
      <c r="AQ203" s="102"/>
      <c r="AR203" s="102">
        <f t="shared" si="48"/>
        <v>113219.20999999999</v>
      </c>
      <c r="AS203" s="102">
        <f t="shared" si="48"/>
        <v>0</v>
      </c>
      <c r="AT203" s="102">
        <f t="shared" si="48"/>
        <v>153337.04</v>
      </c>
      <c r="AU203" s="102">
        <f t="shared" si="48"/>
        <v>0</v>
      </c>
      <c r="AV203" s="102">
        <f t="shared" si="48"/>
        <v>89747.48</v>
      </c>
      <c r="AW203" s="102">
        <f t="shared" si="48"/>
        <v>0</v>
      </c>
      <c r="AX203" s="102">
        <f t="shared" si="48"/>
        <v>29396.86</v>
      </c>
      <c r="AY203" s="102">
        <f t="shared" si="48"/>
        <v>0</v>
      </c>
      <c r="AZ203" s="102">
        <f t="shared" si="48"/>
        <v>44082.48</v>
      </c>
      <c r="BA203" s="102">
        <f t="shared" si="48"/>
        <v>0</v>
      </c>
      <c r="BB203" s="102">
        <f t="shared" si="48"/>
        <v>165167.82999999999</v>
      </c>
      <c r="BC203"/>
      <c r="BD203" s="102">
        <f t="shared" si="48"/>
        <v>37080.42</v>
      </c>
      <c r="BE203"/>
      <c r="BF203" s="102">
        <f t="shared" si="48"/>
        <v>150593.29</v>
      </c>
      <c r="BG203" s="102">
        <f t="shared" si="48"/>
        <v>0</v>
      </c>
      <c r="BH203" s="102">
        <f t="shared" si="48"/>
        <v>14428.779999999999</v>
      </c>
      <c r="BI203" s="102">
        <f t="shared" si="48"/>
        <v>0</v>
      </c>
      <c r="BJ203" s="102">
        <f t="shared" si="48"/>
        <v>126349.8</v>
      </c>
      <c r="BK203" s="102">
        <f t="shared" si="48"/>
        <v>0</v>
      </c>
      <c r="BL203" s="102">
        <f t="shared" si="48"/>
        <v>18870</v>
      </c>
      <c r="BM203" s="102">
        <f t="shared" si="48"/>
        <v>3299</v>
      </c>
      <c r="BN203" s="102"/>
      <c r="BO203" s="102">
        <f t="shared" si="48"/>
        <v>0</v>
      </c>
      <c r="BP203" s="102">
        <f t="shared" si="48"/>
        <v>0</v>
      </c>
      <c r="BQ203" s="108">
        <f t="shared" si="48"/>
        <v>1104619.05</v>
      </c>
      <c r="BR203" s="102">
        <f t="shared" si="48"/>
        <v>0</v>
      </c>
      <c r="BS203" s="102">
        <f t="shared" si="48"/>
        <v>-135915</v>
      </c>
      <c r="BT203" s="102">
        <f t="shared" si="48"/>
        <v>0</v>
      </c>
      <c r="BU203" s="102">
        <f t="shared" si="48"/>
        <v>0.65000000000873115</v>
      </c>
      <c r="BV203" s="102">
        <f t="shared" si="48"/>
        <v>0</v>
      </c>
      <c r="BW203" s="102">
        <f t="shared" si="48"/>
        <v>1104619.7</v>
      </c>
      <c r="BX203" s="102">
        <f t="shared" si="48"/>
        <v>0</v>
      </c>
      <c r="BY203" s="102">
        <f t="shared" si="48"/>
        <v>-704619.70000000007</v>
      </c>
      <c r="BZ203" s="102">
        <f t="shared" si="48"/>
        <v>0</v>
      </c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9"/>
      <c r="BQ204" s="10"/>
      <c r="BR204" s="9"/>
      <c r="BS204" s="10"/>
      <c r="BT204" s="9"/>
      <c r="BU204" s="10"/>
      <c r="BV204" s="9"/>
      <c r="BW204" s="10"/>
      <c r="BX204" s="9"/>
      <c r="BY204" s="10"/>
      <c r="BZ204" s="9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</row>
    <row r="205" spans="1:127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P205" s="6"/>
      <c r="BR205" s="6"/>
      <c r="BS205" s="6"/>
      <c r="BT205" s="6"/>
      <c r="BZ205" s="12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</row>
    <row r="206" spans="1:127" s="11" customFormat="1">
      <c r="A206" s="17"/>
      <c r="B206" s="11" t="s">
        <v>290</v>
      </c>
      <c r="J206" s="157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3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3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>
        <v>0</v>
      </c>
      <c r="BN206" s="12"/>
      <c r="BO206" s="12">
        <v>0</v>
      </c>
      <c r="BP206" s="12"/>
      <c r="BQ206" s="12">
        <f>SUM(T206:BP206)</f>
        <v>307065.39999999997</v>
      </c>
      <c r="BR206" s="12"/>
      <c r="BS206" s="12">
        <v>0</v>
      </c>
      <c r="BT206" s="12"/>
      <c r="BU206" s="6">
        <f>IF(+R206-BQ206+BS206&gt;0,R206-BQ206+BS206,0)</f>
        <v>192934.60000000003</v>
      </c>
      <c r="BV206" s="12"/>
      <c r="BW206" s="6">
        <f>+BQ206+BU206</f>
        <v>500000</v>
      </c>
      <c r="BX206" s="12"/>
      <c r="BY206" s="6">
        <f>+R206-BW206</f>
        <v>0</v>
      </c>
      <c r="BZ206" s="12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</row>
    <row r="207" spans="1:127" s="11" customFormat="1">
      <c r="A207" s="17"/>
      <c r="B207" s="11" t="s">
        <v>340</v>
      </c>
      <c r="J207" s="157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>
        <v>0</v>
      </c>
      <c r="BN207" s="12"/>
      <c r="BO207" s="12">
        <v>0</v>
      </c>
      <c r="BP207" s="12"/>
      <c r="BQ207" s="12">
        <f>SUM(T207:BP207)</f>
        <v>252208.46000000002</v>
      </c>
      <c r="BR207" s="12"/>
      <c r="BS207" s="12"/>
      <c r="BT207" s="12"/>
      <c r="BU207" s="6">
        <f>IF(+R207-BQ207+BS207&gt;0,R207-BQ207+BS207,0)</f>
        <v>0</v>
      </c>
      <c r="BV207" s="12"/>
      <c r="BW207" s="6">
        <f>+BQ207+BU207</f>
        <v>252208.46000000002</v>
      </c>
      <c r="BX207" s="12"/>
      <c r="BY207" s="6">
        <f>+R207-BW207</f>
        <v>-252208.46000000002</v>
      </c>
      <c r="BZ207" s="12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</row>
    <row r="208" spans="1:127" s="11" customFormat="1">
      <c r="A208" s="17"/>
      <c r="J208" s="157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>
        <f>SUM(T208:BP208)</f>
        <v>0</v>
      </c>
      <c r="BR208" s="12"/>
      <c r="BS208" s="12">
        <v>0</v>
      </c>
      <c r="BT208" s="12"/>
      <c r="BU208" s="6">
        <f>IF(+R208-BQ208+BS208&gt;0,R208-BQ208+BS208,0)</f>
        <v>0</v>
      </c>
      <c r="BV208" s="12"/>
      <c r="BW208" s="6">
        <f>+BQ208+BU208</f>
        <v>0</v>
      </c>
      <c r="BX208" s="12"/>
      <c r="BY208" s="6">
        <f>+R208-BW208</f>
        <v>0</v>
      </c>
      <c r="BZ208" s="12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</row>
    <row r="209" spans="1:127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102">
        <f>SUM(BM206:BM208)</f>
        <v>0</v>
      </c>
      <c r="BN209" s="102"/>
      <c r="BO209" s="102">
        <f>SUM(BO206:BO208)</f>
        <v>0</v>
      </c>
      <c r="BP209" s="9"/>
      <c r="BQ209" s="108">
        <f>SUM(BQ206:BQ208)</f>
        <v>559273.86</v>
      </c>
      <c r="BR209" s="9"/>
      <c r="BS209" s="102">
        <f>SUM(BS206:BS208)</f>
        <v>0</v>
      </c>
      <c r="BT209" s="9"/>
      <c r="BU209" s="102">
        <f>SUM(BU206:BU208)</f>
        <v>192934.60000000003</v>
      </c>
      <c r="BV209" s="9"/>
      <c r="BW209" s="102">
        <f>SUM(BW206:BW208)</f>
        <v>752208.46</v>
      </c>
      <c r="BX209" s="9"/>
      <c r="BY209" s="102">
        <f>SUM(BY206:BY208)</f>
        <v>-252208.46000000002</v>
      </c>
      <c r="BZ209" s="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</row>
    <row r="210" spans="1:127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9"/>
      <c r="BQ210" s="10"/>
      <c r="BR210" s="9"/>
      <c r="BS210" s="10"/>
      <c r="BT210" s="9"/>
      <c r="BU210" s="10"/>
      <c r="BV210" s="9"/>
      <c r="BW210" s="10"/>
      <c r="BX210" s="9"/>
      <c r="BY210" s="10"/>
      <c r="BZ210" s="9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</row>
    <row r="211" spans="1:127" s="31" customFormat="1">
      <c r="A211" s="58" t="s">
        <v>249</v>
      </c>
      <c r="J211" s="156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>
        <v>0</v>
      </c>
      <c r="BN211" s="10"/>
      <c r="BO211" s="10">
        <v>0</v>
      </c>
      <c r="BP211" s="10"/>
      <c r="BQ211" s="10">
        <f>SUM(T211:BP211)</f>
        <v>10658456.153667485</v>
      </c>
      <c r="BR211" s="10"/>
      <c r="BS211" s="10">
        <v>0</v>
      </c>
      <c r="BT211" s="10"/>
      <c r="BU211" s="6">
        <v>0</v>
      </c>
      <c r="BV211" s="10"/>
      <c r="BW211" s="9">
        <f>+BQ211+BU211</f>
        <v>10658456.153667485</v>
      </c>
      <c r="BX211" s="10"/>
      <c r="BY211" s="9">
        <f>+R211-BW211</f>
        <v>681587.84633251466</v>
      </c>
      <c r="BZ211" s="10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9"/>
      <c r="BQ212" s="10"/>
      <c r="BR212" s="9"/>
      <c r="BS212" s="10"/>
      <c r="BT212" s="9"/>
      <c r="BU212" s="10"/>
      <c r="BV212" s="9"/>
      <c r="BW212" s="10"/>
      <c r="BX212" s="9"/>
      <c r="BY212" s="10"/>
      <c r="BZ212" s="9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</row>
    <row r="213" spans="1:127" s="105" customFormat="1">
      <c r="A213" s="63" t="s">
        <v>248</v>
      </c>
      <c r="B213" s="54"/>
      <c r="J213" s="155"/>
      <c r="L213" s="142"/>
      <c r="M213" s="13"/>
      <c r="N213" s="120"/>
      <c r="O213" s="13"/>
      <c r="P213" s="120"/>
      <c r="Q213" s="13"/>
      <c r="R213" s="120">
        <f t="shared" ref="R213:AH213" si="49">R211+R203+R194+R192+R190+R184+R159+R149+R142+R140+R138+R136+R134+R209</f>
        <v>17979878</v>
      </c>
      <c r="S213" s="120">
        <f t="shared" si="49"/>
        <v>0</v>
      </c>
      <c r="T213" s="120">
        <f t="shared" si="49"/>
        <v>0</v>
      </c>
      <c r="U213" s="120">
        <f t="shared" si="49"/>
        <v>0</v>
      </c>
      <c r="V213" s="120">
        <f t="shared" si="49"/>
        <v>0</v>
      </c>
      <c r="W213" s="120">
        <f t="shared" si="49"/>
        <v>0</v>
      </c>
      <c r="X213" s="120">
        <f t="shared" si="49"/>
        <v>0</v>
      </c>
      <c r="Y213" s="120">
        <f t="shared" si="49"/>
        <v>0</v>
      </c>
      <c r="Z213" s="120">
        <f t="shared" si="49"/>
        <v>0</v>
      </c>
      <c r="AA213" s="120">
        <f t="shared" si="49"/>
        <v>0</v>
      </c>
      <c r="AB213" s="120">
        <f t="shared" si="49"/>
        <v>0</v>
      </c>
      <c r="AC213" s="120">
        <f t="shared" si="49"/>
        <v>0</v>
      </c>
      <c r="AD213" s="120">
        <f t="shared" si="49"/>
        <v>0</v>
      </c>
      <c r="AE213" s="120">
        <f t="shared" si="49"/>
        <v>0</v>
      </c>
      <c r="AF213" s="120">
        <f t="shared" si="49"/>
        <v>0</v>
      </c>
      <c r="AG213" s="120">
        <f t="shared" si="49"/>
        <v>0</v>
      </c>
      <c r="AH213" s="120">
        <f t="shared" si="49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Y213" si="50">AR211+AR203+AR194+AR192+AR190+AR184+AR159+AR149+AR142+AR140+AR138+AR136+AR134+AR209</f>
        <v>949916.53322977468</v>
      </c>
      <c r="AS213" s="120">
        <f t="shared" si="50"/>
        <v>0</v>
      </c>
      <c r="AT213" s="120">
        <f t="shared" si="50"/>
        <v>1180818.6952736585</v>
      </c>
      <c r="AU213" s="120">
        <f t="shared" si="50"/>
        <v>0</v>
      </c>
      <c r="AV213" s="120">
        <f t="shared" si="50"/>
        <v>760946.3569411129</v>
      </c>
      <c r="AW213" s="120">
        <f t="shared" si="50"/>
        <v>0</v>
      </c>
      <c r="AX213" s="120">
        <f t="shared" si="50"/>
        <v>797859.40806343278</v>
      </c>
      <c r="AY213" s="120">
        <f t="shared" si="50"/>
        <v>0</v>
      </c>
      <c r="AZ213" s="120">
        <f t="shared" si="50"/>
        <v>1071160.7461543321</v>
      </c>
      <c r="BA213" s="120">
        <f t="shared" si="50"/>
        <v>0</v>
      </c>
      <c r="BB213" s="120">
        <f t="shared" si="50"/>
        <v>1141447.0200359318</v>
      </c>
      <c r="BC213"/>
      <c r="BD213" s="120">
        <f t="shared" si="50"/>
        <v>1590625.4300000002</v>
      </c>
      <c r="BE213"/>
      <c r="BF213" s="120">
        <f t="shared" si="50"/>
        <v>2623913.0512928553</v>
      </c>
      <c r="BG213" s="120">
        <f t="shared" si="50"/>
        <v>0</v>
      </c>
      <c r="BH213" s="120">
        <f t="shared" si="50"/>
        <v>869278.60000000009</v>
      </c>
      <c r="BI213" s="120">
        <f t="shared" si="50"/>
        <v>0</v>
      </c>
      <c r="BJ213" s="120">
        <f t="shared" si="50"/>
        <v>-86760.26999999999</v>
      </c>
      <c r="BK213" s="120">
        <f t="shared" si="50"/>
        <v>0</v>
      </c>
      <c r="BL213" s="120">
        <f t="shared" si="50"/>
        <v>296740</v>
      </c>
      <c r="BM213" s="120">
        <f>BM211+BM203+BM194+BM192+BM190+BM184+BM159+BM149+BM142+BM140+BM138+BM136+BM134+BM209</f>
        <v>54254</v>
      </c>
      <c r="BN213" s="120"/>
      <c r="BO213" s="120">
        <f>BO211+BO203+BO194+BO192+BO190+BO184+BO159+BO149+BO142+BO140+BO138+BO136+BO134+BO209</f>
        <v>12522</v>
      </c>
      <c r="BP213" s="120">
        <f t="shared" si="50"/>
        <v>0</v>
      </c>
      <c r="BQ213" s="120">
        <f t="shared" si="50"/>
        <v>17511402.683667485</v>
      </c>
      <c r="BR213" s="120">
        <f t="shared" si="50"/>
        <v>0</v>
      </c>
      <c r="BS213" s="120">
        <f t="shared" si="50"/>
        <v>-169485</v>
      </c>
      <c r="BT213" s="120">
        <f t="shared" si="50"/>
        <v>0</v>
      </c>
      <c r="BU213" s="120">
        <f>BU211+BU203+BU194+BU192+BU190+BU184+BU159+BU149+BU142+BU140+BU138+BU136+BU134+BU209</f>
        <v>1148533.48</v>
      </c>
      <c r="BV213" s="120">
        <f t="shared" si="50"/>
        <v>0</v>
      </c>
      <c r="BW213" s="120">
        <f t="shared" si="50"/>
        <v>18659936.163667485</v>
      </c>
      <c r="BX213" s="120">
        <f t="shared" si="50"/>
        <v>0</v>
      </c>
      <c r="BY213" s="120">
        <f t="shared" si="50"/>
        <v>-680058.16366748535</v>
      </c>
      <c r="BZ213" s="120">
        <f>BZ211+BZ203+BZ194+BZ192+BZ190+BZ184+BZ159+BZ149+BZ142+BZ140+BZ138+BZ136+BZ134+BZ209</f>
        <v>0</v>
      </c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9"/>
      <c r="BQ214" s="10"/>
      <c r="BR214" s="9"/>
      <c r="BS214" s="10"/>
      <c r="BT214" s="9"/>
      <c r="BU214" s="10"/>
      <c r="BV214" s="9"/>
      <c r="BW214" s="10"/>
      <c r="BX214" s="9"/>
      <c r="BY214" s="10"/>
      <c r="BZ214" s="9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</row>
    <row r="215" spans="1:127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10">
        <f>SUM(T215:BP215)</f>
        <v>0</v>
      </c>
      <c r="BR215" s="9"/>
      <c r="BS215" s="9">
        <v>-5423498</v>
      </c>
      <c r="BT215" s="9">
        <v>2030320</v>
      </c>
      <c r="BU215" s="6">
        <f>IF(+R215-BQ215+BS215&gt;0,R215-BQ215+BS215,0)</f>
        <v>0</v>
      </c>
      <c r="BV215" s="9">
        <v>2030320</v>
      </c>
      <c r="BW215" s="9">
        <f>+BQ215+BU215</f>
        <v>0</v>
      </c>
      <c r="BX215" s="9">
        <v>2030320</v>
      </c>
      <c r="BY215" s="6">
        <f>+R215-BW215</f>
        <v>5423498</v>
      </c>
      <c r="BZ215" s="9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</row>
    <row r="216" spans="1:127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10"/>
      <c r="BR216" s="9"/>
      <c r="BS216" s="9"/>
      <c r="BT216" s="9"/>
      <c r="BU216" s="6"/>
      <c r="BV216" s="9"/>
      <c r="BW216" s="9"/>
      <c r="BX216" s="9"/>
      <c r="BY216" s="6"/>
      <c r="BZ216" s="9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</row>
    <row r="217" spans="1:127" s="21" customFormat="1" hidden="1">
      <c r="A217" s="58" t="s">
        <v>286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9"/>
      <c r="BQ217" s="10">
        <f>SUM(T217:BP217)</f>
        <v>0</v>
      </c>
      <c r="BR217" s="9"/>
      <c r="BS217" s="10"/>
      <c r="BT217" s="9"/>
      <c r="BU217" s="10"/>
      <c r="BV217" s="9"/>
      <c r="BW217" s="9">
        <f>+BQ217+BU217</f>
        <v>0</v>
      </c>
      <c r="BX217" s="9"/>
      <c r="BY217" s="6">
        <f>+R217-BW217</f>
        <v>-6077</v>
      </c>
      <c r="BZ217" s="9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9"/>
      <c r="BQ218" s="10"/>
      <c r="BR218" s="9"/>
      <c r="BS218" s="10"/>
      <c r="BT218" s="9"/>
      <c r="BU218" s="10"/>
      <c r="BV218" s="9"/>
      <c r="BW218" s="10"/>
      <c r="BX218" s="9"/>
      <c r="BY218" s="10"/>
      <c r="BZ218" s="9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</row>
    <row r="219" spans="1:127" s="166" customFormat="1">
      <c r="A219" s="165" t="s">
        <v>252</v>
      </c>
      <c r="J219" s="167"/>
      <c r="L219" s="168"/>
      <c r="M219" s="169"/>
      <c r="N219" s="169"/>
      <c r="O219" s="169"/>
      <c r="P219" s="169"/>
      <c r="Q219" s="169"/>
      <c r="R219" s="164">
        <f t="shared" ref="R219:AH219" si="51">R37+R107+R97+R182+R112+R213+R215+R217</f>
        <v>170575010</v>
      </c>
      <c r="S219" s="164">
        <f t="shared" si="51"/>
        <v>0</v>
      </c>
      <c r="T219" s="164">
        <f t="shared" si="51"/>
        <v>0</v>
      </c>
      <c r="U219" s="164">
        <f t="shared" si="51"/>
        <v>0</v>
      </c>
      <c r="V219" s="164">
        <f t="shared" si="51"/>
        <v>0</v>
      </c>
      <c r="W219" s="164">
        <f t="shared" si="51"/>
        <v>0</v>
      </c>
      <c r="X219" s="164">
        <f t="shared" si="51"/>
        <v>0</v>
      </c>
      <c r="Y219" s="164">
        <f t="shared" si="51"/>
        <v>0</v>
      </c>
      <c r="Z219" s="164">
        <f t="shared" si="51"/>
        <v>0</v>
      </c>
      <c r="AA219" s="164">
        <f t="shared" si="51"/>
        <v>0</v>
      </c>
      <c r="AB219" s="164">
        <f t="shared" si="51"/>
        <v>0</v>
      </c>
      <c r="AC219" s="164">
        <f t="shared" si="51"/>
        <v>0</v>
      </c>
      <c r="AD219" s="164">
        <f t="shared" si="51"/>
        <v>0</v>
      </c>
      <c r="AE219" s="164">
        <f t="shared" si="51"/>
        <v>0</v>
      </c>
      <c r="AF219" s="164">
        <f t="shared" si="51"/>
        <v>0</v>
      </c>
      <c r="AG219" s="164">
        <f t="shared" si="51"/>
        <v>0</v>
      </c>
      <c r="AH219" s="164">
        <f t="shared" si="51"/>
        <v>0</v>
      </c>
      <c r="AI219" s="164"/>
      <c r="AJ219" s="164">
        <f>AJ37+AJ107+AJ97+AJ182+AJ112+AJ213+AJ215+AJ217</f>
        <v>13005.809999999998</v>
      </c>
      <c r="AK219" s="164"/>
      <c r="AL219" s="164">
        <f>AL37+AL107+AL97+AL182+AL112+AL213+AL215+AL217</f>
        <v>93158714.489999995</v>
      </c>
      <c r="AM219" s="164"/>
      <c r="AN219" s="164">
        <f>AN37+AN107+AN97+AN182+AN112+AN213+AN215+AN217</f>
        <v>715387.53999999992</v>
      </c>
      <c r="AO219" s="164"/>
      <c r="AP219" s="164">
        <f>AP37+AP107+AP97+AP182+AP112+AP213+AP215+AP217</f>
        <v>2178269.8126763888</v>
      </c>
      <c r="AQ219" s="164"/>
      <c r="AR219" s="164">
        <f t="shared" ref="AR219:BB219" si="52">AR37+AR107+AR97+AR182+AR112+AR213+AR215+AR217</f>
        <v>7520808.7532297745</v>
      </c>
      <c r="AS219" s="164">
        <f t="shared" si="52"/>
        <v>0</v>
      </c>
      <c r="AT219" s="164">
        <f t="shared" si="52"/>
        <v>3026267.3252736586</v>
      </c>
      <c r="AU219" s="164">
        <f t="shared" si="52"/>
        <v>0</v>
      </c>
      <c r="AV219" s="164">
        <f t="shared" si="52"/>
        <v>8287387.2469411138</v>
      </c>
      <c r="AW219" s="164">
        <f t="shared" si="52"/>
        <v>0</v>
      </c>
      <c r="AX219" s="164">
        <f t="shared" si="52"/>
        <v>7624290.748063433</v>
      </c>
      <c r="AY219" s="164">
        <f t="shared" si="52"/>
        <v>0</v>
      </c>
      <c r="AZ219" s="164">
        <f t="shared" si="52"/>
        <v>11403531.526154332</v>
      </c>
      <c r="BA219" s="164">
        <f t="shared" si="52"/>
        <v>0</v>
      </c>
      <c r="BB219" s="164">
        <f t="shared" si="52"/>
        <v>12239663.540035931</v>
      </c>
      <c r="BC219"/>
      <c r="BD219" s="164">
        <f>BD37+BD107+BD97+BD182+BD112+BD213+BD215+BD217</f>
        <v>4338594.6500000004</v>
      </c>
      <c r="BE219"/>
      <c r="BF219" s="164">
        <f t="shared" ref="BF219:BY219" si="53">BF37+BF107+BF97+BF182+BF112+BF213+BF215+BF217</f>
        <v>17362054.581292856</v>
      </c>
      <c r="BG219" s="164">
        <f t="shared" si="53"/>
        <v>0</v>
      </c>
      <c r="BH219" s="164">
        <f t="shared" si="53"/>
        <v>2172208.6</v>
      </c>
      <c r="BI219" s="164">
        <f t="shared" si="53"/>
        <v>0</v>
      </c>
      <c r="BJ219" s="164">
        <f t="shared" si="53"/>
        <v>-86760.26999999999</v>
      </c>
      <c r="BK219" s="164">
        <f t="shared" si="53"/>
        <v>0</v>
      </c>
      <c r="BL219" s="164">
        <f t="shared" si="53"/>
        <v>810306</v>
      </c>
      <c r="BM219" s="164">
        <f>BM37+BM107+BM97+BM182+BM112+BM213+BM215+BM217</f>
        <v>-273586</v>
      </c>
      <c r="BN219" s="164"/>
      <c r="BO219" s="164">
        <f>BO37+BO107+BO97+BO182+BO112+BO213+BO215+BO217</f>
        <v>12522</v>
      </c>
      <c r="BP219" s="164">
        <f t="shared" si="53"/>
        <v>0</v>
      </c>
      <c r="BQ219" s="164">
        <f t="shared" si="53"/>
        <v>170502666.3536675</v>
      </c>
      <c r="BR219" s="164">
        <f t="shared" si="53"/>
        <v>0</v>
      </c>
      <c r="BS219" s="164">
        <f t="shared" si="53"/>
        <v>2607170</v>
      </c>
      <c r="BT219" s="164">
        <f t="shared" si="53"/>
        <v>2030320</v>
      </c>
      <c r="BU219" s="164">
        <f t="shared" si="53"/>
        <v>5530758.3599999975</v>
      </c>
      <c r="BV219" s="164">
        <f t="shared" si="53"/>
        <v>2030320</v>
      </c>
      <c r="BW219" s="164">
        <f t="shared" si="53"/>
        <v>176033424.71366751</v>
      </c>
      <c r="BX219" s="164">
        <f t="shared" si="53"/>
        <v>2030320</v>
      </c>
      <c r="BY219" s="164">
        <f t="shared" si="53"/>
        <v>-5458414.7136674821</v>
      </c>
      <c r="BZ219" s="16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</row>
    <row r="220" spans="1:127" s="21" customFormat="1">
      <c r="A220" s="58" t="s">
        <v>250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9"/>
      <c r="BQ220" s="10"/>
      <c r="BR220" s="9"/>
      <c r="BS220" s="10"/>
      <c r="BT220" s="9"/>
      <c r="BU220" s="272"/>
      <c r="BV220" s="9"/>
      <c r="BW220" s="10"/>
      <c r="BX220" s="9"/>
      <c r="BY220" s="10"/>
      <c r="BZ220" s="9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</row>
    <row r="221" spans="1:127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9"/>
      <c r="BQ221" s="10"/>
      <c r="BR221" s="9"/>
      <c r="BS221" s="10"/>
      <c r="BT221" s="9"/>
      <c r="BU221" s="10"/>
      <c r="BV221" s="9"/>
      <c r="BW221" s="10"/>
      <c r="BX221" s="9"/>
      <c r="BY221" s="10"/>
      <c r="BZ221" s="9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10" t="s">
        <v>83</v>
      </c>
      <c r="BN222" s="10"/>
      <c r="BO222" s="10" t="s">
        <v>83</v>
      </c>
      <c r="BP222" s="9"/>
      <c r="BQ222" s="10">
        <f>-BQ142</f>
        <v>-33710</v>
      </c>
      <c r="BR222" s="9"/>
      <c r="BS222" s="10"/>
      <c r="BT222" s="9"/>
      <c r="BU222" s="10"/>
      <c r="BV222" s="9"/>
      <c r="BW222" s="10"/>
      <c r="BX222" s="9"/>
      <c r="BY222" s="10"/>
      <c r="BZ222" s="9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438</v>
      </c>
      <c r="BM223" s="10" t="s">
        <v>438</v>
      </c>
      <c r="BN223" s="10"/>
      <c r="BO223" s="10" t="s">
        <v>438</v>
      </c>
      <c r="BP223" s="9"/>
      <c r="BQ223" s="10">
        <f>-BQ134</f>
        <v>-1084341.1600000001</v>
      </c>
      <c r="BR223" s="9"/>
      <c r="BS223" s="10"/>
      <c r="BT223" s="9"/>
      <c r="BU223" s="10"/>
      <c r="BV223" s="9"/>
      <c r="BW223" s="10"/>
      <c r="BX223" s="9"/>
      <c r="BY223" s="10"/>
      <c r="BZ223" s="9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442</v>
      </c>
      <c r="BM224" s="10" t="s">
        <v>442</v>
      </c>
      <c r="BN224" s="10"/>
      <c r="BO224" s="10" t="s">
        <v>442</v>
      </c>
      <c r="BP224" s="9"/>
      <c r="BQ224" s="10">
        <f>-BQ140</f>
        <v>0</v>
      </c>
      <c r="BR224" s="9"/>
      <c r="BS224" s="10"/>
      <c r="BT224" s="9"/>
      <c r="BU224" s="10"/>
      <c r="BV224" s="9"/>
      <c r="BW224" s="10"/>
      <c r="BX224" s="9"/>
      <c r="BY224" s="10"/>
      <c r="BZ224" s="9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440</v>
      </c>
      <c r="BM225" s="10" t="s">
        <v>440</v>
      </c>
      <c r="BN225" s="10"/>
      <c r="BO225" s="10" t="s">
        <v>440</v>
      </c>
      <c r="BP225" s="9"/>
      <c r="BQ225" s="10">
        <v>-22627</v>
      </c>
      <c r="BR225" s="9"/>
      <c r="BS225" s="10"/>
      <c r="BT225" s="9"/>
      <c r="BU225" s="10"/>
      <c r="BV225" s="9"/>
      <c r="BW225" s="10"/>
      <c r="BX225" s="9"/>
      <c r="BY225" s="10"/>
      <c r="BZ225" s="9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9"/>
      <c r="BQ226" s="10">
        <f>SUM(BQ219:BQ225)</f>
        <v>169361988.1936675</v>
      </c>
      <c r="BR226" s="9"/>
      <c r="BS226" s="10"/>
      <c r="BT226" s="9"/>
      <c r="BU226" s="10"/>
      <c r="BV226" s="9"/>
      <c r="BW226" s="10"/>
      <c r="BX226" s="9"/>
      <c r="BY226" s="10"/>
      <c r="BZ226" s="9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9"/>
      <c r="BQ227" s="10"/>
      <c r="BR227" s="9"/>
      <c r="BS227" s="10"/>
      <c r="BT227" s="9"/>
      <c r="BU227" s="10"/>
      <c r="BV227" s="9"/>
      <c r="BW227" s="10"/>
      <c r="BX227" s="9"/>
      <c r="BY227" s="10"/>
      <c r="BZ227" s="9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441</v>
      </c>
      <c r="BM228" s="10" t="s">
        <v>441</v>
      </c>
      <c r="BN228" s="10"/>
      <c r="BO228" s="10" t="s">
        <v>441</v>
      </c>
      <c r="BP228" s="9"/>
      <c r="BQ228" s="10">
        <v>168942454.84</v>
      </c>
      <c r="BR228" s="9"/>
      <c r="BS228" s="10"/>
      <c r="BT228" s="9"/>
      <c r="BU228" s="10"/>
      <c r="BV228" s="9"/>
      <c r="BW228" s="10"/>
      <c r="BX228" s="9"/>
      <c r="BY228" s="10"/>
      <c r="BZ228" s="9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9"/>
      <c r="BQ229" s="10">
        <f>BQ226-BQ228</f>
        <v>419533.35366749763</v>
      </c>
      <c r="BR229" s="9"/>
      <c r="BS229" s="10"/>
      <c r="BT229" s="9"/>
      <c r="BU229" s="10"/>
      <c r="BV229" s="9"/>
      <c r="BW229" s="10"/>
      <c r="BX229" s="9"/>
      <c r="BY229" s="10"/>
      <c r="BZ229" s="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9"/>
      <c r="BQ230" s="10"/>
      <c r="BR230" s="9"/>
      <c r="BS230" s="10"/>
      <c r="BT230" s="9"/>
      <c r="BU230" s="10"/>
      <c r="BV230" s="9"/>
      <c r="BW230" s="10"/>
      <c r="BX230" s="9"/>
      <c r="BY230" s="10"/>
      <c r="BZ230" s="9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</row>
    <row r="231" spans="1:127" hidden="1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P231" s="6"/>
      <c r="BR231" s="6"/>
      <c r="BS231" s="6"/>
      <c r="BT231" s="6"/>
      <c r="BZ231" s="6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</row>
    <row r="232" spans="1:127" customFormat="1" ht="15">
      <c r="A232" s="286" t="s">
        <v>402</v>
      </c>
      <c r="BQ232" s="248"/>
    </row>
    <row r="233" spans="1:127" customFormat="1">
      <c r="A233" s="58" t="s">
        <v>283</v>
      </c>
      <c r="BQ233" s="248"/>
    </row>
    <row r="234" spans="1:127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M234" s="6">
        <v>327840</v>
      </c>
      <c r="BN234" s="6"/>
      <c r="BO234" s="6"/>
      <c r="BQ234" s="10">
        <f>SUM(T234:BP234)</f>
        <v>2230840</v>
      </c>
    </row>
    <row r="235" spans="1:127" customFormat="1">
      <c r="A235" s="30"/>
      <c r="B235" t="s">
        <v>404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35"/>
      <c r="BQ235" s="10">
        <f>SUM(S235:BL235)</f>
        <v>442611.19</v>
      </c>
      <c r="BR235" s="9"/>
      <c r="BS235" s="10">
        <v>0</v>
      </c>
      <c r="BT235" s="9"/>
      <c r="BU235" s="6">
        <f>IF(+R235-BQ235+BS235&gt;0,R235-BQ235+BS235,0)</f>
        <v>25075933.809999999</v>
      </c>
      <c r="BV235" s="9"/>
      <c r="BW235" s="9">
        <f>+BQ235+BU235</f>
        <v>25518545</v>
      </c>
      <c r="BX235" s="9"/>
      <c r="BY235" s="6">
        <f>+R235-BW235</f>
        <v>0</v>
      </c>
      <c r="BZ235" s="9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1:127" customFormat="1">
      <c r="A236" s="30"/>
      <c r="B236" t="s">
        <v>405</v>
      </c>
      <c r="L236" s="49" t="s">
        <v>401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35"/>
      <c r="BQ236" s="10">
        <f>SUM(T236:BP236)</f>
        <v>2270</v>
      </c>
      <c r="BR236" s="9"/>
      <c r="BS236" s="10">
        <v>0</v>
      </c>
      <c r="BT236" s="9"/>
      <c r="BU236" s="6">
        <f>IF(+R236-BQ236+BS236&gt;0,R236-BQ236+BS236,0)</f>
        <v>973086</v>
      </c>
      <c r="BV236" s="9"/>
      <c r="BW236" s="9">
        <f>+BQ236+BU236</f>
        <v>975356</v>
      </c>
      <c r="BX236" s="9"/>
      <c r="BY236" s="6">
        <f>+R236-BW236</f>
        <v>0</v>
      </c>
      <c r="BZ236" s="9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1:127" customFormat="1">
      <c r="A237" s="30"/>
      <c r="B237" s="11" t="s">
        <v>358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0"/>
      <c r="BK237" s="35"/>
      <c r="BL237" s="36">
        <v>142809</v>
      </c>
      <c r="BM237" s="36"/>
      <c r="BN237" s="36"/>
      <c r="BO237" s="36"/>
      <c r="BP237" s="35"/>
      <c r="BQ237" s="259">
        <f>SUM(T237:BP237)</f>
        <v>167636.20000000001</v>
      </c>
      <c r="BR237" s="9"/>
      <c r="BS237" s="10">
        <v>0</v>
      </c>
      <c r="BT237" s="9"/>
      <c r="BU237" s="260">
        <f>IF(+R237-BQ237+BS237&gt;0,R237-BQ237+BS237,0)</f>
        <v>0</v>
      </c>
      <c r="BV237" s="9"/>
      <c r="BW237" s="259">
        <f>+BQ237+BU237</f>
        <v>167636.20000000001</v>
      </c>
      <c r="BX237" s="9"/>
      <c r="BY237" s="260">
        <f>+R237-BW237</f>
        <v>-34894.200000000012</v>
      </c>
      <c r="BZ237" s="9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1:127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Z238" si="54">SUM(BD234:BD237)</f>
        <v>685000</v>
      </c>
      <c r="BF238" s="35">
        <f t="shared" si="54"/>
        <v>0</v>
      </c>
      <c r="BG238" s="35">
        <f t="shared" si="54"/>
        <v>0</v>
      </c>
      <c r="BH238" s="35">
        <f>SUM(BH234:BH237)</f>
        <v>0</v>
      </c>
      <c r="BI238" s="35">
        <f t="shared" si="54"/>
        <v>0</v>
      </c>
      <c r="BJ238" s="35">
        <f>SUM(BJ234:BJ236)</f>
        <v>0</v>
      </c>
      <c r="BK238" s="35">
        <f t="shared" si="54"/>
        <v>0</v>
      </c>
      <c r="BL238" s="35">
        <f>SUM(BL234:BL237)</f>
        <v>1532004</v>
      </c>
      <c r="BM238" s="35">
        <f>SUM(BM234:BM237)</f>
        <v>327840</v>
      </c>
      <c r="BN238" s="35"/>
      <c r="BO238" s="35">
        <f>SUM(BO234:BO237)</f>
        <v>0</v>
      </c>
      <c r="BP238" s="35">
        <f t="shared" si="54"/>
        <v>0</v>
      </c>
      <c r="BQ238" s="9">
        <f t="shared" si="54"/>
        <v>2843357.39</v>
      </c>
      <c r="BR238" s="35">
        <f t="shared" si="54"/>
        <v>0</v>
      </c>
      <c r="BS238" s="35">
        <f t="shared" si="54"/>
        <v>0</v>
      </c>
      <c r="BT238" s="35">
        <f t="shared" si="54"/>
        <v>0</v>
      </c>
      <c r="BU238" s="9">
        <f t="shared" si="54"/>
        <v>26049019.809999999</v>
      </c>
      <c r="BV238" s="9">
        <f t="shared" si="54"/>
        <v>0</v>
      </c>
      <c r="BW238" s="9">
        <f t="shared" si="54"/>
        <v>26661537.199999999</v>
      </c>
      <c r="BX238" s="9">
        <f t="shared" si="54"/>
        <v>0</v>
      </c>
      <c r="BY238" s="9">
        <f t="shared" si="54"/>
        <v>-34894.200000000012</v>
      </c>
      <c r="BZ238" s="9">
        <f t="shared" si="54"/>
        <v>0</v>
      </c>
      <c r="CA238" s="9"/>
      <c r="CB238" s="9"/>
      <c r="CC238" s="9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1:127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1:127" customFormat="1">
      <c r="A240" s="30" t="s">
        <v>429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1:127" s="105" customFormat="1" ht="15.75" thickBot="1">
      <c r="A241" s="287" t="s">
        <v>403</v>
      </c>
      <c r="B241" s="261"/>
      <c r="C241" s="262"/>
      <c r="D241" s="262"/>
      <c r="E241" s="262"/>
      <c r="F241" s="262"/>
      <c r="G241" s="262"/>
      <c r="H241" s="262"/>
      <c r="I241" s="262"/>
      <c r="J241" s="263"/>
      <c r="K241" s="262"/>
      <c r="L241" s="264"/>
      <c r="M241" s="265"/>
      <c r="N241" s="266"/>
      <c r="O241" s="265"/>
      <c r="P241" s="266"/>
      <c r="Q241" s="265"/>
      <c r="R241" s="267">
        <f t="shared" ref="R241:BI241" si="55">R219+R238</f>
        <v>197201653</v>
      </c>
      <c r="S241" s="267">
        <f t="shared" si="55"/>
        <v>0</v>
      </c>
      <c r="T241" s="267">
        <f t="shared" si="55"/>
        <v>0</v>
      </c>
      <c r="U241" s="267">
        <f t="shared" si="55"/>
        <v>0</v>
      </c>
      <c r="V241" s="267">
        <f t="shared" si="55"/>
        <v>0</v>
      </c>
      <c r="W241" s="267">
        <f t="shared" si="55"/>
        <v>0</v>
      </c>
      <c r="X241" s="267">
        <f t="shared" si="55"/>
        <v>0</v>
      </c>
      <c r="Y241" s="267">
        <f t="shared" si="55"/>
        <v>0</v>
      </c>
      <c r="Z241" s="267">
        <f t="shared" si="55"/>
        <v>0</v>
      </c>
      <c r="AA241" s="267">
        <f t="shared" si="55"/>
        <v>0</v>
      </c>
      <c r="AB241" s="267">
        <f t="shared" si="55"/>
        <v>0</v>
      </c>
      <c r="AC241" s="267">
        <f t="shared" si="55"/>
        <v>0</v>
      </c>
      <c r="AD241" s="267">
        <f t="shared" si="55"/>
        <v>0</v>
      </c>
      <c r="AE241" s="267">
        <f t="shared" si="55"/>
        <v>0</v>
      </c>
      <c r="AF241" s="267">
        <f t="shared" si="55"/>
        <v>0</v>
      </c>
      <c r="AG241" s="267">
        <f t="shared" si="55"/>
        <v>0</v>
      </c>
      <c r="AH241" s="267">
        <f t="shared" si="55"/>
        <v>0</v>
      </c>
      <c r="AI241" s="267">
        <f t="shared" si="55"/>
        <v>0</v>
      </c>
      <c r="AJ241" s="267">
        <f t="shared" si="55"/>
        <v>13005.809999999998</v>
      </c>
      <c r="AK241" s="267">
        <f t="shared" si="55"/>
        <v>0</v>
      </c>
      <c r="AL241" s="267">
        <f t="shared" si="55"/>
        <v>93158714.489999995</v>
      </c>
      <c r="AM241" s="267">
        <f t="shared" si="55"/>
        <v>0</v>
      </c>
      <c r="AN241" s="267">
        <f t="shared" si="55"/>
        <v>715387.53999999992</v>
      </c>
      <c r="AO241" s="267">
        <f t="shared" si="55"/>
        <v>0</v>
      </c>
      <c r="AP241" s="267">
        <f t="shared" si="55"/>
        <v>2178269.8126763888</v>
      </c>
      <c r="AQ241" s="267">
        <f t="shared" si="55"/>
        <v>0</v>
      </c>
      <c r="AR241" s="267">
        <f t="shared" si="55"/>
        <v>7520808.7532297745</v>
      </c>
      <c r="AS241" s="267">
        <f t="shared" si="55"/>
        <v>0</v>
      </c>
      <c r="AT241" s="267">
        <f t="shared" si="55"/>
        <v>3026267.3252736586</v>
      </c>
      <c r="AU241" s="267">
        <f t="shared" si="55"/>
        <v>0</v>
      </c>
      <c r="AV241" s="267">
        <f t="shared" si="55"/>
        <v>8287387.2469411138</v>
      </c>
      <c r="AW241" s="267">
        <f t="shared" si="55"/>
        <v>0</v>
      </c>
      <c r="AX241" s="267">
        <f t="shared" si="55"/>
        <v>7624290.748063433</v>
      </c>
      <c r="AY241" s="267">
        <f t="shared" si="55"/>
        <v>0</v>
      </c>
      <c r="AZ241" s="267">
        <f t="shared" si="55"/>
        <v>11403531.526154332</v>
      </c>
      <c r="BA241" s="267">
        <f t="shared" si="55"/>
        <v>0</v>
      </c>
      <c r="BB241" s="267">
        <f t="shared" si="55"/>
        <v>12538176.930035932</v>
      </c>
      <c r="BC241" s="267">
        <f t="shared" si="55"/>
        <v>0</v>
      </c>
      <c r="BD241" s="267">
        <f t="shared" si="55"/>
        <v>5023594.6500000004</v>
      </c>
      <c r="BE241" s="267">
        <f t="shared" si="55"/>
        <v>0</v>
      </c>
      <c r="BF241" s="267">
        <f t="shared" si="55"/>
        <v>17362054.581292856</v>
      </c>
      <c r="BG241" s="267">
        <f t="shared" si="55"/>
        <v>0</v>
      </c>
      <c r="BH241" s="267">
        <f t="shared" si="55"/>
        <v>2172208.6</v>
      </c>
      <c r="BI241" s="267">
        <f t="shared" si="55"/>
        <v>0</v>
      </c>
      <c r="BJ241" s="267">
        <f>BJ219+BJ238</f>
        <v>-86760.26999999999</v>
      </c>
      <c r="BK241" s="267">
        <f t="shared" ref="BK241:BY241" si="56">BK219+BK238</f>
        <v>0</v>
      </c>
      <c r="BL241" s="267">
        <f t="shared" si="56"/>
        <v>2342310</v>
      </c>
      <c r="BM241" s="267">
        <f>BM219+BM238</f>
        <v>54254</v>
      </c>
      <c r="BN241" s="267"/>
      <c r="BO241" s="267">
        <f>BO219+BO238</f>
        <v>12522</v>
      </c>
      <c r="BP241" s="267">
        <f t="shared" si="56"/>
        <v>0</v>
      </c>
      <c r="BQ241" s="267">
        <f t="shared" si="56"/>
        <v>173346023.74366748</v>
      </c>
      <c r="BR241" s="267">
        <f t="shared" si="56"/>
        <v>0</v>
      </c>
      <c r="BS241" s="267">
        <f t="shared" si="56"/>
        <v>2607170</v>
      </c>
      <c r="BT241" s="267">
        <f t="shared" si="56"/>
        <v>2030320</v>
      </c>
      <c r="BU241" s="267">
        <f t="shared" si="56"/>
        <v>31579778.169999994</v>
      </c>
      <c r="BV241" s="267">
        <f t="shared" si="56"/>
        <v>2030320</v>
      </c>
      <c r="BW241" s="267">
        <f t="shared" si="56"/>
        <v>202694961.9136675</v>
      </c>
      <c r="BX241" s="267">
        <f t="shared" si="56"/>
        <v>2030320</v>
      </c>
      <c r="BY241" s="267">
        <f t="shared" si="56"/>
        <v>-5493308.9136674823</v>
      </c>
      <c r="BZ241" s="267">
        <f>BZ235+BZ238</f>
        <v>0</v>
      </c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</row>
    <row r="242" spans="1:127" customFormat="1" ht="13.5" thickTop="1">
      <c r="A242" s="30"/>
      <c r="L242" s="49"/>
      <c r="BB242" s="35"/>
      <c r="BQ242" s="248"/>
    </row>
    <row r="243" spans="1:127" customFormat="1" hidden="1">
      <c r="A243" s="30"/>
      <c r="L243" s="49"/>
      <c r="BB243" s="35"/>
      <c r="BQ243" s="248"/>
    </row>
    <row r="244" spans="1:127" customFormat="1" hidden="1">
      <c r="A244" s="30"/>
      <c r="L244" s="49"/>
      <c r="BB244" s="35"/>
      <c r="BQ244" s="248"/>
    </row>
    <row r="245" spans="1:127" customFormat="1" hidden="1">
      <c r="A245" s="30"/>
      <c r="L245" s="49"/>
      <c r="BB245" s="35"/>
      <c r="BF245" t="s">
        <v>420</v>
      </c>
      <c r="BM245" t="s">
        <v>447</v>
      </c>
      <c r="BQ245" s="248">
        <f>169349467-6715</f>
        <v>169342752</v>
      </c>
    </row>
    <row r="246" spans="1:127" customFormat="1" hidden="1">
      <c r="A246" s="30"/>
      <c r="L246" s="49"/>
      <c r="AT246" s="247"/>
      <c r="BB246" s="35"/>
      <c r="BF246" t="s">
        <v>421</v>
      </c>
      <c r="BM246" t="s">
        <v>446</v>
      </c>
      <c r="BQ246" s="248">
        <f>BQ134</f>
        <v>1084341.1600000001</v>
      </c>
    </row>
    <row r="247" spans="1:127" customFormat="1" hidden="1">
      <c r="A247" s="30"/>
      <c r="AT247" s="247"/>
      <c r="BB247" s="35"/>
      <c r="BF247" t="s">
        <v>422</v>
      </c>
      <c r="BM247" t="s">
        <v>448</v>
      </c>
      <c r="BQ247" s="248">
        <f>BQ238</f>
        <v>2843357.39</v>
      </c>
    </row>
    <row r="248" spans="1:127" customFormat="1" hidden="1">
      <c r="A248" s="30"/>
      <c r="AT248" s="247"/>
      <c r="BB248" s="35"/>
      <c r="BF248" t="s">
        <v>422</v>
      </c>
      <c r="BM248" t="s">
        <v>83</v>
      </c>
      <c r="BQ248" s="248">
        <f>BQ142</f>
        <v>33710</v>
      </c>
      <c r="BS248" s="249"/>
    </row>
    <row r="249" spans="1:127" customFormat="1" hidden="1">
      <c r="A249" s="30"/>
      <c r="AT249" s="247"/>
      <c r="BB249" s="35"/>
      <c r="BF249" t="s">
        <v>423</v>
      </c>
      <c r="BM249" t="s">
        <v>451</v>
      </c>
      <c r="BQ249" s="247">
        <v>0</v>
      </c>
    </row>
    <row r="250" spans="1:127" customFormat="1" hidden="1">
      <c r="A250" s="30"/>
      <c r="AT250" s="247"/>
      <c r="BB250" s="35"/>
      <c r="BM250" t="s">
        <v>453</v>
      </c>
      <c r="BQ250" s="247">
        <v>6715</v>
      </c>
    </row>
    <row r="251" spans="1:127" customFormat="1" hidden="1">
      <c r="A251" s="30"/>
      <c r="BB251" s="35"/>
      <c r="BF251" t="s">
        <v>424</v>
      </c>
      <c r="BM251" t="s">
        <v>452</v>
      </c>
      <c r="BQ251" s="247">
        <v>22627</v>
      </c>
    </row>
    <row r="252" spans="1:127" customFormat="1" hidden="1">
      <c r="A252" s="30"/>
      <c r="BF252" t="s">
        <v>265</v>
      </c>
      <c r="BQ252" s="249"/>
    </row>
    <row r="253" spans="1:127" customFormat="1" hidden="1">
      <c r="A253" s="30"/>
      <c r="BF253" t="s">
        <v>428</v>
      </c>
      <c r="BM253" t="s">
        <v>75</v>
      </c>
      <c r="BQ253" s="249">
        <f>SUM(BQ245:BQ252)</f>
        <v>173333502.54999998</v>
      </c>
    </row>
    <row r="254" spans="1:127" customFormat="1" hidden="1">
      <c r="A254" s="30"/>
      <c r="BF254" t="s">
        <v>425</v>
      </c>
      <c r="BQ254" s="247"/>
    </row>
    <row r="255" spans="1:127" customFormat="1" hidden="1">
      <c r="A255" s="30"/>
      <c r="BF255" t="s">
        <v>426</v>
      </c>
      <c r="BM255" t="s">
        <v>449</v>
      </c>
      <c r="BQ255" s="247">
        <f>BQ241</f>
        <v>173346023.74366748</v>
      </c>
    </row>
    <row r="256" spans="1:127" customFormat="1" hidden="1">
      <c r="A256" s="30"/>
      <c r="BQ256" s="247"/>
    </row>
    <row r="257" spans="1:69" customFormat="1" hidden="1">
      <c r="A257" s="30"/>
      <c r="BM257" t="s">
        <v>450</v>
      </c>
      <c r="BQ257" s="249">
        <f>BQ253-BQ255</f>
        <v>-12521.193667501211</v>
      </c>
    </row>
    <row r="258" spans="1:69" customFormat="1">
      <c r="A258" s="30"/>
      <c r="BF258" t="s">
        <v>419</v>
      </c>
      <c r="BQ258" s="38"/>
    </row>
    <row r="259" spans="1:69" customFormat="1">
      <c r="A259" s="30"/>
      <c r="BQ259" s="35"/>
    </row>
    <row r="260" spans="1:69" customFormat="1">
      <c r="A260" s="30"/>
    </row>
    <row r="261" spans="1:69" customFormat="1">
      <c r="A261" s="30"/>
      <c r="BQ261" s="249"/>
    </row>
    <row r="262" spans="1:69" customFormat="1">
      <c r="A262" s="30"/>
    </row>
    <row r="263" spans="1:69" customFormat="1">
      <c r="A263" s="30"/>
    </row>
    <row r="264" spans="1:69" customFormat="1">
      <c r="A264" s="30"/>
    </row>
    <row r="265" spans="1:69" customFormat="1">
      <c r="A265" s="30"/>
    </row>
    <row r="266" spans="1:69" customFormat="1">
      <c r="A266" s="30"/>
    </row>
    <row r="267" spans="1:69" customFormat="1">
      <c r="A267" s="30"/>
    </row>
    <row r="268" spans="1:69" customFormat="1">
      <c r="A268" s="30"/>
    </row>
    <row r="269" spans="1:69" customFormat="1">
      <c r="A269" s="30"/>
    </row>
    <row r="270" spans="1:69" customFormat="1">
      <c r="A270" s="30"/>
    </row>
    <row r="271" spans="1:69" customFormat="1">
      <c r="A271" s="30"/>
    </row>
    <row r="272" spans="1:69" customFormat="1">
      <c r="A272" s="30"/>
    </row>
    <row r="273" spans="1:69" customFormat="1">
      <c r="A273" s="30"/>
    </row>
    <row r="274" spans="1:69" customFormat="1">
      <c r="A274" s="30"/>
    </row>
    <row r="275" spans="1:69" customFormat="1">
      <c r="A275" s="30"/>
    </row>
    <row r="276" spans="1:69" customFormat="1">
      <c r="A276" s="30"/>
    </row>
    <row r="277" spans="1:69" customFormat="1">
      <c r="A277" s="30"/>
    </row>
    <row r="278" spans="1:69" customFormat="1">
      <c r="A278" s="30"/>
    </row>
    <row r="279" spans="1:69" customFormat="1">
      <c r="A279" s="30"/>
    </row>
    <row r="280" spans="1:69">
      <c r="BQ280" s="22"/>
    </row>
    <row r="281" spans="1:69">
      <c r="BQ281" s="22"/>
    </row>
    <row r="282" spans="1:69">
      <c r="BQ282" s="22"/>
    </row>
    <row r="283" spans="1:69">
      <c r="BQ283" s="22"/>
    </row>
    <row r="284" spans="1:69">
      <c r="BQ284" s="22"/>
    </row>
    <row r="285" spans="1:69">
      <c r="BQ285" s="22"/>
    </row>
    <row r="286" spans="1:69">
      <c r="BQ286" s="22"/>
    </row>
    <row r="287" spans="1:69">
      <c r="BQ287" s="22"/>
    </row>
    <row r="288" spans="1:69">
      <c r="BQ288" s="22"/>
    </row>
    <row r="289" spans="69:69">
      <c r="BQ289" s="22"/>
    </row>
    <row r="290" spans="69:69">
      <c r="BQ290" s="22"/>
    </row>
    <row r="291" spans="69:69">
      <c r="BQ291" s="22"/>
    </row>
    <row r="292" spans="69:69">
      <c r="BQ292" s="22"/>
    </row>
    <row r="293" spans="69:69">
      <c r="BQ293" s="22"/>
    </row>
    <row r="294" spans="69:69">
      <c r="BQ294" s="22"/>
    </row>
    <row r="295" spans="69:69">
      <c r="BQ295" s="22"/>
    </row>
    <row r="296" spans="69:69">
      <c r="BQ296" s="22"/>
    </row>
    <row r="297" spans="69:69">
      <c r="BQ297" s="22"/>
    </row>
    <row r="298" spans="69:69">
      <c r="BQ298" s="22"/>
    </row>
    <row r="299" spans="69:69">
      <c r="BQ299" s="22"/>
    </row>
  </sheetData>
  <printOptions horizontalCentered="1"/>
  <pageMargins left="0.18" right="0" top="0.42" bottom="0.33" header="0.4" footer="0.19"/>
  <pageSetup scale="45" fitToHeight="2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88"/>
  <sheetViews>
    <sheetView topLeftCell="A133" zoomScale="80" zoomScaleNormal="66" workbookViewId="0">
      <selection activeCell="B143" sqref="B143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1.28515625" style="4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71093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0.140625" style="6" hidden="1" customWidth="1"/>
    <col min="61" max="61" width="5.5703125" style="6" hidden="1" customWidth="1"/>
    <col min="62" max="62" width="18.5703125" style="65" hidden="1" customWidth="1"/>
    <col min="63" max="63" width="1.5703125" style="6" hidden="1" customWidth="1"/>
    <col min="64" max="64" width="21.5703125" style="65" hidden="1" customWidth="1"/>
    <col min="65" max="65" width="2.140625" style="65" hidden="1" customWidth="1"/>
    <col min="66" max="66" width="21.5703125" style="65" hidden="1" customWidth="1"/>
    <col min="67" max="67" width="1.140625" style="65" customWidth="1"/>
    <col min="68" max="68" width="20.85546875" style="6" customWidth="1"/>
    <col min="69" max="69" width="0.85546875" style="4" customWidth="1"/>
    <col min="70" max="70" width="19.140625" style="65" customWidth="1"/>
    <col min="71" max="71" width="0.85546875" style="4" customWidth="1"/>
    <col min="72" max="72" width="24.7109375" style="6" bestFit="1" customWidth="1"/>
    <col min="73" max="73" width="1.7109375" style="6" customWidth="1"/>
    <col min="74" max="74" width="20.85546875" style="6" customWidth="1"/>
    <col min="75" max="75" width="1.7109375" style="6" customWidth="1"/>
    <col min="76" max="76" width="15.85546875" style="6" customWidth="1"/>
    <col min="77" max="77" width="0.85546875" style="4" customWidth="1"/>
    <col min="78" max="78" width="75.85546875" style="4" customWidth="1"/>
    <col min="79" max="16384" width="9.140625" style="4"/>
  </cols>
  <sheetData>
    <row r="1" spans="1:78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M1" s="81"/>
      <c r="BN1" s="81"/>
      <c r="BO1" s="81"/>
      <c r="BP1" s="78"/>
      <c r="BR1" s="81"/>
      <c r="BT1" s="78"/>
      <c r="BU1" s="78"/>
      <c r="BV1" s="78"/>
      <c r="BW1" s="78"/>
      <c r="BX1" s="68"/>
    </row>
    <row r="2" spans="1:78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M2" s="81"/>
      <c r="BN2" s="81"/>
      <c r="BO2" s="81"/>
      <c r="BP2" s="68"/>
      <c r="BR2" s="81"/>
      <c r="BT2" s="68"/>
      <c r="BU2" s="68"/>
      <c r="BV2" s="68"/>
      <c r="BW2" s="68"/>
      <c r="BX2" s="106" t="str">
        <f ca="1">CELL("filename")</f>
        <v>O:\Fin_Ops\Engysvc\PowerPlants\2000 Plants\Weekly Report\[2000 Weekly Report - 112000.xls]Summary</v>
      </c>
    </row>
    <row r="3" spans="1:78" s="18" customFormat="1" ht="15.75">
      <c r="A3" s="278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M3" s="81"/>
      <c r="BN3" s="81"/>
      <c r="BO3" s="81"/>
      <c r="BP3" s="23"/>
      <c r="BR3" s="81"/>
      <c r="BT3" s="23">
        <f ca="1">NOW()</f>
        <v>36857.654951388889</v>
      </c>
      <c r="BV3" s="23"/>
      <c r="BX3" s="78" t="str">
        <f>Summary!A5</f>
        <v>Revision # 68</v>
      </c>
      <c r="BZ3" s="18" t="str">
        <f>Summary!A5</f>
        <v>Revision # 68</v>
      </c>
    </row>
    <row r="4" spans="1:78" s="18" customFormat="1" ht="15.75">
      <c r="A4" s="279"/>
      <c r="B4" s="19">
        <f>Summary!C15</f>
        <v>470</v>
      </c>
      <c r="C4"/>
      <c r="G4" s="67"/>
      <c r="J4" s="268" t="s">
        <v>47</v>
      </c>
      <c r="L4" s="74"/>
      <c r="N4" s="69"/>
      <c r="O4" s="128" t="s">
        <v>455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/>
      <c r="BN4" s="82" t="s">
        <v>122</v>
      </c>
      <c r="BO4" s="82"/>
      <c r="BP4" s="71"/>
      <c r="BR4" s="70" t="s">
        <v>129</v>
      </c>
      <c r="BT4" s="71"/>
      <c r="BV4" s="71"/>
      <c r="BX4" s="71"/>
    </row>
    <row r="5" spans="1:78" s="18" customFormat="1" ht="15.75">
      <c r="A5" s="280" t="str">
        <f>Summary!A5</f>
        <v>Revision # 68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/>
      <c r="BN5" s="82" t="s">
        <v>123</v>
      </c>
      <c r="BO5" s="82"/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M6" s="83"/>
      <c r="BN6" s="83">
        <v>36860</v>
      </c>
      <c r="BO6" s="83"/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69"/>
      <c r="AJ7" s="82" t="str">
        <f>+Summary!$O$4</f>
        <v xml:space="preserve"> As of 11/17/00</v>
      </c>
      <c r="AK7" s="69"/>
      <c r="AL7" s="82" t="str">
        <f>+Summary!$O$4</f>
        <v xml:space="preserve"> As of 11/17/00</v>
      </c>
      <c r="AM7" s="69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82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 t="str">
        <f>+Summary!$O$4</f>
        <v xml:space="preserve"> As of 11/17/00</v>
      </c>
      <c r="BA7" s="82"/>
      <c r="BB7" s="82" t="str">
        <f>+Summary!$O$4</f>
        <v xml:space="preserve"> As of 11/17/00</v>
      </c>
      <c r="BC7" s="82"/>
      <c r="BD7" s="82" t="str">
        <f>+Summary!$O$4</f>
        <v xml:space="preserve"> As of 11/17/00</v>
      </c>
      <c r="BE7" s="82"/>
      <c r="BF7" s="82" t="str">
        <f>+Summary!$O$4</f>
        <v xml:space="preserve"> As of 11/17/00</v>
      </c>
      <c r="BG7" s="82"/>
      <c r="BH7" s="82" t="str">
        <f>+Summary!$O$4</f>
        <v xml:space="preserve"> As of 11/17/00</v>
      </c>
      <c r="BI7" s="82"/>
      <c r="BJ7" s="82" t="str">
        <f>+Summary!$O$4</f>
        <v xml:space="preserve"> As of 11/17/00</v>
      </c>
      <c r="BK7" s="82"/>
      <c r="BL7" s="82" t="str">
        <f>+Summary!$O$4</f>
        <v xml:space="preserve"> As of 11/17/00</v>
      </c>
      <c r="BM7" s="82"/>
      <c r="BN7" s="82" t="str">
        <f>+Summary!$O$4</f>
        <v xml:space="preserve"> As of 11/17/00</v>
      </c>
      <c r="BO7" s="82"/>
      <c r="BP7" s="71" t="str">
        <f>+Summary!$O$4</f>
        <v xml:space="preserve"> As of 11/17/00</v>
      </c>
      <c r="BR7" s="64" t="str">
        <f>+Summary!$O$4</f>
        <v xml:space="preserve"> As of 11/17/00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Q8" s="6"/>
      <c r="BR8" s="22"/>
      <c r="BS8" s="6"/>
      <c r="BY8" s="6"/>
    </row>
    <row r="9" spans="1:78">
      <c r="A9" s="100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>SUM(T9:BO9)</f>
        <v>85719300.840000018</v>
      </c>
      <c r="BQ9" s="6"/>
      <c r="BR9" s="6">
        <f>353801-22200+66200</f>
        <v>397801</v>
      </c>
      <c r="BS9" s="6"/>
      <c r="BT9" s="6">
        <f>IF(+R9-BP9+BR9&gt;0,R9-BP9+BR9,0)</f>
        <v>500000.15999998152</v>
      </c>
      <c r="BV9" s="6">
        <f>+BP9+BT9</f>
        <v>86219301</v>
      </c>
      <c r="BX9" s="6">
        <f>+R9-BV9</f>
        <v>-397801</v>
      </c>
      <c r="BY9" s="6"/>
    </row>
    <row r="10" spans="1:78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>SUM(T10:BO10)</f>
        <v>668688</v>
      </c>
      <c r="BQ10" s="6"/>
      <c r="BR10" s="6">
        <f>35517+533171</f>
        <v>568688</v>
      </c>
      <c r="BS10" s="6"/>
      <c r="BT10" s="6">
        <f>IF(+R10-BP10+BR10&gt;0,R10-BP10+BR10,0)</f>
        <v>0</v>
      </c>
      <c r="BV10" s="6">
        <f>+BP10+BT10</f>
        <v>668688</v>
      </c>
      <c r="BX10" s="6">
        <f>+R10-BV10</f>
        <v>-568688</v>
      </c>
      <c r="BY10" s="6"/>
    </row>
    <row r="11" spans="1:78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6"/>
      <c r="BR11" s="12"/>
      <c r="BS11" s="6"/>
      <c r="BT11" s="12"/>
      <c r="BV11" s="12"/>
      <c r="BX11" s="6">
        <f>+R11-BV11</f>
        <v>0</v>
      </c>
      <c r="BY11" s="6"/>
    </row>
    <row r="12" spans="1:78">
      <c r="A12" s="100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101"/>
      <c r="BN12" s="101">
        <f>SUM(BN9:BN11)</f>
        <v>0</v>
      </c>
      <c r="BO12" s="101"/>
      <c r="BP12" s="101">
        <f>SUM(BP9:BP11)</f>
        <v>86387988.840000018</v>
      </c>
      <c r="BQ12" s="6"/>
      <c r="BR12" s="101">
        <f>SUM(BR9:BR11)</f>
        <v>966489</v>
      </c>
      <c r="BS12" s="6"/>
      <c r="BT12" s="101">
        <f>SUM(BT9:BT11)</f>
        <v>500000.15999998152</v>
      </c>
      <c r="BV12" s="101">
        <f>SUM(BV9:BV11)</f>
        <v>86887989</v>
      </c>
      <c r="BX12" s="101">
        <f>SUM(BX9:BX11)</f>
        <v>-966489</v>
      </c>
      <c r="BY12" s="6"/>
    </row>
    <row r="13" spans="1:78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N13" s="6"/>
      <c r="BO13" s="6"/>
      <c r="BQ13" s="6"/>
      <c r="BR13" s="6"/>
      <c r="BS13" s="6"/>
      <c r="BY13" s="6"/>
    </row>
    <row r="14" spans="1:78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>SUM(T14:BL14)</f>
        <v>0</v>
      </c>
      <c r="BQ14" s="6"/>
      <c r="BR14" s="6">
        <v>0</v>
      </c>
      <c r="BS14" s="6"/>
      <c r="BT14" s="6">
        <f>+R14-BP14+BR14</f>
        <v>0</v>
      </c>
      <c r="BV14" s="6">
        <f t="shared" ref="BV14:BV31" si="0">+BP14+BT14</f>
        <v>0</v>
      </c>
      <c r="BX14" s="6">
        <f t="shared" ref="BX14:BX31" si="1">+R14-BV14</f>
        <v>0</v>
      </c>
      <c r="BY14" s="6"/>
    </row>
    <row r="15" spans="1:78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v>0</v>
      </c>
      <c r="BO15" s="6"/>
      <c r="BP15" s="6">
        <f t="shared" ref="BP15:BP30" si="2">SUM(T15:BO15)</f>
        <v>4318354.6000000006</v>
      </c>
      <c r="BQ15" s="6"/>
      <c r="BR15" s="6">
        <f>3968354-3949654+215500</f>
        <v>234200</v>
      </c>
      <c r="BS15" s="6"/>
      <c r="BT15" s="6">
        <f t="shared" ref="BT15:BT31" si="3">IF(+R15-BP15+BR15&gt;0,R15-BP15+BR15,0)</f>
        <v>0</v>
      </c>
      <c r="BV15" s="6">
        <f t="shared" si="0"/>
        <v>4318354.6000000006</v>
      </c>
      <c r="BX15" s="6">
        <f t="shared" si="1"/>
        <v>-368700.60000000056</v>
      </c>
      <c r="BY15" s="6"/>
    </row>
    <row r="16" spans="1:78">
      <c r="A16" s="100"/>
      <c r="B16" s="17" t="s">
        <v>276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/>
      <c r="BO16" s="6"/>
      <c r="BP16" s="6">
        <f t="shared" si="2"/>
        <v>337680</v>
      </c>
      <c r="BQ16" s="6"/>
      <c r="BR16" s="6">
        <v>59780</v>
      </c>
      <c r="BS16" s="6"/>
      <c r="BT16" s="6">
        <f t="shared" si="3"/>
        <v>134500</v>
      </c>
      <c r="BV16" s="6">
        <f t="shared" si="0"/>
        <v>472180</v>
      </c>
      <c r="BX16" s="6">
        <f t="shared" si="1"/>
        <v>-59780</v>
      </c>
      <c r="BY16" s="6"/>
    </row>
    <row r="17" spans="1:77">
      <c r="A17" s="100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/>
      <c r="BO17" s="6"/>
      <c r="BP17" s="6">
        <f t="shared" si="2"/>
        <v>0</v>
      </c>
      <c r="BQ17" s="6"/>
      <c r="BR17" s="6"/>
      <c r="BS17" s="6"/>
      <c r="BT17" s="6">
        <f t="shared" si="3"/>
        <v>0</v>
      </c>
      <c r="BV17" s="6">
        <f t="shared" si="0"/>
        <v>0</v>
      </c>
      <c r="BX17" s="6">
        <f t="shared" si="1"/>
        <v>0</v>
      </c>
      <c r="BY17" s="6"/>
    </row>
    <row r="18" spans="1:77">
      <c r="A18" s="100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/>
      <c r="BO18" s="6"/>
      <c r="BP18" s="6">
        <f t="shared" si="2"/>
        <v>0</v>
      </c>
      <c r="BQ18" s="6"/>
      <c r="BR18" s="6"/>
      <c r="BS18" s="6"/>
      <c r="BT18" s="6">
        <f t="shared" si="3"/>
        <v>0</v>
      </c>
      <c r="BV18" s="6">
        <f t="shared" si="0"/>
        <v>0</v>
      </c>
      <c r="BX18" s="6">
        <f t="shared" si="1"/>
        <v>0</v>
      </c>
      <c r="BY18" s="6"/>
    </row>
    <row r="19" spans="1:77">
      <c r="A19" s="100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/>
      <c r="BO19" s="6"/>
      <c r="BP19" s="6">
        <f t="shared" si="2"/>
        <v>0</v>
      </c>
      <c r="BQ19" s="6"/>
      <c r="BR19" s="6"/>
      <c r="BS19" s="6"/>
      <c r="BT19" s="6">
        <f t="shared" si="3"/>
        <v>0</v>
      </c>
      <c r="BV19" s="6">
        <f t="shared" si="0"/>
        <v>0</v>
      </c>
      <c r="BX19" s="6">
        <f t="shared" si="1"/>
        <v>0</v>
      </c>
      <c r="BY19" s="6"/>
    </row>
    <row r="20" spans="1:77">
      <c r="A20" s="100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/>
      <c r="BO20" s="6"/>
      <c r="BP20" s="6">
        <f t="shared" si="2"/>
        <v>0</v>
      </c>
      <c r="BQ20" s="6"/>
      <c r="BR20" s="6"/>
      <c r="BS20" s="6"/>
      <c r="BT20" s="6">
        <f t="shared" si="3"/>
        <v>0</v>
      </c>
      <c r="BV20" s="6">
        <f t="shared" si="0"/>
        <v>0</v>
      </c>
      <c r="BX20" s="6">
        <f t="shared" si="1"/>
        <v>0</v>
      </c>
      <c r="BY20" s="6"/>
    </row>
    <row r="21" spans="1:77" hidden="1">
      <c r="A21" s="100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/>
      <c r="BO21" s="6"/>
      <c r="BP21" s="6">
        <f t="shared" si="2"/>
        <v>0</v>
      </c>
      <c r="BQ21" s="6"/>
      <c r="BR21" s="6"/>
      <c r="BS21" s="6"/>
      <c r="BT21" s="6">
        <f t="shared" si="3"/>
        <v>0</v>
      </c>
      <c r="BV21" s="6">
        <f t="shared" si="0"/>
        <v>0</v>
      </c>
      <c r="BX21" s="6">
        <f t="shared" si="1"/>
        <v>0</v>
      </c>
      <c r="BY21" s="6"/>
    </row>
    <row r="22" spans="1:77" hidden="1">
      <c r="A22" s="100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v>0</v>
      </c>
      <c r="BO22" s="6"/>
      <c r="BP22" s="6">
        <f t="shared" si="2"/>
        <v>0</v>
      </c>
      <c r="BQ22" s="6"/>
      <c r="BR22" s="6">
        <v>0</v>
      </c>
      <c r="BS22" s="6"/>
      <c r="BT22" s="6">
        <f t="shared" si="3"/>
        <v>0</v>
      </c>
      <c r="BV22" s="6">
        <f t="shared" si="0"/>
        <v>0</v>
      </c>
      <c r="BX22" s="6">
        <f t="shared" si="1"/>
        <v>0</v>
      </c>
      <c r="BY22" s="6"/>
    </row>
    <row r="23" spans="1:77" hidden="1">
      <c r="A23" s="100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v>0</v>
      </c>
      <c r="BO23" s="6"/>
      <c r="BP23" s="6">
        <f t="shared" si="2"/>
        <v>0</v>
      </c>
      <c r="BQ23" s="6"/>
      <c r="BR23" s="6">
        <v>0</v>
      </c>
      <c r="BS23" s="6"/>
      <c r="BT23" s="6">
        <f t="shared" si="3"/>
        <v>0</v>
      </c>
      <c r="BV23" s="6">
        <f t="shared" si="0"/>
        <v>0</v>
      </c>
      <c r="BX23" s="6">
        <f t="shared" si="1"/>
        <v>0</v>
      </c>
      <c r="BY23" s="6"/>
    </row>
    <row r="24" spans="1:77" hidden="1">
      <c r="A24" s="100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v>0</v>
      </c>
      <c r="BO24" s="6"/>
      <c r="BP24" s="6">
        <f t="shared" si="2"/>
        <v>0</v>
      </c>
      <c r="BQ24" s="6"/>
      <c r="BR24" s="6">
        <v>0</v>
      </c>
      <c r="BS24" s="6"/>
      <c r="BT24" s="6">
        <f t="shared" si="3"/>
        <v>0</v>
      </c>
      <c r="BV24" s="6">
        <f t="shared" si="0"/>
        <v>0</v>
      </c>
      <c r="BX24" s="6">
        <f t="shared" si="1"/>
        <v>0</v>
      </c>
      <c r="BY24" s="6"/>
    </row>
    <row r="25" spans="1:77" hidden="1">
      <c r="A25" s="100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2"/>
        <v>0</v>
      </c>
      <c r="BQ25" s="6"/>
      <c r="BR25" s="6">
        <v>0</v>
      </c>
      <c r="BS25" s="6"/>
      <c r="BT25" s="6">
        <f t="shared" si="3"/>
        <v>0</v>
      </c>
      <c r="BV25" s="6">
        <f t="shared" si="0"/>
        <v>0</v>
      </c>
      <c r="BX25" s="6">
        <f t="shared" si="1"/>
        <v>0</v>
      </c>
      <c r="BY25" s="6"/>
    </row>
    <row r="26" spans="1:77" hidden="1">
      <c r="A26" s="100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2"/>
        <v>0</v>
      </c>
      <c r="BQ26" s="6"/>
      <c r="BR26" s="6">
        <v>0</v>
      </c>
      <c r="BS26" s="6"/>
      <c r="BT26" s="6">
        <f t="shared" si="3"/>
        <v>0</v>
      </c>
      <c r="BV26" s="6">
        <f t="shared" si="0"/>
        <v>0</v>
      </c>
      <c r="BX26" s="6">
        <f t="shared" si="1"/>
        <v>0</v>
      </c>
      <c r="BY26" s="6"/>
    </row>
    <row r="27" spans="1:77" hidden="1">
      <c r="A27" s="281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2"/>
        <v>0</v>
      </c>
      <c r="BQ27" s="6"/>
      <c r="BR27" s="6">
        <v>0</v>
      </c>
      <c r="BS27" s="6"/>
      <c r="BT27" s="6">
        <f t="shared" si="3"/>
        <v>0</v>
      </c>
      <c r="BV27" s="6">
        <f t="shared" si="0"/>
        <v>0</v>
      </c>
      <c r="BX27" s="6">
        <f t="shared" si="1"/>
        <v>0</v>
      </c>
      <c r="BY27" s="6"/>
    </row>
    <row r="28" spans="1:77" hidden="1">
      <c r="A28" s="281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2"/>
        <v>0</v>
      </c>
      <c r="BQ28" s="6"/>
      <c r="BR28" s="6">
        <v>0</v>
      </c>
      <c r="BS28" s="6"/>
      <c r="BT28" s="6">
        <f t="shared" si="3"/>
        <v>0</v>
      </c>
      <c r="BV28" s="6">
        <f t="shared" si="0"/>
        <v>0</v>
      </c>
      <c r="BX28" s="6">
        <f t="shared" si="1"/>
        <v>0</v>
      </c>
      <c r="BY28" s="6"/>
    </row>
    <row r="29" spans="1:77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12">
        <v>0</v>
      </c>
      <c r="BO29" s="12"/>
      <c r="BP29" s="6">
        <f t="shared" si="2"/>
        <v>0</v>
      </c>
      <c r="BQ29" s="12"/>
      <c r="BR29" s="12">
        <v>0</v>
      </c>
      <c r="BS29" s="12"/>
      <c r="BT29" s="6">
        <f t="shared" si="3"/>
        <v>0</v>
      </c>
      <c r="BU29" s="12"/>
      <c r="BV29" s="6">
        <f t="shared" si="0"/>
        <v>0</v>
      </c>
      <c r="BW29" s="12"/>
      <c r="BX29" s="6">
        <f t="shared" si="1"/>
        <v>0</v>
      </c>
      <c r="BY29" s="12"/>
    </row>
    <row r="30" spans="1:77">
      <c r="A30" s="100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12"/>
      <c r="BN30" s="12">
        <v>0</v>
      </c>
      <c r="BO30" s="12"/>
      <c r="BP30" s="6">
        <f t="shared" si="2"/>
        <v>0</v>
      </c>
      <c r="BQ30" s="6"/>
      <c r="BR30" s="12">
        <v>0</v>
      </c>
      <c r="BS30" s="6"/>
      <c r="BT30" s="6">
        <f t="shared" si="3"/>
        <v>0</v>
      </c>
      <c r="BV30" s="6">
        <f t="shared" si="0"/>
        <v>0</v>
      </c>
      <c r="BX30" s="6">
        <f t="shared" si="1"/>
        <v>0</v>
      </c>
      <c r="BY30" s="12"/>
    </row>
    <row r="31" spans="1:77">
      <c r="A31" s="100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6"/>
      <c r="BR31" s="12"/>
      <c r="BS31" s="6"/>
      <c r="BT31" s="6">
        <f t="shared" si="3"/>
        <v>0</v>
      </c>
      <c r="BV31" s="6">
        <f t="shared" si="0"/>
        <v>0</v>
      </c>
      <c r="BX31" s="6">
        <f t="shared" si="1"/>
        <v>0</v>
      </c>
      <c r="BY31" s="12"/>
    </row>
    <row r="32" spans="1:77">
      <c r="A32" s="100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101"/>
      <c r="BN32" s="101">
        <f>SUM(BN14:BN31)</f>
        <v>0</v>
      </c>
      <c r="BO32" s="101"/>
      <c r="BP32" s="101">
        <f>SUM(BP14:BP31)</f>
        <v>4656034.6000000006</v>
      </c>
      <c r="BQ32" s="6"/>
      <c r="BR32" s="101">
        <f>SUM(BR14:BR31)</f>
        <v>293980</v>
      </c>
      <c r="BS32" s="6"/>
      <c r="BT32" s="101">
        <f>SUM(BT14:BT31)</f>
        <v>134500</v>
      </c>
      <c r="BV32" s="101">
        <f>SUM(BV14:BV31)</f>
        <v>4790534.6000000006</v>
      </c>
      <c r="BX32" s="101">
        <f>SUM(BX14:BX31)</f>
        <v>-428480.60000000056</v>
      </c>
      <c r="BY32" s="12"/>
    </row>
    <row r="33" spans="1:77">
      <c r="A33" s="100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6"/>
      <c r="BR33" s="12"/>
      <c r="BS33" s="6"/>
      <c r="BT33" s="12"/>
      <c r="BV33" s="12"/>
      <c r="BX33" s="12"/>
      <c r="BY33" s="12"/>
    </row>
    <row r="34" spans="1:77" s="114" customFormat="1">
      <c r="A34" s="282"/>
      <c r="B34" s="113" t="s">
        <v>15</v>
      </c>
      <c r="J34" s="154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0</v>
      </c>
      <c r="BO34" s="115"/>
      <c r="BP34" s="115">
        <f>+BP32+BP12</f>
        <v>91044023.440000013</v>
      </c>
      <c r="BQ34" s="115"/>
      <c r="BR34" s="115">
        <f>+BR32+BR12</f>
        <v>1260469</v>
      </c>
      <c r="BS34" s="115"/>
      <c r="BT34" s="115">
        <f>+BT32+BT12</f>
        <v>634500.15999998152</v>
      </c>
      <c r="BU34" s="115"/>
      <c r="BV34" s="115">
        <f>+BV32+BV12</f>
        <v>91678523.599999994</v>
      </c>
      <c r="BW34" s="115"/>
      <c r="BX34" s="115">
        <f>+BX32+BX12</f>
        <v>-1394969.6000000006</v>
      </c>
      <c r="BY34" s="115"/>
    </row>
    <row r="35" spans="1:77">
      <c r="A35" s="100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N35" s="6"/>
      <c r="BO35" s="6"/>
      <c r="BQ35" s="6"/>
      <c r="BR35" s="6"/>
      <c r="BS35" s="6"/>
      <c r="BY35" s="6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N36" s="6"/>
      <c r="BO36" s="6"/>
      <c r="BQ36" s="6"/>
      <c r="BR36" s="6"/>
      <c r="BS36" s="6"/>
      <c r="BY36" s="6"/>
    </row>
    <row r="37" spans="1:77">
      <c r="A37" s="58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N37" s="6"/>
      <c r="BO37" s="6"/>
      <c r="BQ37" s="6"/>
      <c r="BR37" s="6"/>
      <c r="BS37" s="6"/>
      <c r="BY37" s="6"/>
    </row>
    <row r="38" spans="1:77">
      <c r="A38" s="100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N38" s="6">
        <v>0</v>
      </c>
      <c r="BO38" s="6"/>
      <c r="BQ38" s="6"/>
      <c r="BR38" s="6"/>
      <c r="BS38" s="6"/>
      <c r="BY38" s="6"/>
    </row>
    <row r="39" spans="1:77">
      <c r="A39" s="100"/>
      <c r="B39" s="228" t="s">
        <v>294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100"/>
      <c r="B40" s="229" t="s">
        <v>292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1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/>
      <c r="BO40" s="6"/>
      <c r="BP40" s="6">
        <f t="shared" ref="BP40:BP47" si="5">SUM(T40:BO40)</f>
        <v>434961</v>
      </c>
      <c r="BQ40" s="6"/>
      <c r="BR40" s="6">
        <f>1164271-1132835</f>
        <v>31436</v>
      </c>
      <c r="BS40" s="6"/>
      <c r="BT40" s="6">
        <f t="shared" ref="BT40:BT47" si="6">IF(+R40-BP40+BR40&gt;0,R40-BP40+BR40,0)</f>
        <v>729329</v>
      </c>
      <c r="BV40" s="6">
        <f t="shared" ref="BV40:BV47" si="7">+BP40+BT40</f>
        <v>1164290</v>
      </c>
      <c r="BX40" s="6">
        <f t="shared" ref="BX40:BX46" si="8">+R40-BV40</f>
        <v>-31436</v>
      </c>
      <c r="BY40" s="6"/>
    </row>
    <row r="41" spans="1:77">
      <c r="A41" s="100"/>
      <c r="B41" s="229" t="s">
        <v>381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1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/>
      <c r="BO41" s="6"/>
      <c r="BP41" s="6">
        <f t="shared" si="5"/>
        <v>717041</v>
      </c>
      <c r="BQ41" s="6"/>
      <c r="BR41" s="6">
        <f>2003210-1580972</f>
        <v>422238</v>
      </c>
      <c r="BS41" s="6"/>
      <c r="BT41" s="6">
        <f t="shared" si="6"/>
        <v>1286169</v>
      </c>
      <c r="BV41" s="6">
        <f t="shared" si="7"/>
        <v>2003210</v>
      </c>
      <c r="BX41" s="6">
        <f t="shared" si="8"/>
        <v>-422238</v>
      </c>
      <c r="BY41" s="6"/>
    </row>
    <row r="42" spans="1:77">
      <c r="A42" s="100"/>
      <c r="B42" s="229" t="s">
        <v>382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1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/>
      <c r="BO42" s="6"/>
      <c r="BP42" s="6">
        <f t="shared" si="5"/>
        <v>3988889</v>
      </c>
      <c r="BQ42" s="6"/>
      <c r="BR42" s="6">
        <f>9627760-8636947</f>
        <v>990813</v>
      </c>
      <c r="BS42" s="6"/>
      <c r="BT42" s="6">
        <f t="shared" si="6"/>
        <v>5638872</v>
      </c>
      <c r="BV42" s="6">
        <f t="shared" si="7"/>
        <v>9627761</v>
      </c>
      <c r="BX42" s="6">
        <f t="shared" si="8"/>
        <v>-990813</v>
      </c>
      <c r="BY42" s="6"/>
    </row>
    <row r="43" spans="1:77">
      <c r="A43" s="100"/>
      <c r="B43" s="229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1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v>0</v>
      </c>
      <c r="BO43" s="6"/>
      <c r="BP43" s="6">
        <f t="shared" si="5"/>
        <v>421749</v>
      </c>
      <c r="BQ43" s="6"/>
      <c r="BR43" s="6">
        <f>465690-384721</f>
        <v>80969</v>
      </c>
      <c r="BS43" s="6"/>
      <c r="BT43" s="6">
        <f t="shared" si="6"/>
        <v>43941</v>
      </c>
      <c r="BV43" s="6">
        <f t="shared" si="7"/>
        <v>465690</v>
      </c>
      <c r="BX43" s="6">
        <f t="shared" si="8"/>
        <v>-80969</v>
      </c>
      <c r="BY43" s="6"/>
    </row>
    <row r="44" spans="1:77">
      <c r="A44" s="100"/>
      <c r="B44" s="229" t="s">
        <v>363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1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v>0</v>
      </c>
      <c r="BO44" s="6"/>
      <c r="BP44" s="6">
        <f t="shared" si="5"/>
        <v>33294</v>
      </c>
      <c r="BQ44" s="6"/>
      <c r="BR44" s="6">
        <v>0</v>
      </c>
      <c r="BS44" s="6"/>
      <c r="BT44" s="6">
        <f t="shared" si="6"/>
        <v>116706</v>
      </c>
      <c r="BV44" s="6">
        <f t="shared" si="7"/>
        <v>150000</v>
      </c>
      <c r="BX44" s="6">
        <f t="shared" si="8"/>
        <v>0</v>
      </c>
      <c r="BY44" s="6"/>
    </row>
    <row r="45" spans="1:77">
      <c r="A45" s="100"/>
      <c r="B45" s="229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1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v>0</v>
      </c>
      <c r="BO45" s="6"/>
      <c r="BP45" s="6">
        <f t="shared" si="5"/>
        <v>0</v>
      </c>
      <c r="BQ45" s="6"/>
      <c r="BR45" s="6">
        <v>-547484</v>
      </c>
      <c r="BS45" s="6"/>
      <c r="BT45" s="6">
        <f t="shared" si="6"/>
        <v>0</v>
      </c>
      <c r="BV45" s="6">
        <f t="shared" si="7"/>
        <v>0</v>
      </c>
      <c r="BX45" s="6">
        <f t="shared" si="8"/>
        <v>547484</v>
      </c>
      <c r="BY45" s="6"/>
    </row>
    <row r="46" spans="1:77">
      <c r="A46" s="100"/>
      <c r="B46" s="229" t="s">
        <v>293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v>0</v>
      </c>
      <c r="BO46" s="6"/>
      <c r="BP46" s="6">
        <f t="shared" si="5"/>
        <v>0</v>
      </c>
      <c r="BQ46" s="6"/>
      <c r="BR46" s="6">
        <v>-485</v>
      </c>
      <c r="BS46" s="6"/>
      <c r="BT46" s="6">
        <f t="shared" si="6"/>
        <v>0</v>
      </c>
      <c r="BV46" s="6">
        <f t="shared" si="7"/>
        <v>0</v>
      </c>
      <c r="BX46" s="6">
        <f t="shared" si="8"/>
        <v>-231</v>
      </c>
      <c r="BY46" s="6"/>
    </row>
    <row r="47" spans="1:77">
      <c r="A47" s="100"/>
      <c r="B47" s="229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v>0</v>
      </c>
      <c r="BO47" s="6"/>
      <c r="BP47" s="6">
        <f t="shared" si="5"/>
        <v>0</v>
      </c>
      <c r="BQ47" s="6"/>
      <c r="BR47" s="6">
        <v>0</v>
      </c>
      <c r="BS47" s="6"/>
      <c r="BT47" s="6">
        <f t="shared" si="6"/>
        <v>0</v>
      </c>
      <c r="BV47" s="6">
        <f t="shared" si="7"/>
        <v>0</v>
      </c>
      <c r="BY47" s="6"/>
    </row>
    <row r="48" spans="1:77" s="21" customFormat="1">
      <c r="A48" s="283"/>
      <c r="B48" s="232" t="s">
        <v>295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/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X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/>
      <c r="BN48" s="9">
        <f>SUM(BN40:BN47)</f>
        <v>0</v>
      </c>
      <c r="BO48" s="9"/>
      <c r="BP48" s="9">
        <f t="shared" si="10"/>
        <v>5595934</v>
      </c>
      <c r="BQ48" s="9">
        <f t="shared" si="10"/>
        <v>0</v>
      </c>
      <c r="BR48" s="9">
        <f t="shared" si="10"/>
        <v>977487</v>
      </c>
      <c r="BS48" s="9">
        <f t="shared" si="10"/>
        <v>0</v>
      </c>
      <c r="BT48" s="9">
        <f t="shared" si="10"/>
        <v>7815017</v>
      </c>
      <c r="BU48" s="9">
        <f t="shared" si="10"/>
        <v>0</v>
      </c>
      <c r="BV48" s="9">
        <f t="shared" si="10"/>
        <v>13410951</v>
      </c>
      <c r="BW48" s="9">
        <f t="shared" si="10"/>
        <v>0</v>
      </c>
      <c r="BX48" s="9">
        <f t="shared" si="10"/>
        <v>-978203</v>
      </c>
      <c r="BY48" s="9"/>
    </row>
    <row r="49" spans="1:77">
      <c r="A49" s="100"/>
      <c r="B49" s="230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N49" s="6"/>
      <c r="BO49" s="6"/>
      <c r="BQ49" s="6"/>
      <c r="BR49" s="6"/>
      <c r="BS49" s="6"/>
      <c r="BY49" s="6"/>
    </row>
    <row r="50" spans="1:77">
      <c r="B50" s="21" t="s">
        <v>296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/>
      <c r="BO50" s="6"/>
      <c r="BP50" s="6">
        <f>SUM(T50:BL50)</f>
        <v>0</v>
      </c>
      <c r="BQ50" s="6"/>
      <c r="BR50" s="6"/>
      <c r="BS50" s="6"/>
      <c r="BY50" s="6"/>
    </row>
    <row r="51" spans="1:77">
      <c r="A51" s="30"/>
      <c r="B51" s="229" t="s">
        <v>383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1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/>
      <c r="BO51" s="6"/>
      <c r="BP51" s="6">
        <f>SUM(T51:BO51)</f>
        <v>124742</v>
      </c>
      <c r="BQ51" s="6"/>
      <c r="BR51" s="6"/>
      <c r="BS51" s="6"/>
      <c r="BT51" s="6">
        <f>IF(+R51-BP51+BR51&gt;0,R51-BP51+BR51,0)</f>
        <v>212418</v>
      </c>
      <c r="BV51" s="6">
        <f>+BP51+BT51</f>
        <v>337160</v>
      </c>
      <c r="BX51" s="6">
        <f>+R51-BV51</f>
        <v>0</v>
      </c>
      <c r="BY51" s="6"/>
    </row>
    <row r="52" spans="1:77">
      <c r="A52" s="30"/>
      <c r="B52" s="229" t="s">
        <v>384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1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/>
      <c r="BO52" s="6"/>
      <c r="BP52" s="6">
        <f>SUM(T52:BO52)</f>
        <v>1125407</v>
      </c>
      <c r="BQ52" s="6"/>
      <c r="BR52" s="6">
        <f>3268613-3526570</f>
        <v>-257957</v>
      </c>
      <c r="BS52" s="6"/>
      <c r="BT52" s="6">
        <f>IF(+R52-BP52+BR52&gt;0,R52-BP52+BR52,0)</f>
        <v>2143206</v>
      </c>
      <c r="BV52" s="6">
        <f>+BP52+BT52</f>
        <v>3268613</v>
      </c>
      <c r="BX52" s="6">
        <f>+R52-BV52</f>
        <v>257957</v>
      </c>
      <c r="BY52" s="6"/>
    </row>
    <row r="53" spans="1:77">
      <c r="A53" s="30"/>
      <c r="B53" s="229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1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/>
      <c r="BO53" s="6"/>
      <c r="BP53" s="6">
        <f>SUM(T53:BO53)</f>
        <v>7369</v>
      </c>
      <c r="BQ53" s="6"/>
      <c r="BR53" s="6">
        <f>877394-967394</f>
        <v>-90000</v>
      </c>
      <c r="BS53" s="6"/>
      <c r="BT53" s="6">
        <f>IF(+R53-BP53+BR53&gt;0,R53-BP53+BR53,0)</f>
        <v>870025</v>
      </c>
      <c r="BV53" s="6">
        <f>+BP53+BT53</f>
        <v>877394</v>
      </c>
      <c r="BX53" s="6">
        <f>+R53-BV53</f>
        <v>90000</v>
      </c>
      <c r="BY53" s="6"/>
    </row>
    <row r="54" spans="1:77">
      <c r="A54" s="30"/>
      <c r="B54" s="229" t="s">
        <v>385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1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/>
      <c r="BO54" s="6"/>
      <c r="BP54" s="6">
        <f>SUM(T54:BO54)</f>
        <v>4953</v>
      </c>
      <c r="BQ54" s="6"/>
      <c r="BR54" s="6">
        <f>466609-577625</f>
        <v>-111016</v>
      </c>
      <c r="BS54" s="6"/>
      <c r="BT54" s="6">
        <f>IF(+R54-BP54+BR54&gt;0,R54-BP54+BR54,0)</f>
        <v>461656</v>
      </c>
      <c r="BV54" s="6">
        <f>+BP54+BT54</f>
        <v>466609</v>
      </c>
      <c r="BX54" s="6">
        <f>+R54-BV54</f>
        <v>111016</v>
      </c>
      <c r="BY54" s="6"/>
    </row>
    <row r="55" spans="1:77" s="21" customFormat="1">
      <c r="A55" s="31"/>
      <c r="B55" s="232" t="s">
        <v>297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/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X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/>
      <c r="BN55" s="9">
        <f>SUM(BN51:BN54)</f>
        <v>0</v>
      </c>
      <c r="BO55" s="9"/>
      <c r="BP55" s="9">
        <f t="shared" si="12"/>
        <v>1262471</v>
      </c>
      <c r="BQ55" s="9">
        <f t="shared" si="12"/>
        <v>0</v>
      </c>
      <c r="BR55" s="9">
        <f t="shared" si="12"/>
        <v>-458973</v>
      </c>
      <c r="BS55" s="9">
        <f t="shared" si="12"/>
        <v>0</v>
      </c>
      <c r="BT55" s="9">
        <f t="shared" si="12"/>
        <v>3687305</v>
      </c>
      <c r="BU55" s="9">
        <f t="shared" si="12"/>
        <v>0</v>
      </c>
      <c r="BV55" s="9">
        <f t="shared" si="12"/>
        <v>4949776</v>
      </c>
      <c r="BW55" s="9">
        <f t="shared" si="12"/>
        <v>0</v>
      </c>
      <c r="BX55" s="9">
        <f t="shared" si="12"/>
        <v>458973</v>
      </c>
      <c r="BY55" s="9"/>
    </row>
    <row r="56" spans="1:77" s="21" customFormat="1">
      <c r="A56" s="31"/>
      <c r="B56" s="232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</row>
    <row r="57" spans="1:77" s="21" customFormat="1">
      <c r="A57" s="31"/>
      <c r="B57" s="233" t="s">
        <v>309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 spans="1:77" s="21" customFormat="1">
      <c r="A58" s="31"/>
      <c r="B58" s="234" t="s">
        <v>298</v>
      </c>
      <c r="J58" s="8"/>
      <c r="L58" s="141"/>
      <c r="M58" s="9"/>
      <c r="N58" s="9"/>
      <c r="O58" s="9"/>
      <c r="P58" s="9"/>
      <c r="Q58" s="9"/>
      <c r="R58" s="231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6">
        <f t="shared" ref="BP58:BP78" si="13">SUM(T58:BO58)</f>
        <v>708372</v>
      </c>
      <c r="BQ58" s="9"/>
      <c r="BR58" s="6">
        <f>431043+930942-1021325</f>
        <v>340660</v>
      </c>
      <c r="BS58" s="9"/>
      <c r="BT58" s="6">
        <f t="shared" ref="BT58:BT78" si="14">IF(+R58-BP58+BR58&gt;0,R58-BP58+BR58,0)</f>
        <v>653613</v>
      </c>
      <c r="BU58" s="6"/>
      <c r="BV58" s="6">
        <f t="shared" ref="BV58:BV78" si="15">+BP58+BT58</f>
        <v>1361985</v>
      </c>
      <c r="BW58" s="6"/>
      <c r="BX58" s="6">
        <f t="shared" ref="BX58:BX78" si="16">+R58-BV58</f>
        <v>-340660</v>
      </c>
      <c r="BY58" s="9"/>
    </row>
    <row r="59" spans="1:77" s="21" customFormat="1">
      <c r="A59" s="31"/>
      <c r="B59" s="234" t="s">
        <v>364</v>
      </c>
      <c r="J59" s="8"/>
      <c r="L59" s="141"/>
      <c r="M59" s="9"/>
      <c r="N59" s="9"/>
      <c r="O59" s="9"/>
      <c r="P59" s="9"/>
      <c r="Q59" s="9"/>
      <c r="R59" s="231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6">
        <f t="shared" si="13"/>
        <v>56319</v>
      </c>
      <c r="BQ59" s="6">
        <f>SUM(U59:BP59)</f>
        <v>112638</v>
      </c>
      <c r="BR59" s="6">
        <v>2535</v>
      </c>
      <c r="BS59" s="6">
        <f>SUM(W59:BR59)</f>
        <v>227811</v>
      </c>
      <c r="BT59" s="6">
        <f t="shared" si="14"/>
        <v>0</v>
      </c>
      <c r="BU59" s="6">
        <f>SUM(Y59:BT59)</f>
        <v>455622</v>
      </c>
      <c r="BV59" s="6">
        <f t="shared" si="15"/>
        <v>56319</v>
      </c>
      <c r="BW59" s="6">
        <f>SUM(AA59:BV59)</f>
        <v>967563</v>
      </c>
      <c r="BX59" s="6">
        <f t="shared" si="16"/>
        <v>-56319</v>
      </c>
      <c r="BY59" s="9"/>
    </row>
    <row r="60" spans="1:77" s="21" customFormat="1">
      <c r="A60" s="31"/>
      <c r="B60" s="234" t="s">
        <v>386</v>
      </c>
      <c r="J60" s="8"/>
      <c r="L60" s="141"/>
      <c r="M60" s="9"/>
      <c r="N60" s="9"/>
      <c r="O60" s="9"/>
      <c r="P60" s="9"/>
      <c r="Q60" s="9"/>
      <c r="R60" s="231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6">
        <f t="shared" si="13"/>
        <v>518815</v>
      </c>
      <c r="BQ60" s="6">
        <f>SUM(U60:BP60)</f>
        <v>1037630</v>
      </c>
      <c r="BR60" s="6">
        <f>763505-520119</f>
        <v>243386</v>
      </c>
      <c r="BS60" s="6">
        <f>SUM(W60:BR60)</f>
        <v>2318646</v>
      </c>
      <c r="BT60" s="6">
        <f t="shared" si="14"/>
        <v>244690</v>
      </c>
      <c r="BU60" s="6">
        <f>SUM(Y60:BT60)</f>
        <v>4881982</v>
      </c>
      <c r="BV60" s="6">
        <f t="shared" si="15"/>
        <v>763505</v>
      </c>
      <c r="BW60" s="6">
        <f>SUM(AA60:BV60)</f>
        <v>10527469</v>
      </c>
      <c r="BX60" s="6">
        <f t="shared" si="16"/>
        <v>-243386</v>
      </c>
      <c r="BY60" s="9"/>
    </row>
    <row r="61" spans="1:77" s="21" customFormat="1">
      <c r="A61" s="31"/>
      <c r="B61" s="234" t="s">
        <v>299</v>
      </c>
      <c r="J61" s="8"/>
      <c r="L61" s="141"/>
      <c r="M61" s="9"/>
      <c r="N61" s="9"/>
      <c r="O61" s="9"/>
      <c r="P61" s="9"/>
      <c r="Q61" s="9"/>
      <c r="R61" s="231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6">
        <f t="shared" si="13"/>
        <v>146856</v>
      </c>
      <c r="BQ61" s="9"/>
      <c r="BR61" s="9"/>
      <c r="BS61" s="9"/>
      <c r="BT61" s="6">
        <f t="shared" si="14"/>
        <v>228272</v>
      </c>
      <c r="BU61" s="6"/>
      <c r="BV61" s="6">
        <f t="shared" si="15"/>
        <v>375128</v>
      </c>
      <c r="BW61" s="6"/>
      <c r="BX61" s="6">
        <f t="shared" si="16"/>
        <v>0</v>
      </c>
      <c r="BY61" s="9"/>
    </row>
    <row r="62" spans="1:77" s="21" customFormat="1">
      <c r="A62" s="31"/>
      <c r="B62" s="234" t="s">
        <v>387</v>
      </c>
      <c r="J62" s="8"/>
      <c r="L62" s="141"/>
      <c r="M62" s="9"/>
      <c r="N62" s="9"/>
      <c r="O62" s="9"/>
      <c r="P62" s="9"/>
      <c r="Q62" s="9"/>
      <c r="R62" s="231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6">
        <f t="shared" si="13"/>
        <v>362820</v>
      </c>
      <c r="BQ62" s="9"/>
      <c r="BR62" s="6">
        <f>678416-460629</f>
        <v>217787</v>
      </c>
      <c r="BS62" s="9"/>
      <c r="BT62" s="6">
        <f t="shared" si="14"/>
        <v>315596</v>
      </c>
      <c r="BU62" s="6"/>
      <c r="BV62" s="6">
        <f t="shared" si="15"/>
        <v>678416</v>
      </c>
      <c r="BW62" s="6"/>
      <c r="BX62" s="6">
        <f t="shared" si="16"/>
        <v>-217787</v>
      </c>
      <c r="BY62" s="9"/>
    </row>
    <row r="63" spans="1:77" s="21" customFormat="1">
      <c r="A63" s="31"/>
      <c r="B63" s="234" t="s">
        <v>300</v>
      </c>
      <c r="J63" s="8"/>
      <c r="L63" s="141"/>
      <c r="M63" s="9"/>
      <c r="N63" s="9"/>
      <c r="O63" s="9"/>
      <c r="P63" s="9"/>
      <c r="Q63" s="9"/>
      <c r="R63" s="231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6">
        <f t="shared" si="13"/>
        <v>123436</v>
      </c>
      <c r="BQ63" s="9"/>
      <c r="BR63" s="9"/>
      <c r="BS63" s="9"/>
      <c r="BT63" s="6">
        <f t="shared" si="14"/>
        <v>69714</v>
      </c>
      <c r="BU63" s="6"/>
      <c r="BV63" s="6">
        <f t="shared" si="15"/>
        <v>193150</v>
      </c>
      <c r="BW63" s="6"/>
      <c r="BX63" s="6">
        <f t="shared" si="16"/>
        <v>0</v>
      </c>
      <c r="BY63" s="9"/>
    </row>
    <row r="64" spans="1:77" s="21" customFormat="1">
      <c r="A64" s="31"/>
      <c r="B64" s="234" t="s">
        <v>393</v>
      </c>
      <c r="J64" s="8"/>
      <c r="L64" s="141"/>
      <c r="M64" s="9"/>
      <c r="N64" s="9"/>
      <c r="O64" s="9"/>
      <c r="P64" s="9"/>
      <c r="Q64" s="9"/>
      <c r="R64" s="231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6">
        <f t="shared" si="13"/>
        <v>796722</v>
      </c>
      <c r="BQ64" s="9"/>
      <c r="BR64" s="6">
        <f>1395362-896017</f>
        <v>499345</v>
      </c>
      <c r="BS64" s="9"/>
      <c r="BT64" s="6">
        <f t="shared" si="14"/>
        <v>598640</v>
      </c>
      <c r="BU64" s="6"/>
      <c r="BV64" s="6">
        <f t="shared" si="15"/>
        <v>1395362</v>
      </c>
      <c r="BW64" s="6"/>
      <c r="BX64" s="6">
        <f t="shared" si="16"/>
        <v>-499345</v>
      </c>
      <c r="BY64" s="9"/>
    </row>
    <row r="65" spans="1:79" s="21" customFormat="1">
      <c r="A65" s="31"/>
      <c r="B65" s="234" t="s">
        <v>301</v>
      </c>
      <c r="J65" s="8"/>
      <c r="L65" s="141"/>
      <c r="M65" s="9"/>
      <c r="N65" s="9"/>
      <c r="O65" s="9"/>
      <c r="P65" s="9"/>
      <c r="Q65" s="9"/>
      <c r="R65" s="231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6">
        <f t="shared" si="13"/>
        <v>520612</v>
      </c>
      <c r="BQ65" s="9"/>
      <c r="BR65" s="9"/>
      <c r="BS65" s="9"/>
      <c r="BT65" s="6">
        <f t="shared" si="14"/>
        <v>144254</v>
      </c>
      <c r="BU65" s="6"/>
      <c r="BV65" s="6">
        <f t="shared" si="15"/>
        <v>664866</v>
      </c>
      <c r="BW65" s="6"/>
      <c r="BX65" s="6">
        <f t="shared" si="16"/>
        <v>0</v>
      </c>
      <c r="BY65" s="9"/>
    </row>
    <row r="66" spans="1:79" s="21" customFormat="1">
      <c r="A66" s="31"/>
      <c r="B66" s="234" t="s">
        <v>398</v>
      </c>
      <c r="J66" s="8"/>
      <c r="L66" s="141"/>
      <c r="M66" s="9"/>
      <c r="N66" s="9"/>
      <c r="O66" s="9"/>
      <c r="P66" s="9"/>
      <c r="Q66" s="9"/>
      <c r="R66" s="231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6">
        <f t="shared" si="13"/>
        <v>10758</v>
      </c>
      <c r="BQ66" s="6">
        <f>SUM(U66:BP66)</f>
        <v>21516</v>
      </c>
      <c r="BR66" s="6">
        <f>148255-94449</f>
        <v>53806</v>
      </c>
      <c r="BS66" s="6">
        <f>SUM(W66:BR66)</f>
        <v>96838</v>
      </c>
      <c r="BT66" s="6">
        <f t="shared" si="14"/>
        <v>137497</v>
      </c>
      <c r="BU66" s="6">
        <f>SUM(Y66:BT66)</f>
        <v>331173</v>
      </c>
      <c r="BV66" s="6">
        <f t="shared" si="15"/>
        <v>148255</v>
      </c>
      <c r="BW66" s="6">
        <f>SUM(AA66:BV66)</f>
        <v>810601</v>
      </c>
      <c r="BX66" s="6">
        <f t="shared" si="16"/>
        <v>-53806</v>
      </c>
      <c r="BY66" s="6">
        <f>SUM(AC66:BX66)</f>
        <v>1567396</v>
      </c>
      <c r="BZ66" s="6">
        <f>SUM(AD66:BY66)</f>
        <v>3134792</v>
      </c>
      <c r="CA66" s="6">
        <f>SUM(AE66:BZ66)</f>
        <v>6269584</v>
      </c>
    </row>
    <row r="67" spans="1:79" s="21" customFormat="1">
      <c r="A67" s="31"/>
      <c r="B67" s="234" t="s">
        <v>392</v>
      </c>
      <c r="J67" s="8"/>
      <c r="L67" s="141"/>
      <c r="M67" s="9"/>
      <c r="N67" s="9"/>
      <c r="O67" s="9"/>
      <c r="P67" s="9"/>
      <c r="Q67" s="9"/>
      <c r="R67" s="231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6">
        <f t="shared" si="13"/>
        <v>7700</v>
      </c>
      <c r="BQ67" s="9"/>
      <c r="BR67" s="9"/>
      <c r="BS67" s="9"/>
      <c r="BT67" s="6">
        <f t="shared" si="14"/>
        <v>39181</v>
      </c>
      <c r="BU67" s="6"/>
      <c r="BV67" s="6">
        <f t="shared" si="15"/>
        <v>46881</v>
      </c>
      <c r="BW67" s="6"/>
      <c r="BX67" s="6">
        <f t="shared" si="16"/>
        <v>0</v>
      </c>
      <c r="BY67" s="9"/>
    </row>
    <row r="68" spans="1:79" s="21" customFormat="1">
      <c r="A68" s="31"/>
      <c r="B68" s="234" t="s">
        <v>302</v>
      </c>
      <c r="J68" s="8"/>
      <c r="L68" s="141"/>
      <c r="M68" s="9"/>
      <c r="N68" s="9"/>
      <c r="O68" s="9"/>
      <c r="P68" s="9"/>
      <c r="Q68" s="9"/>
      <c r="R68" s="231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6">
        <f t="shared" si="13"/>
        <v>2197</v>
      </c>
      <c r="BQ68" s="9"/>
      <c r="BR68" s="6">
        <f>41160-26528</f>
        <v>14632</v>
      </c>
      <c r="BS68" s="9"/>
      <c r="BT68" s="6">
        <f t="shared" si="14"/>
        <v>38963</v>
      </c>
      <c r="BU68" s="6"/>
      <c r="BV68" s="6">
        <f t="shared" si="15"/>
        <v>41160</v>
      </c>
      <c r="BW68" s="6"/>
      <c r="BX68" s="6">
        <f t="shared" si="16"/>
        <v>-14632</v>
      </c>
      <c r="BY68" s="9"/>
    </row>
    <row r="69" spans="1:79" s="21" customFormat="1">
      <c r="A69" s="31"/>
      <c r="B69" s="234" t="s">
        <v>303</v>
      </c>
      <c r="J69" s="8"/>
      <c r="L69" s="141"/>
      <c r="M69" s="9"/>
      <c r="N69" s="9"/>
      <c r="O69" s="9"/>
      <c r="P69" s="9"/>
      <c r="Q69" s="9"/>
      <c r="R69" s="231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6">
        <f t="shared" si="13"/>
        <v>41858</v>
      </c>
      <c r="BQ69" s="9"/>
      <c r="BR69" s="9"/>
      <c r="BS69" s="9"/>
      <c r="BT69" s="6">
        <f t="shared" si="14"/>
        <v>52842</v>
      </c>
      <c r="BU69" s="6"/>
      <c r="BV69" s="6">
        <f t="shared" si="15"/>
        <v>94700</v>
      </c>
      <c r="BW69" s="6"/>
      <c r="BX69" s="6">
        <f t="shared" si="16"/>
        <v>0</v>
      </c>
      <c r="BY69" s="9"/>
    </row>
    <row r="70" spans="1:79" s="21" customFormat="1">
      <c r="A70" s="31"/>
      <c r="B70" s="234" t="s">
        <v>304</v>
      </c>
      <c r="J70" s="8"/>
      <c r="L70" s="141"/>
      <c r="M70" s="9"/>
      <c r="N70" s="9"/>
      <c r="O70" s="9"/>
      <c r="P70" s="9"/>
      <c r="Q70" s="9"/>
      <c r="R70" s="231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6">
        <f t="shared" si="13"/>
        <v>6824</v>
      </c>
      <c r="BQ70" s="9"/>
      <c r="BR70" s="9">
        <v>0</v>
      </c>
      <c r="BS70" s="9"/>
      <c r="BT70" s="6">
        <f t="shared" si="14"/>
        <v>64104</v>
      </c>
      <c r="BU70" s="6"/>
      <c r="BV70" s="6">
        <f t="shared" si="15"/>
        <v>70928</v>
      </c>
      <c r="BW70" s="6"/>
      <c r="BX70" s="6">
        <f t="shared" si="16"/>
        <v>0</v>
      </c>
      <c r="BY70" s="9"/>
    </row>
    <row r="71" spans="1:79" s="21" customFormat="1">
      <c r="A71" s="31"/>
      <c r="B71" s="234" t="s">
        <v>305</v>
      </c>
      <c r="J71" s="8"/>
      <c r="L71" s="141"/>
      <c r="M71" s="9"/>
      <c r="N71" s="9"/>
      <c r="O71" s="9"/>
      <c r="P71" s="9"/>
      <c r="Q71" s="9"/>
      <c r="R71" s="231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6">
        <f t="shared" si="13"/>
        <v>130320</v>
      </c>
      <c r="BQ71" s="9"/>
      <c r="BR71" s="9"/>
      <c r="BS71" s="9"/>
      <c r="BT71" s="6">
        <f t="shared" si="14"/>
        <v>494898</v>
      </c>
      <c r="BU71" s="6"/>
      <c r="BV71" s="6">
        <f t="shared" si="15"/>
        <v>625218</v>
      </c>
      <c r="BW71" s="6"/>
      <c r="BX71" s="6">
        <f t="shared" si="16"/>
        <v>0</v>
      </c>
      <c r="BY71" s="9"/>
    </row>
    <row r="72" spans="1:79" s="21" customFormat="1">
      <c r="A72" s="31"/>
      <c r="B72" s="234" t="s">
        <v>390</v>
      </c>
      <c r="J72" s="8"/>
      <c r="L72" s="141"/>
      <c r="M72" s="9"/>
      <c r="N72" s="9"/>
      <c r="O72" s="9"/>
      <c r="P72" s="9"/>
      <c r="Q72" s="9"/>
      <c r="R72" s="231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6">
        <f t="shared" si="13"/>
        <v>4374</v>
      </c>
      <c r="BQ72" s="9"/>
      <c r="BR72" s="6">
        <f>521832-351660</f>
        <v>170172</v>
      </c>
      <c r="BS72" s="9"/>
      <c r="BT72" s="6">
        <f t="shared" si="14"/>
        <v>517458</v>
      </c>
      <c r="BU72" s="6"/>
      <c r="BV72" s="6">
        <f t="shared" si="15"/>
        <v>521832</v>
      </c>
      <c r="BW72" s="6"/>
      <c r="BX72" s="6">
        <f t="shared" si="16"/>
        <v>-170172</v>
      </c>
      <c r="BY72" s="9"/>
    </row>
    <row r="73" spans="1:79" s="21" customFormat="1">
      <c r="A73" s="31"/>
      <c r="B73" s="234" t="s">
        <v>391</v>
      </c>
      <c r="J73" s="8"/>
      <c r="L73" s="141"/>
      <c r="M73" s="9"/>
      <c r="N73" s="9"/>
      <c r="O73" s="9"/>
      <c r="P73" s="9"/>
      <c r="Q73" s="9"/>
      <c r="R73" s="231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6">
        <f t="shared" si="13"/>
        <v>48259</v>
      </c>
      <c r="BQ73" s="9"/>
      <c r="BR73" s="6">
        <f>2693778-1672316</f>
        <v>1021462</v>
      </c>
      <c r="BS73" s="9"/>
      <c r="BT73" s="6">
        <f t="shared" si="14"/>
        <v>2645519</v>
      </c>
      <c r="BU73" s="6"/>
      <c r="BV73" s="6">
        <f t="shared" si="15"/>
        <v>2693778</v>
      </c>
      <c r="BW73" s="6"/>
      <c r="BX73" s="6">
        <f t="shared" si="16"/>
        <v>-1021462</v>
      </c>
      <c r="BY73" s="9"/>
    </row>
    <row r="74" spans="1:79" s="21" customFormat="1">
      <c r="A74" s="31"/>
      <c r="B74" s="234" t="s">
        <v>396</v>
      </c>
      <c r="J74" s="8"/>
      <c r="L74" s="141"/>
      <c r="M74" s="9"/>
      <c r="N74" s="9"/>
      <c r="O74" s="9"/>
      <c r="P74" s="9"/>
      <c r="Q74" s="9"/>
      <c r="R74" s="231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6">
        <f t="shared" si="13"/>
        <v>15157</v>
      </c>
      <c r="BQ74" s="9"/>
      <c r="BR74" s="6">
        <f>510525-373497</f>
        <v>137028</v>
      </c>
      <c r="BS74" s="9"/>
      <c r="BT74" s="6">
        <f t="shared" si="14"/>
        <v>495368</v>
      </c>
      <c r="BU74" s="6"/>
      <c r="BV74" s="6">
        <f t="shared" si="15"/>
        <v>510525</v>
      </c>
      <c r="BW74" s="6"/>
      <c r="BX74" s="6">
        <f t="shared" si="16"/>
        <v>-137028</v>
      </c>
      <c r="BY74" s="9"/>
    </row>
    <row r="75" spans="1:79" s="21" customFormat="1">
      <c r="A75" s="31"/>
      <c r="B75" s="234" t="s">
        <v>307</v>
      </c>
      <c r="J75" s="8"/>
      <c r="L75" s="141"/>
      <c r="M75" s="9"/>
      <c r="N75" s="9"/>
      <c r="O75" s="9"/>
      <c r="P75" s="9"/>
      <c r="Q75" s="9"/>
      <c r="R75" s="231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6">
        <f t="shared" si="13"/>
        <v>0</v>
      </c>
      <c r="BQ75" s="9"/>
      <c r="BR75" s="9"/>
      <c r="BS75" s="9"/>
      <c r="BT75" s="6">
        <f t="shared" si="14"/>
        <v>587792</v>
      </c>
      <c r="BU75" s="6"/>
      <c r="BV75" s="6">
        <f t="shared" si="15"/>
        <v>587792</v>
      </c>
      <c r="BW75" s="6"/>
      <c r="BX75" s="6">
        <f t="shared" si="16"/>
        <v>0</v>
      </c>
      <c r="BY75" s="9"/>
    </row>
    <row r="76" spans="1:79" s="21" customFormat="1">
      <c r="A76" s="31"/>
      <c r="B76" s="234" t="s">
        <v>395</v>
      </c>
      <c r="J76" s="8"/>
      <c r="L76" s="141"/>
      <c r="M76" s="9"/>
      <c r="N76" s="9"/>
      <c r="O76" s="9"/>
      <c r="P76" s="9"/>
      <c r="Q76" s="9"/>
      <c r="R76" s="231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6">
        <f t="shared" si="13"/>
        <v>519279</v>
      </c>
      <c r="BQ76" s="9"/>
      <c r="BR76" s="6">
        <f>4266355-3449390</f>
        <v>816965</v>
      </c>
      <c r="BS76" s="9"/>
      <c r="BT76" s="6">
        <f t="shared" si="14"/>
        <v>3747076</v>
      </c>
      <c r="BU76" s="6"/>
      <c r="BV76" s="6">
        <f t="shared" si="15"/>
        <v>4266355</v>
      </c>
      <c r="BW76" s="6"/>
      <c r="BX76" s="6">
        <f t="shared" si="16"/>
        <v>-816965</v>
      </c>
      <c r="BY76" s="9"/>
    </row>
    <row r="77" spans="1:79" s="21" customFormat="1">
      <c r="A77" s="31"/>
      <c r="B77" s="234" t="s">
        <v>397</v>
      </c>
      <c r="J77" s="8"/>
      <c r="L77" s="141"/>
      <c r="M77" s="9"/>
      <c r="N77" s="9"/>
      <c r="O77" s="9"/>
      <c r="P77" s="9"/>
      <c r="Q77" s="9"/>
      <c r="R77" s="231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6">
        <f t="shared" si="13"/>
        <v>46182</v>
      </c>
      <c r="BQ77" s="9"/>
      <c r="BR77" s="6">
        <f>1011805-752310</f>
        <v>259495</v>
      </c>
      <c r="BS77" s="9"/>
      <c r="BT77" s="6">
        <f t="shared" si="14"/>
        <v>965623</v>
      </c>
      <c r="BU77" s="6"/>
      <c r="BV77" s="6">
        <f t="shared" si="15"/>
        <v>1011805</v>
      </c>
      <c r="BW77" s="6"/>
      <c r="BX77" s="6">
        <f t="shared" si="16"/>
        <v>-259495</v>
      </c>
      <c r="BY77" s="9"/>
    </row>
    <row r="78" spans="1:79" s="21" customFormat="1">
      <c r="A78" s="31"/>
      <c r="B78" s="234" t="s">
        <v>365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9"/>
      <c r="BO78" s="9"/>
      <c r="BP78" s="6">
        <f t="shared" si="13"/>
        <v>1551987</v>
      </c>
      <c r="BQ78" s="9"/>
      <c r="BR78" s="6">
        <v>0</v>
      </c>
      <c r="BS78" s="9"/>
      <c r="BT78" s="6">
        <f t="shared" si="14"/>
        <v>0</v>
      </c>
      <c r="BU78" s="6"/>
      <c r="BV78" s="6">
        <f t="shared" si="15"/>
        <v>1551987</v>
      </c>
      <c r="BW78" s="6"/>
      <c r="BX78" s="6">
        <f t="shared" si="16"/>
        <v>-1551987</v>
      </c>
      <c r="BY78" s="9"/>
    </row>
    <row r="79" spans="1:79" s="21" customFormat="1">
      <c r="A79" s="31"/>
      <c r="B79" s="235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</row>
    <row r="80" spans="1:79" s="21" customFormat="1">
      <c r="A80" s="31"/>
      <c r="B80" s="232" t="s">
        <v>310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/>
      <c r="T80" s="9">
        <f t="shared" ref="T80:BY80" si="17">SUM(T58:T79)</f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/>
      <c r="BN80" s="9">
        <f>SUM(BN58:BN79)</f>
        <v>0</v>
      </c>
      <c r="BO80" s="9"/>
      <c r="BP80" s="9">
        <f t="shared" si="17"/>
        <v>5618847</v>
      </c>
      <c r="BQ80" s="9">
        <f t="shared" si="17"/>
        <v>1171784</v>
      </c>
      <c r="BR80" s="9">
        <f t="shared" si="17"/>
        <v>3777273</v>
      </c>
      <c r="BS80" s="9">
        <f t="shared" si="17"/>
        <v>2643295</v>
      </c>
      <c r="BT80" s="9">
        <f t="shared" si="17"/>
        <v>12041100</v>
      </c>
      <c r="BU80" s="9">
        <f t="shared" si="17"/>
        <v>5668777</v>
      </c>
      <c r="BV80" s="9">
        <f t="shared" si="17"/>
        <v>17659947</v>
      </c>
      <c r="BW80" s="9">
        <f t="shared" si="17"/>
        <v>12305633</v>
      </c>
      <c r="BX80" s="9">
        <f t="shared" si="17"/>
        <v>-5383044</v>
      </c>
      <c r="BY80" s="9">
        <f t="shared" si="17"/>
        <v>1567396</v>
      </c>
    </row>
    <row r="81" spans="1:77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</row>
    <row r="82" spans="1:77" s="21" customFormat="1">
      <c r="A82" s="31"/>
      <c r="B82" s="237" t="s">
        <v>312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</row>
    <row r="83" spans="1:77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31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6">
        <f>SUM(T83:BO83)</f>
        <v>2255645</v>
      </c>
      <c r="BQ83" s="9"/>
      <c r="BR83" s="6">
        <f>10145929-7824800</f>
        <v>2321129</v>
      </c>
      <c r="BS83" s="9"/>
      <c r="BT83" s="6">
        <f>IF(+R83-BP83+BR83&gt;0,R83-BP83+BR83,0)</f>
        <v>7890284</v>
      </c>
      <c r="BU83" s="6"/>
      <c r="BV83" s="6">
        <f>+BP83+BT83</f>
        <v>10145929</v>
      </c>
      <c r="BW83" s="6"/>
      <c r="BX83" s="6">
        <f>+R83-BV83</f>
        <v>-2321129</v>
      </c>
      <c r="BY83" s="9"/>
    </row>
    <row r="84" spans="1:77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</row>
    <row r="85" spans="1:77" s="21" customFormat="1">
      <c r="A85" s="31"/>
      <c r="B85" s="230" t="s">
        <v>311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/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X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/>
      <c r="BN85" s="9">
        <f>SUM(BN83:BN84)</f>
        <v>0</v>
      </c>
      <c r="BO85" s="9"/>
      <c r="BP85" s="9">
        <f t="shared" si="19"/>
        <v>2255645</v>
      </c>
      <c r="BQ85" s="9">
        <f t="shared" si="19"/>
        <v>0</v>
      </c>
      <c r="BR85" s="9">
        <f t="shared" si="19"/>
        <v>2321129</v>
      </c>
      <c r="BS85" s="9">
        <f t="shared" si="19"/>
        <v>0</v>
      </c>
      <c r="BT85" s="9">
        <f t="shared" si="19"/>
        <v>7890284</v>
      </c>
      <c r="BU85" s="9">
        <f t="shared" si="19"/>
        <v>0</v>
      </c>
      <c r="BV85" s="9">
        <f t="shared" si="19"/>
        <v>10145929</v>
      </c>
      <c r="BW85" s="9">
        <f t="shared" si="19"/>
        <v>0</v>
      </c>
      <c r="BX85" s="9">
        <f t="shared" si="19"/>
        <v>-2321129</v>
      </c>
      <c r="BY85" s="9"/>
    </row>
    <row r="86" spans="1:77" s="21" customFormat="1">
      <c r="A86" s="31"/>
      <c r="B86" s="230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</row>
    <row r="87" spans="1:77" s="21" customFormat="1">
      <c r="A87" s="31"/>
      <c r="B87" s="237" t="s">
        <v>367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6">
        <f>SUM(T87:BO87)</f>
        <v>-943865</v>
      </c>
      <c r="BQ87" s="9"/>
      <c r="BR87" s="9"/>
      <c r="BS87" s="9"/>
      <c r="BT87" s="9">
        <v>0</v>
      </c>
      <c r="BU87" s="9"/>
      <c r="BV87" s="6"/>
      <c r="BW87" s="9"/>
      <c r="BX87" s="6">
        <f>+R87-BV87</f>
        <v>0</v>
      </c>
      <c r="BY87" s="9"/>
    </row>
    <row r="88" spans="1:77" s="21" customFormat="1">
      <c r="A88" s="31"/>
      <c r="B88" s="230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21" customFormat="1">
      <c r="A89" s="31"/>
      <c r="B89" s="237" t="s">
        <v>313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6">
        <f>SUM(T89:BO89)</f>
        <v>28604967.620000001</v>
      </c>
      <c r="BQ89" s="9"/>
      <c r="BR89" s="9">
        <f>43494000-40678250</f>
        <v>2815750</v>
      </c>
      <c r="BS89" s="9"/>
      <c r="BT89" s="6">
        <f>-31433706+2634960.45</f>
        <v>-28798745.550000001</v>
      </c>
      <c r="BU89" s="9"/>
      <c r="BV89" s="6">
        <f>-46166603+43494000</f>
        <v>-2672603</v>
      </c>
      <c r="BW89" s="6"/>
      <c r="BX89" s="6">
        <f>+R89-BV89</f>
        <v>2672603</v>
      </c>
      <c r="BY89" s="9"/>
    </row>
    <row r="90" spans="1:77" s="21" customFormat="1">
      <c r="A90" s="31"/>
      <c r="B90" s="232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105" customFormat="1">
      <c r="A91" s="54"/>
      <c r="B91" s="238" t="s">
        <v>243</v>
      </c>
      <c r="J91" s="155"/>
      <c r="L91" s="142"/>
      <c r="M91" s="13"/>
      <c r="N91" s="239">
        <f>SUM(N38:N90)</f>
        <v>0</v>
      </c>
      <c r="O91" s="13"/>
      <c r="P91" s="239">
        <f>SUM(P38:P90)</f>
        <v>0</v>
      </c>
      <c r="Q91" s="13"/>
      <c r="R91" s="239">
        <f t="shared" ref="R91:AS91" si="20">R85+R80+R55+R48+R89</f>
        <v>37943200</v>
      </c>
      <c r="S91" s="239"/>
      <c r="T91" s="239">
        <f t="shared" si="20"/>
        <v>0</v>
      </c>
      <c r="U91" s="239">
        <f t="shared" si="20"/>
        <v>0</v>
      </c>
      <c r="V91" s="239">
        <f t="shared" si="20"/>
        <v>0</v>
      </c>
      <c r="W91" s="239">
        <f t="shared" si="20"/>
        <v>0</v>
      </c>
      <c r="X91" s="239">
        <f t="shared" si="20"/>
        <v>0</v>
      </c>
      <c r="Y91" s="239">
        <f t="shared" si="20"/>
        <v>0</v>
      </c>
      <c r="Z91" s="239">
        <f t="shared" si="20"/>
        <v>0</v>
      </c>
      <c r="AA91" s="239">
        <f t="shared" si="20"/>
        <v>0</v>
      </c>
      <c r="AB91" s="239">
        <f t="shared" si="20"/>
        <v>0</v>
      </c>
      <c r="AC91" s="239">
        <f t="shared" si="20"/>
        <v>0</v>
      </c>
      <c r="AD91" s="239">
        <f t="shared" si="20"/>
        <v>0</v>
      </c>
      <c r="AE91" s="239">
        <f t="shared" si="20"/>
        <v>0</v>
      </c>
      <c r="AF91" s="239">
        <f t="shared" si="20"/>
        <v>0</v>
      </c>
      <c r="AG91" s="239">
        <f t="shared" si="20"/>
        <v>0</v>
      </c>
      <c r="AH91" s="239">
        <f t="shared" si="20"/>
        <v>0</v>
      </c>
      <c r="AI91" s="239">
        <f t="shared" si="20"/>
        <v>0</v>
      </c>
      <c r="AJ91" s="239">
        <f t="shared" si="20"/>
        <v>0</v>
      </c>
      <c r="AK91" s="239">
        <f t="shared" si="20"/>
        <v>0</v>
      </c>
      <c r="AL91" s="239">
        <f t="shared" si="20"/>
        <v>0</v>
      </c>
      <c r="AM91" s="239">
        <f t="shared" si="20"/>
        <v>0</v>
      </c>
      <c r="AN91" s="239">
        <f t="shared" si="20"/>
        <v>0</v>
      </c>
      <c r="AO91" s="239">
        <f t="shared" si="20"/>
        <v>0</v>
      </c>
      <c r="AP91" s="239">
        <f t="shared" si="20"/>
        <v>4455378.55</v>
      </c>
      <c r="AQ91" s="239"/>
      <c r="AR91" s="239">
        <f t="shared" si="20"/>
        <v>0</v>
      </c>
      <c r="AS91" s="239">
        <f t="shared" si="20"/>
        <v>0</v>
      </c>
      <c r="AT91" s="239">
        <f t="shared" ref="AT91:BX91" si="21">AT85+AT80+AT55+AT48+AT89+AT87</f>
        <v>5237440.57</v>
      </c>
      <c r="AU91" s="239">
        <f t="shared" si="21"/>
        <v>0</v>
      </c>
      <c r="AV91" s="239">
        <f t="shared" si="21"/>
        <v>5993551</v>
      </c>
      <c r="AW91" s="239">
        <f t="shared" si="21"/>
        <v>0</v>
      </c>
      <c r="AX91" s="239">
        <f t="shared" si="21"/>
        <v>7520360</v>
      </c>
      <c r="AY91" s="239">
        <f t="shared" si="21"/>
        <v>0</v>
      </c>
      <c r="AZ91" s="239">
        <f t="shared" si="21"/>
        <v>6627016.5</v>
      </c>
      <c r="BA91" s="239">
        <f t="shared" si="21"/>
        <v>0</v>
      </c>
      <c r="BB91" s="239">
        <f t="shared" si="21"/>
        <v>0</v>
      </c>
      <c r="BC91" s="239">
        <f t="shared" si="21"/>
        <v>0</v>
      </c>
      <c r="BD91" s="239">
        <f t="shared" si="21"/>
        <v>11025293</v>
      </c>
      <c r="BE91" s="239">
        <f t="shared" si="21"/>
        <v>0</v>
      </c>
      <c r="BF91" s="239">
        <f t="shared" si="21"/>
        <v>1534960</v>
      </c>
      <c r="BG91" s="239">
        <f t="shared" si="21"/>
        <v>0</v>
      </c>
      <c r="BH91" s="239">
        <f t="shared" si="21"/>
        <v>0</v>
      </c>
      <c r="BI91" s="239">
        <f t="shared" si="21"/>
        <v>0</v>
      </c>
      <c r="BJ91" s="239">
        <f t="shared" si="21"/>
        <v>0</v>
      </c>
      <c r="BK91" s="239">
        <f>BK85+BK80+BK55+BK48+BK89+BK87</f>
        <v>0</v>
      </c>
      <c r="BL91" s="239">
        <f>BL85+BL80+BL55+BL48+BL89+BL87</f>
        <v>0</v>
      </c>
      <c r="BM91" s="239"/>
      <c r="BN91" s="239">
        <f>BN85+BN80+BN55+BN48+BN89+BN87</f>
        <v>0</v>
      </c>
      <c r="BO91" s="239"/>
      <c r="BP91" s="239">
        <f t="shared" si="21"/>
        <v>42393999.620000005</v>
      </c>
      <c r="BQ91" s="239">
        <f t="shared" si="21"/>
        <v>1171784</v>
      </c>
      <c r="BR91" s="239">
        <f t="shared" si="21"/>
        <v>9432666</v>
      </c>
      <c r="BS91" s="239">
        <f t="shared" si="21"/>
        <v>2643295</v>
      </c>
      <c r="BT91" s="239">
        <f t="shared" si="21"/>
        <v>2634960.4499999993</v>
      </c>
      <c r="BU91" s="239">
        <f t="shared" si="21"/>
        <v>5668777</v>
      </c>
      <c r="BV91" s="239">
        <f t="shared" si="21"/>
        <v>43494000</v>
      </c>
      <c r="BW91" s="239">
        <f t="shared" si="21"/>
        <v>12305633</v>
      </c>
      <c r="BX91" s="239">
        <f t="shared" si="21"/>
        <v>-5550800</v>
      </c>
      <c r="BY91" s="239">
        <f>BY85+BY80+BY55+BY48+BY89</f>
        <v>1567396</v>
      </c>
    </row>
    <row r="92" spans="1:77">
      <c r="A92" s="100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N92" s="6"/>
      <c r="BO92" s="6"/>
      <c r="BQ92" s="6"/>
      <c r="BR92" s="6"/>
      <c r="BS92" s="6"/>
      <c r="BY92" s="6"/>
    </row>
    <row r="93" spans="1:77">
      <c r="A93" s="100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N93" s="6"/>
      <c r="BO93" s="6"/>
      <c r="BQ93" s="6"/>
      <c r="BR93" s="6"/>
      <c r="BS93" s="6"/>
      <c r="BY93" s="6"/>
    </row>
    <row r="94" spans="1:77">
      <c r="A94" s="58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N94" s="6"/>
      <c r="BO94" s="6"/>
      <c r="BQ94" s="6"/>
      <c r="BR94" s="6"/>
      <c r="BS94" s="6"/>
      <c r="BY94" s="6"/>
    </row>
    <row r="95" spans="1:77">
      <c r="A95" s="17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v>0</v>
      </c>
      <c r="BO95" s="6"/>
      <c r="BP95" s="6">
        <f t="shared" ref="BP95:BP100" si="22">SUM(T95:BO95)</f>
        <v>936540.66333333321</v>
      </c>
      <c r="BQ95" s="6"/>
      <c r="BR95" s="6">
        <v>0</v>
      </c>
      <c r="BS95" s="6"/>
      <c r="BT95" s="6">
        <f t="shared" ref="BT95:BT101" si="23">IF(+R95-BP95+BR95&gt;0,R95-BP95+BR95,0)</f>
        <v>0</v>
      </c>
      <c r="BV95" s="6">
        <f t="shared" ref="BV95:BV100" si="24">+BP95+BT95</f>
        <v>936540.66333333321</v>
      </c>
      <c r="BX95" s="6">
        <f t="shared" ref="BX95:BX101" si="25">+R95-BV95</f>
        <v>-6740.6633333332138</v>
      </c>
      <c r="BY95" s="6"/>
    </row>
    <row r="96" spans="1:77">
      <c r="A96" s="17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v>0</v>
      </c>
      <c r="BO96" s="6"/>
      <c r="BP96" s="6">
        <f t="shared" si="22"/>
        <v>2386682.3466666667</v>
      </c>
      <c r="BQ96" s="6"/>
      <c r="BR96" s="6">
        <v>0</v>
      </c>
      <c r="BS96" s="6"/>
      <c r="BT96" s="6">
        <f t="shared" si="23"/>
        <v>17.653333333320916</v>
      </c>
      <c r="BV96" s="6">
        <f t="shared" si="24"/>
        <v>2386700</v>
      </c>
      <c r="BX96" s="6">
        <f t="shared" si="25"/>
        <v>0</v>
      </c>
      <c r="BY96" s="6"/>
    </row>
    <row r="97" spans="1:77">
      <c r="A97" s="17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v>0</v>
      </c>
      <c r="BO97" s="6"/>
      <c r="BP97" s="6">
        <f t="shared" si="22"/>
        <v>0</v>
      </c>
      <c r="BQ97" s="6"/>
      <c r="BR97" s="6">
        <v>0</v>
      </c>
      <c r="BS97" s="6"/>
      <c r="BT97" s="6">
        <f t="shared" si="23"/>
        <v>0</v>
      </c>
      <c r="BV97" s="6">
        <f t="shared" si="24"/>
        <v>0</v>
      </c>
      <c r="BX97" s="6">
        <f t="shared" si="25"/>
        <v>0</v>
      </c>
      <c r="BY97" s="6"/>
    </row>
    <row r="98" spans="1:77">
      <c r="A98" s="17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v>0</v>
      </c>
      <c r="BO98" s="12"/>
      <c r="BP98" s="6">
        <f t="shared" si="22"/>
        <v>0</v>
      </c>
      <c r="BQ98" s="6"/>
      <c r="BR98" s="12">
        <v>0</v>
      </c>
      <c r="BS98" s="6"/>
      <c r="BT98" s="6">
        <f t="shared" si="23"/>
        <v>0</v>
      </c>
      <c r="BU98" s="12"/>
      <c r="BV98" s="6">
        <f t="shared" si="24"/>
        <v>0</v>
      </c>
      <c r="BW98" s="12"/>
      <c r="BX98" s="6">
        <f t="shared" si="25"/>
        <v>0</v>
      </c>
      <c r="BY98" s="12"/>
    </row>
    <row r="99" spans="1:77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3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v>0</v>
      </c>
      <c r="BO99" s="12"/>
      <c r="BP99" s="6">
        <f t="shared" si="22"/>
        <v>0</v>
      </c>
      <c r="BQ99" s="12"/>
      <c r="BR99" s="12">
        <v>0</v>
      </c>
      <c r="BS99" s="12"/>
      <c r="BT99" s="6">
        <f t="shared" si="23"/>
        <v>0</v>
      </c>
      <c r="BU99" s="12"/>
      <c r="BV99" s="6">
        <f t="shared" si="24"/>
        <v>0</v>
      </c>
      <c r="BW99" s="12"/>
      <c r="BX99" s="6">
        <f t="shared" si="25"/>
        <v>0</v>
      </c>
      <c r="BY99" s="12"/>
    </row>
    <row r="100" spans="1:77">
      <c r="A100" s="17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v>0</v>
      </c>
      <c r="BO100" s="12"/>
      <c r="BP100" s="6">
        <f t="shared" si="22"/>
        <v>0</v>
      </c>
      <c r="BQ100" s="6"/>
      <c r="BR100" s="12">
        <v>0</v>
      </c>
      <c r="BS100" s="6"/>
      <c r="BT100" s="6">
        <f t="shared" si="23"/>
        <v>0</v>
      </c>
      <c r="BU100" s="12"/>
      <c r="BV100" s="6">
        <f t="shared" si="24"/>
        <v>0</v>
      </c>
      <c r="BW100" s="12"/>
      <c r="BX100" s="6">
        <f t="shared" si="25"/>
        <v>0</v>
      </c>
      <c r="BY100" s="12"/>
    </row>
    <row r="101" spans="1:77">
      <c r="A101" s="17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6"/>
      <c r="BR101" s="12"/>
      <c r="BS101" s="6"/>
      <c r="BT101" s="6">
        <f t="shared" si="23"/>
        <v>0</v>
      </c>
      <c r="BU101" s="12"/>
      <c r="BV101" s="12"/>
      <c r="BW101" s="12"/>
      <c r="BX101" s="6">
        <f t="shared" si="25"/>
        <v>0</v>
      </c>
      <c r="BY101" s="12"/>
    </row>
    <row r="102" spans="1:77" s="114" customFormat="1">
      <c r="A102" s="282"/>
      <c r="B102" s="113" t="s">
        <v>244</v>
      </c>
      <c r="J102" s="154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6"/>
      <c r="BN102" s="116">
        <f>SUM(BN95:BN101)</f>
        <v>0</v>
      </c>
      <c r="BO102" s="116"/>
      <c r="BP102" s="116">
        <f>SUM(BP95:BP101)</f>
        <v>3323223.01</v>
      </c>
      <c r="BQ102" s="115"/>
      <c r="BR102" s="116">
        <f>SUM(BR95:BR101)</f>
        <v>0</v>
      </c>
      <c r="BS102" s="115"/>
      <c r="BT102" s="116">
        <f>SUM(BT95:BT101)</f>
        <v>17.653333333320916</v>
      </c>
      <c r="BU102" s="115"/>
      <c r="BV102" s="116">
        <f>SUM(BV95:BV101)</f>
        <v>3323240.6633333331</v>
      </c>
      <c r="BW102" s="115"/>
      <c r="BX102" s="116">
        <f>SUM(BX95:BX101)</f>
        <v>-6740.6633333332138</v>
      </c>
      <c r="BY102" s="117"/>
    </row>
    <row r="103" spans="1:77" customFormat="1">
      <c r="A103" s="30"/>
    </row>
    <row r="104" spans="1:77" s="15" customFormat="1">
      <c r="A104" s="77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 s="15" customFormat="1">
      <c r="A105" s="77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v>0</v>
      </c>
      <c r="BO105" s="22"/>
      <c r="BP105" s="6">
        <f>SUM(T105:BO105)</f>
        <v>0</v>
      </c>
      <c r="BQ105" s="22"/>
      <c r="BR105" s="22">
        <v>0</v>
      </c>
      <c r="BS105" s="22"/>
      <c r="BT105" s="6">
        <f>IF(+R105-BP105+BR105&gt;0,R105-BP105+BR105,0)</f>
        <v>0</v>
      </c>
      <c r="BU105" s="22"/>
      <c r="BV105" s="6">
        <f>+BP105+BT105</f>
        <v>0</v>
      </c>
      <c r="BW105" s="22"/>
      <c r="BX105" s="6">
        <f>+R105-BV105</f>
        <v>0</v>
      </c>
      <c r="BY105" s="22"/>
    </row>
    <row r="106" spans="1:77" s="15" customFormat="1">
      <c r="A106" s="100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22"/>
      <c r="BR106" s="80"/>
      <c r="BS106" s="22"/>
      <c r="BT106" s="80"/>
      <c r="BU106" s="22"/>
      <c r="BV106" s="80"/>
      <c r="BW106" s="22"/>
      <c r="BX106" s="6">
        <f>+R106-BV106</f>
        <v>0</v>
      </c>
      <c r="BY106" s="80"/>
    </row>
    <row r="107" spans="1:77" s="104" customFormat="1">
      <c r="A107" s="32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08"/>
      <c r="BN107" s="108">
        <f>SUM(BN105:BN106)</f>
        <v>0</v>
      </c>
      <c r="BO107" s="108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  <c r="BX107" s="108">
        <f>SUM(BX105:BX106)</f>
        <v>0</v>
      </c>
      <c r="BY107" s="16"/>
    </row>
    <row r="108" spans="1:77" s="15" customFormat="1">
      <c r="A108" s="100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 s="105" customFormat="1">
      <c r="A109" s="238" t="s">
        <v>246</v>
      </c>
      <c r="B109" s="63"/>
      <c r="J109" s="155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</row>
    <row r="110" spans="1:77" s="15" customFormat="1">
      <c r="A110" s="109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58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N111" s="6"/>
      <c r="BO111" s="6"/>
      <c r="BQ111" s="6"/>
      <c r="BR111" s="6"/>
      <c r="BS111" s="6"/>
      <c r="BU111" s="22"/>
      <c r="BW111" s="22"/>
      <c r="BY111" s="6"/>
    </row>
    <row r="112" spans="1:77">
      <c r="A112" s="17"/>
      <c r="B112" s="17" t="s">
        <v>376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v>0</v>
      </c>
      <c r="BO112" s="6"/>
      <c r="BP112" s="6">
        <f>SUM(T112:BO112)</f>
        <v>185000</v>
      </c>
      <c r="BQ112" s="6"/>
      <c r="BR112" s="6">
        <v>0</v>
      </c>
      <c r="BS112" s="6"/>
      <c r="BT112" s="6">
        <f>IF(+R112-BP112+BR112&gt;0,R112-BP112+BR112,0)</f>
        <v>0</v>
      </c>
      <c r="BU112" s="22"/>
      <c r="BV112" s="6">
        <f>+BP112+BT112</f>
        <v>185000</v>
      </c>
      <c r="BW112" s="22"/>
      <c r="BX112" s="6">
        <f>+R112-BV112</f>
        <v>0</v>
      </c>
      <c r="BY112" s="6"/>
    </row>
    <row r="113" spans="1:77">
      <c r="A113" s="17"/>
      <c r="B113" s="17" t="s">
        <v>379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>
        <v>33049</v>
      </c>
      <c r="BM113" s="6"/>
      <c r="BN113" s="6">
        <v>0</v>
      </c>
      <c r="BO113" s="6"/>
      <c r="BP113" s="6">
        <f>SUM(T113:BO113)</f>
        <v>935159.13</v>
      </c>
      <c r="BQ113" s="6"/>
      <c r="BR113" s="6">
        <v>0</v>
      </c>
      <c r="BS113" s="6"/>
      <c r="BT113" s="6">
        <f>IF(+R113-BP113+BR113&gt;0,R113-BP113+BR113,0)</f>
        <v>0</v>
      </c>
      <c r="BU113" s="22"/>
      <c r="BV113" s="6">
        <f>+BP113+BT113</f>
        <v>935159.13</v>
      </c>
      <c r="BW113" s="22"/>
      <c r="BX113" s="6">
        <f>+R113-BV113</f>
        <v>-211373.13</v>
      </c>
      <c r="BY113" s="6"/>
    </row>
    <row r="114" spans="1:77" hidden="1">
      <c r="A114" s="17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v>0</v>
      </c>
      <c r="BO114" s="6"/>
      <c r="BP114" s="6">
        <f>SUM(T114:BL114)</f>
        <v>0</v>
      </c>
      <c r="BQ114" s="6"/>
      <c r="BR114" s="6">
        <v>0</v>
      </c>
      <c r="BS114" s="6"/>
      <c r="BT114" s="6">
        <f>+R114-BP114+BR114</f>
        <v>0</v>
      </c>
      <c r="BU114" s="22"/>
      <c r="BV114" s="6">
        <f>+BP114+BT114</f>
        <v>0</v>
      </c>
      <c r="BW114" s="22"/>
      <c r="BX114" s="6">
        <f>+R114-BV114</f>
        <v>0</v>
      </c>
      <c r="BY114" s="6"/>
    </row>
    <row r="115" spans="1:77" s="21" customFormat="1">
      <c r="A115" s="58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33049</v>
      </c>
      <c r="BM115" s="102"/>
      <c r="BN115" s="102">
        <f>SUM(BN112:BN114)</f>
        <v>0</v>
      </c>
      <c r="BO115" s="102"/>
      <c r="BP115" s="102">
        <f>SUM(BP112:BP114)</f>
        <v>1120159.1299999999</v>
      </c>
      <c r="BQ115" s="9"/>
      <c r="BR115" s="102">
        <f>SUM(BR112:BR114)</f>
        <v>0</v>
      </c>
      <c r="BS115" s="9"/>
      <c r="BT115" s="102">
        <f>SUM(BT112:BT114)</f>
        <v>0</v>
      </c>
      <c r="BU115" s="16"/>
      <c r="BV115" s="102">
        <f>SUM(BV112:BV114)</f>
        <v>1120159.1299999999</v>
      </c>
      <c r="BW115" s="16"/>
      <c r="BX115" s="102">
        <f>SUM(BX112:BX114)</f>
        <v>-211373.13</v>
      </c>
      <c r="BY115" s="9"/>
    </row>
    <row r="116" spans="1:77" s="21" customFormat="1">
      <c r="A116" s="58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10"/>
      <c r="BN116" s="10"/>
      <c r="BO116" s="10"/>
      <c r="BP116" s="10"/>
      <c r="BQ116" s="9"/>
      <c r="BR116" s="10"/>
      <c r="BS116" s="9"/>
      <c r="BT116" s="10"/>
      <c r="BU116" s="16"/>
      <c r="BV116" s="10"/>
      <c r="BW116" s="16"/>
      <c r="BX116" s="10"/>
      <c r="BY116" s="9"/>
    </row>
    <row r="117" spans="1:77" s="21" customFormat="1">
      <c r="A117" s="77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v>0</v>
      </c>
      <c r="BO117" s="9"/>
      <c r="BP117" s="9">
        <f t="shared" ref="BP117:BP123" si="26">SUM(T117:BO117)</f>
        <v>0</v>
      </c>
      <c r="BQ117" s="9"/>
      <c r="BR117" s="9">
        <v>0</v>
      </c>
      <c r="BS117" s="9"/>
      <c r="BT117" s="6">
        <f>IF(+R117-BP117+BR117&gt;0,R117-BP117+BR117,0)</f>
        <v>0</v>
      </c>
      <c r="BU117" s="9"/>
      <c r="BV117" s="9">
        <f>+BP117+BT117</f>
        <v>0</v>
      </c>
      <c r="BW117" s="9"/>
      <c r="BX117" s="9">
        <f>+R117-BV117</f>
        <v>0</v>
      </c>
      <c r="BY117" s="9"/>
    </row>
    <row r="118" spans="1:77" s="21" customFormat="1">
      <c r="A118" s="77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</row>
    <row r="119" spans="1:77" s="21" customFormat="1">
      <c r="A119" s="58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v>0</v>
      </c>
      <c r="BO119" s="9"/>
      <c r="BP119" s="9">
        <f t="shared" si="26"/>
        <v>99110</v>
      </c>
      <c r="BQ119" s="9"/>
      <c r="BR119" s="9">
        <v>0</v>
      </c>
      <c r="BS119" s="9"/>
      <c r="BT119" s="6">
        <f>IF(+R119-BP119+BR119&gt;0,R119-BP119+BR119,0)</f>
        <v>1400890</v>
      </c>
      <c r="BU119" s="9"/>
      <c r="BV119" s="9">
        <f>+BP119+BT119</f>
        <v>1500000</v>
      </c>
      <c r="BW119" s="9"/>
      <c r="BX119" s="9">
        <f>+R119-BV119</f>
        <v>0</v>
      </c>
      <c r="BY119" s="9"/>
    </row>
    <row r="120" spans="1:77" s="21" customFormat="1">
      <c r="A120" s="58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</row>
    <row r="121" spans="1:77" s="31" customFormat="1">
      <c r="A121" s="58" t="s">
        <v>30</v>
      </c>
      <c r="J121" s="156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v>0</v>
      </c>
      <c r="BO121" s="10"/>
      <c r="BP121" s="9">
        <f t="shared" si="26"/>
        <v>13668.55</v>
      </c>
      <c r="BQ121" s="10"/>
      <c r="BR121" s="10">
        <v>0</v>
      </c>
      <c r="BS121" s="10"/>
      <c r="BT121" s="6">
        <f>IF(+R121-BP121+BR121&gt;0,R121-BP121+BR121,0)</f>
        <v>36331.449999999997</v>
      </c>
      <c r="BU121" s="10"/>
      <c r="BV121" s="9">
        <f>+BP121+BT121</f>
        <v>50000</v>
      </c>
      <c r="BW121" s="10"/>
      <c r="BX121" s="9">
        <f>+R121-BV121</f>
        <v>0</v>
      </c>
      <c r="BY121" s="10"/>
    </row>
    <row r="122" spans="1:77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</row>
    <row r="123" spans="1:77" s="21" customFormat="1">
      <c r="A123" s="58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v>0</v>
      </c>
      <c r="BO123" s="9"/>
      <c r="BP123" s="9">
        <f t="shared" si="26"/>
        <v>42514.879999999997</v>
      </c>
      <c r="BQ123" s="9"/>
      <c r="BR123" s="9">
        <v>0</v>
      </c>
      <c r="BS123" s="9"/>
      <c r="BT123" s="6">
        <v>0</v>
      </c>
      <c r="BU123" s="16"/>
      <c r="BV123" s="9">
        <f>+BP123+BT123</f>
        <v>42514.879999999997</v>
      </c>
      <c r="BW123" s="16"/>
      <c r="BX123" s="9">
        <f>+R123-BV123</f>
        <v>1130216.1200000001</v>
      </c>
      <c r="BY123" s="9"/>
    </row>
    <row r="124" spans="1:77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</row>
    <row r="125" spans="1:77">
      <c r="A125" s="58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N125" s="6"/>
      <c r="BO125" s="6"/>
      <c r="BQ125" s="6"/>
      <c r="BR125" s="6"/>
      <c r="BS125" s="6"/>
      <c r="BY125" s="6"/>
    </row>
    <row r="126" spans="1:77">
      <c r="A126" s="17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v>0</v>
      </c>
      <c r="BO126" s="6"/>
      <c r="BP126" s="6">
        <f>SUM(T126:BO126)</f>
        <v>75420.61</v>
      </c>
      <c r="BQ126" s="6"/>
      <c r="BR126" s="6">
        <v>1000</v>
      </c>
      <c r="BS126" s="6"/>
      <c r="BT126" s="6">
        <f>IF(+R126-BP126+BR126&gt;0,R126-BP126+BR126,0)</f>
        <v>0</v>
      </c>
      <c r="BV126" s="6">
        <f>+BP126+BT126</f>
        <v>75420.61</v>
      </c>
      <c r="BX126" s="6">
        <f>+R126-BV126</f>
        <v>-32920.61</v>
      </c>
      <c r="BY126" s="6"/>
    </row>
    <row r="127" spans="1:77">
      <c r="A127" s="17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v>0</v>
      </c>
      <c r="BO127" s="6"/>
      <c r="BP127" s="6">
        <f>SUM(T127:BO127)</f>
        <v>0</v>
      </c>
      <c r="BQ127" s="6"/>
      <c r="BR127" s="6">
        <v>0</v>
      </c>
      <c r="BS127" s="6"/>
      <c r="BT127" s="6">
        <f>IF(+R127-BP127+BR127&gt;0,R127-BP127+BR127,0)</f>
        <v>0</v>
      </c>
      <c r="BV127" s="6">
        <f>+BP127+BT127</f>
        <v>0</v>
      </c>
      <c r="BX127" s="6">
        <f>+R127-BV127</f>
        <v>0</v>
      </c>
      <c r="BY127" s="6"/>
    </row>
    <row r="128" spans="1:77">
      <c r="A128" s="17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>
        <v>230000</v>
      </c>
      <c r="BM128" s="6"/>
      <c r="BN128" s="6">
        <v>0</v>
      </c>
      <c r="BO128" s="6"/>
      <c r="BP128" s="6">
        <f>SUM(T128:BO128)</f>
        <v>2090594.96</v>
      </c>
      <c r="BQ128" s="6"/>
      <c r="BR128" s="6">
        <f>341944+23213</f>
        <v>365157</v>
      </c>
      <c r="BS128" s="6"/>
      <c r="BT128" s="6">
        <v>0</v>
      </c>
      <c r="BV128" s="6">
        <f>+BP128+BT128</f>
        <v>2090594.96</v>
      </c>
      <c r="BX128" s="6">
        <f>+R128-BV128</f>
        <v>-1363094.96</v>
      </c>
      <c r="BY128" s="6"/>
    </row>
    <row r="129" spans="1:77">
      <c r="A129" s="17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N129" s="6"/>
      <c r="BO129" s="6"/>
      <c r="BQ129" s="6"/>
      <c r="BR129" s="6"/>
      <c r="BS129" s="6"/>
      <c r="BT129" s="6">
        <f>IF(+R129-BP129+BR129&gt;0,R129-BP129+BR129,0)</f>
        <v>0</v>
      </c>
      <c r="BV129" s="6">
        <f>+BP129+BT129</f>
        <v>0</v>
      </c>
      <c r="BX129" s="6">
        <f>+R129-BV129</f>
        <v>0</v>
      </c>
      <c r="BY129" s="6"/>
    </row>
    <row r="130" spans="1:77" s="21" customFormat="1">
      <c r="A130" s="58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230000</v>
      </c>
      <c r="BM130" s="102"/>
      <c r="BN130" s="102">
        <f>SUM(BN126:BN129)</f>
        <v>0</v>
      </c>
      <c r="BO130" s="102"/>
      <c r="BP130" s="102">
        <f>SUM(BP126:BP129)</f>
        <v>2166015.5699999998</v>
      </c>
      <c r="BQ130" s="9"/>
      <c r="BR130" s="102">
        <f>SUM(BR126:BR129)</f>
        <v>366157</v>
      </c>
      <c r="BS130" s="9"/>
      <c r="BT130" s="102">
        <f>SUM(BT126:BT129)</f>
        <v>0</v>
      </c>
      <c r="BU130" s="9"/>
      <c r="BV130" s="102">
        <f>SUM(BV126:BV129)</f>
        <v>2166015.5699999998</v>
      </c>
      <c r="BW130" s="9"/>
      <c r="BX130" s="102">
        <f>SUM(BX126:BX129)</f>
        <v>-1396015.57</v>
      </c>
      <c r="BY130" s="9"/>
    </row>
    <row r="131" spans="1:77" s="21" customFormat="1">
      <c r="A131" s="58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</row>
    <row r="132" spans="1:77">
      <c r="A132" s="58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N132" s="6"/>
      <c r="BO132" s="6"/>
      <c r="BQ132" s="6"/>
      <c r="BR132" s="6"/>
      <c r="BS132" s="6"/>
      <c r="BY132" s="6"/>
    </row>
    <row r="133" spans="1:77">
      <c r="A133" s="58"/>
      <c r="B133" s="11" t="s">
        <v>259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IF(+R133-BP133+BR133&gt;0,R133-BP133+BR133,0)</f>
        <v>0</v>
      </c>
      <c r="BV133" s="6">
        <f>+BP133+BT133</f>
        <v>0</v>
      </c>
      <c r="BX133" s="6">
        <f>+R133-BV133</f>
        <v>0</v>
      </c>
      <c r="BY133" s="6"/>
    </row>
    <row r="134" spans="1:77">
      <c r="A134" s="100"/>
      <c r="B134" s="17" t="s">
        <v>260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v>0</v>
      </c>
      <c r="BO134" s="6"/>
      <c r="BP134" s="6">
        <f>SUM(T134:BO134)</f>
        <v>0</v>
      </c>
      <c r="BQ134" s="6"/>
      <c r="BR134" s="6">
        <v>0</v>
      </c>
      <c r="BS134" s="6"/>
      <c r="BT134" s="6">
        <f>IF(+R134-BP134+BR134&gt;0,R134-BP134+BR134,0)</f>
        <v>0</v>
      </c>
      <c r="BV134" s="6">
        <f>+BP134+BT134</f>
        <v>0</v>
      </c>
      <c r="BX134" s="6">
        <f>+R134-BV134</f>
        <v>0</v>
      </c>
      <c r="BY134" s="6"/>
    </row>
    <row r="135" spans="1:77">
      <c r="A135" s="100"/>
      <c r="B135" s="17" t="s">
        <v>261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/>
      <c r="BO135" s="6"/>
      <c r="BP135" s="6">
        <f>SUM(T135:BO135)</f>
        <v>472616.27999999991</v>
      </c>
      <c r="BQ135" s="6"/>
      <c r="BR135" s="6">
        <v>0</v>
      </c>
      <c r="BS135" s="6"/>
      <c r="BT135" s="6">
        <f>IF(+R135-BP135+BR135&gt;0,R135-BP135+BR135,0)</f>
        <v>0</v>
      </c>
      <c r="BV135" s="6">
        <f>+BP135+BT135</f>
        <v>472616.27999999991</v>
      </c>
      <c r="BX135" s="6">
        <f>+R135-BV135</f>
        <v>-22616.279999999912</v>
      </c>
      <c r="BY135" s="6"/>
    </row>
    <row r="136" spans="1:77">
      <c r="A136" s="100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N136" s="6"/>
      <c r="BO136" s="6"/>
      <c r="BQ136" s="6"/>
      <c r="BR136" s="6"/>
      <c r="BS136" s="6"/>
      <c r="BY136" s="6"/>
    </row>
    <row r="137" spans="1:77" s="21" customFormat="1">
      <c r="A137" s="283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102"/>
      <c r="BN137" s="102">
        <f>SUM(BN133:BN136)</f>
        <v>0</v>
      </c>
      <c r="BO137" s="102"/>
      <c r="BP137" s="102">
        <f>SUM(BP133:BP136)</f>
        <v>472616.27999999991</v>
      </c>
      <c r="BQ137" s="9"/>
      <c r="BR137" s="102">
        <f>SUM(BR133:BR136)</f>
        <v>0</v>
      </c>
      <c r="BS137" s="9"/>
      <c r="BT137" s="102">
        <f>SUM(BT133:BT136)</f>
        <v>0</v>
      </c>
      <c r="BU137" s="9"/>
      <c r="BV137" s="102">
        <f>SUM(BV133:BV136)</f>
        <v>472616.27999999991</v>
      </c>
      <c r="BW137" s="9"/>
      <c r="BX137" s="102">
        <f>SUM(BX133:BX136)</f>
        <v>-22616.279999999912</v>
      </c>
      <c r="BY137" s="9"/>
    </row>
    <row r="138" spans="1:77" s="21" customFormat="1">
      <c r="A138" s="283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9"/>
      <c r="BR138" s="10"/>
      <c r="BS138" s="9"/>
      <c r="BT138" s="10"/>
      <c r="BU138" s="9"/>
      <c r="BV138" s="10"/>
      <c r="BW138" s="9"/>
      <c r="BX138" s="10"/>
      <c r="BY138" s="9"/>
    </row>
    <row r="139" spans="1:77" s="21" customFormat="1">
      <c r="A139" s="58" t="s">
        <v>273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>
        <v>235548</v>
      </c>
      <c r="BM139" s="9"/>
      <c r="BN139" s="9">
        <v>5978</v>
      </c>
      <c r="BO139" s="9"/>
      <c r="BP139" s="9">
        <f>SUM(T139:BO139)</f>
        <v>666125.79</v>
      </c>
      <c r="BQ139" s="9"/>
      <c r="BR139" s="9">
        <v>-4000000</v>
      </c>
      <c r="BS139" s="9"/>
      <c r="BT139" s="6">
        <f>400000-BL139</f>
        <v>164452</v>
      </c>
      <c r="BU139" s="9"/>
      <c r="BV139" s="9">
        <f>+BP139+BT139</f>
        <v>830577.79</v>
      </c>
      <c r="BW139" s="9"/>
      <c r="BX139" s="9">
        <f>+R139-BV139</f>
        <v>4169422.21</v>
      </c>
      <c r="BY139" s="9"/>
    </row>
    <row r="140" spans="1:77" s="21" customFormat="1">
      <c r="A140" s="283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9"/>
      <c r="BR140" s="10"/>
      <c r="BS140" s="9"/>
      <c r="BT140" s="10"/>
      <c r="BU140" s="9"/>
      <c r="BV140" s="10"/>
      <c r="BW140" s="9"/>
      <c r="BX140" s="10"/>
      <c r="BY140" s="9"/>
    </row>
    <row r="141" spans="1:77" s="21" customFormat="1">
      <c r="A141" s="58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v>0</v>
      </c>
      <c r="BO141" s="9"/>
      <c r="BP141" s="9">
        <f>SUM(T141:BO141)</f>
        <v>1331500</v>
      </c>
      <c r="BQ141" s="9"/>
      <c r="BR141" s="9">
        <v>0</v>
      </c>
      <c r="BS141" s="9"/>
      <c r="BT141" s="6">
        <f>IF(+R141-BP141+BR141&gt;0,R141-BP141+BR141,0)</f>
        <v>168500</v>
      </c>
      <c r="BU141" s="9"/>
      <c r="BV141" s="9">
        <f>+BP141+BT141</f>
        <v>1500000</v>
      </c>
      <c r="BW141" s="9"/>
      <c r="BX141" s="9">
        <f>+R141-BV141</f>
        <v>0</v>
      </c>
      <c r="BY141" s="9"/>
    </row>
    <row r="142" spans="1:77" s="21" customFormat="1">
      <c r="A142" s="283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9"/>
      <c r="BR142" s="10"/>
      <c r="BS142" s="9"/>
      <c r="BT142" s="10"/>
      <c r="BU142" s="9"/>
      <c r="BV142" s="10"/>
      <c r="BW142" s="9"/>
      <c r="BX142" s="10"/>
      <c r="BY142" s="9"/>
    </row>
    <row r="143" spans="1:77" s="15" customFormat="1">
      <c r="A143" s="32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 s="15" customFormat="1" hidden="1">
      <c r="A144" s="109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v>0</v>
      </c>
      <c r="BO144" s="22"/>
      <c r="BP144" s="22">
        <f>SUM(T144:BL144)</f>
        <v>0</v>
      </c>
      <c r="BQ144" s="22"/>
      <c r="BR144" s="22">
        <v>0</v>
      </c>
      <c r="BS144" s="22"/>
      <c r="BT144" s="22">
        <f>+R144-BP144+BR144</f>
        <v>0</v>
      </c>
      <c r="BU144" s="22"/>
      <c r="BV144" s="6">
        <f>+BP144+BT144</f>
        <v>0</v>
      </c>
      <c r="BW144" s="22"/>
      <c r="BX144" s="6">
        <f>+R144-BV144</f>
        <v>0</v>
      </c>
      <c r="BY144" s="22"/>
    </row>
    <row r="145" spans="1:126" s="15" customFormat="1">
      <c r="A145" s="109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v>0</v>
      </c>
      <c r="BO145" s="22"/>
      <c r="BP145" s="6">
        <f>SUM(T145:BO145)</f>
        <v>793190.69</v>
      </c>
      <c r="BQ145" s="22"/>
      <c r="BR145" s="22">
        <v>0</v>
      </c>
      <c r="BS145" s="22"/>
      <c r="BT145" s="6">
        <v>0</v>
      </c>
      <c r="BU145" s="22"/>
      <c r="BV145" s="6">
        <f>+BP145+BT145</f>
        <v>793190.69</v>
      </c>
      <c r="BW145" s="22"/>
      <c r="BX145" s="6">
        <f>+R145-BV145</f>
        <v>206809.31000000006</v>
      </c>
      <c r="BY145" s="22"/>
    </row>
    <row r="146" spans="1:126" s="15" customFormat="1" hidden="1">
      <c r="A146" s="109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v>0</v>
      </c>
      <c r="BO146" s="22"/>
      <c r="BP146" s="22">
        <f>SUM(T146:BL146)</f>
        <v>0</v>
      </c>
      <c r="BQ146" s="22"/>
      <c r="BR146" s="22">
        <v>0</v>
      </c>
      <c r="BS146" s="22"/>
      <c r="BT146" s="22">
        <f>+R146-BP146+BR146</f>
        <v>0</v>
      </c>
      <c r="BU146" s="22"/>
      <c r="BV146" s="6">
        <f>+BP146+BT146</f>
        <v>0</v>
      </c>
      <c r="BW146" s="22"/>
      <c r="BX146" s="6">
        <f>+R146-BV146</f>
        <v>0</v>
      </c>
      <c r="BY146" s="22"/>
    </row>
    <row r="147" spans="1:126" s="104" customFormat="1">
      <c r="A147" s="32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08"/>
      <c r="BN147" s="108">
        <f>SUM(BN144:BN146)</f>
        <v>0</v>
      </c>
      <c r="BO147" s="108"/>
      <c r="BP147" s="108">
        <f>SUM(BP144:BP146)</f>
        <v>793190.69</v>
      </c>
      <c r="BQ147" s="16"/>
      <c r="BR147" s="108">
        <f>SUM(BR144:BR146)</f>
        <v>0</v>
      </c>
      <c r="BS147" s="16"/>
      <c r="BT147" s="108">
        <f>SUM(BT144:BT146)</f>
        <v>0</v>
      </c>
      <c r="BU147" s="16"/>
      <c r="BV147" s="108">
        <f>SUM(BV144:BV146)</f>
        <v>793190.69</v>
      </c>
      <c r="BW147" s="16"/>
      <c r="BX147" s="108">
        <f>SUM(BX144:BX146)</f>
        <v>206809.31000000006</v>
      </c>
      <c r="BY147" s="16"/>
    </row>
    <row r="148" spans="1:126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6"/>
      <c r="BR148" s="103"/>
      <c r="BS148" s="16"/>
      <c r="BT148" s="103"/>
      <c r="BU148" s="16"/>
      <c r="BV148" s="103"/>
      <c r="BW148" s="16"/>
      <c r="BX148" s="103"/>
      <c r="BY148" s="16"/>
    </row>
    <row r="149" spans="1:126" s="31" customFormat="1">
      <c r="A149" s="58" t="s">
        <v>31</v>
      </c>
      <c r="J149" s="156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v>0</v>
      </c>
      <c r="BO149" s="10"/>
      <c r="BP149" s="9">
        <f>SUM(T149:BO149)</f>
        <v>175875</v>
      </c>
      <c r="BQ149" s="10"/>
      <c r="BR149" s="10">
        <v>0</v>
      </c>
      <c r="BS149" s="10"/>
      <c r="BT149" s="6">
        <v>0</v>
      </c>
      <c r="BU149" s="10"/>
      <c r="BV149" s="9">
        <f>+BP149+BT149</f>
        <v>175875</v>
      </c>
      <c r="BW149" s="10"/>
      <c r="BX149" s="9">
        <f>+R149-BV149</f>
        <v>24125</v>
      </c>
      <c r="BY149" s="10"/>
    </row>
    <row r="150" spans="1:126" s="15" customFormat="1">
      <c r="A150" s="109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126" s="31" customFormat="1">
      <c r="A151" s="58" t="s">
        <v>32</v>
      </c>
      <c r="J151" s="156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v>0</v>
      </c>
      <c r="BO151" s="10"/>
      <c r="BP151" s="9">
        <f>SUM(T151:BO151)</f>
        <v>115431.41</v>
      </c>
      <c r="BQ151" s="10"/>
      <c r="BR151" s="10">
        <v>-84569</v>
      </c>
      <c r="BS151" s="10"/>
      <c r="BT151" s="6">
        <f>IF(+R151-BP151+BR151&gt;0,R151-BP151+BR151,0)</f>
        <v>0</v>
      </c>
      <c r="BU151" s="10"/>
      <c r="BV151" s="9">
        <f>+BP151+BT151</f>
        <v>115431.41</v>
      </c>
      <c r="BW151" s="10"/>
      <c r="BX151" s="9">
        <f>+R151-BV151</f>
        <v>84568.59</v>
      </c>
      <c r="BY151" s="10"/>
    </row>
    <row r="152" spans="1:126" s="15" customFormat="1">
      <c r="A152" s="109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126">
      <c r="A153" s="58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N153" s="6"/>
      <c r="BO153" s="6"/>
      <c r="BQ153" s="6"/>
      <c r="BR153" s="6"/>
      <c r="BS153" s="6"/>
      <c r="BY153" s="6"/>
    </row>
    <row r="154" spans="1:126" s="11" customFormat="1">
      <c r="A154" s="17"/>
      <c r="B154" s="11" t="s">
        <v>184</v>
      </c>
      <c r="J154" s="157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v>0</v>
      </c>
      <c r="BO154" s="12"/>
      <c r="BP154" s="6">
        <f t="shared" ref="BP154:BP159" si="27">SUM(T154:BO154)</f>
        <v>14497.18</v>
      </c>
      <c r="BQ154" s="12"/>
      <c r="BR154" s="12">
        <v>0</v>
      </c>
      <c r="BS154" s="12"/>
      <c r="BT154" s="6">
        <v>0</v>
      </c>
      <c r="BU154" s="12"/>
      <c r="BV154" s="6">
        <f t="shared" ref="BV154:BV159" si="28">+BP154+BT154</f>
        <v>14497.18</v>
      </c>
      <c r="BW154" s="12"/>
      <c r="BX154" s="6">
        <f t="shared" ref="BX154:BX159" si="29">+R154-BV154</f>
        <v>15502.82</v>
      </c>
      <c r="BY154" s="12"/>
    </row>
    <row r="155" spans="1:126" s="11" customFormat="1">
      <c r="A155" s="17"/>
      <c r="B155" s="11" t="s">
        <v>34</v>
      </c>
      <c r="J155" s="157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/>
      <c r="BO155" s="12"/>
      <c r="BP155" s="6">
        <f t="shared" si="27"/>
        <v>79163.12</v>
      </c>
      <c r="BQ155" s="12"/>
      <c r="BR155" s="12">
        <v>0</v>
      </c>
      <c r="BS155" s="12"/>
      <c r="BT155" s="6">
        <v>0</v>
      </c>
      <c r="BU155" s="12"/>
      <c r="BV155" s="6">
        <f t="shared" si="28"/>
        <v>79163.12</v>
      </c>
      <c r="BW155" s="12"/>
      <c r="BX155" s="6">
        <f t="shared" si="29"/>
        <v>70836.88</v>
      </c>
      <c r="BY155" s="12"/>
    </row>
    <row r="156" spans="1:126" s="11" customFormat="1">
      <c r="A156" s="17"/>
      <c r="B156" s="11" t="s">
        <v>217</v>
      </c>
      <c r="J156" s="157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v>0</v>
      </c>
      <c r="BO156" s="12"/>
      <c r="BP156" s="6">
        <f t="shared" si="27"/>
        <v>0</v>
      </c>
      <c r="BQ156" s="12"/>
      <c r="BR156" s="12">
        <v>0</v>
      </c>
      <c r="BS156" s="12"/>
      <c r="BT156" s="6">
        <f>IF(+R156-BP156+BR156&gt;0,R156-BP156+BR156,0)</f>
        <v>0</v>
      </c>
      <c r="BU156" s="12"/>
      <c r="BV156" s="6">
        <f t="shared" si="28"/>
        <v>0</v>
      </c>
      <c r="BW156" s="12"/>
      <c r="BX156" s="6">
        <f t="shared" si="29"/>
        <v>0</v>
      </c>
      <c r="BY156" s="12"/>
    </row>
    <row r="157" spans="1:126" s="11" customFormat="1">
      <c r="A157" s="17"/>
      <c r="B157" s="11" t="s">
        <v>121</v>
      </c>
      <c r="J157" s="157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>
        <v>5165</v>
      </c>
      <c r="BM157" s="12"/>
      <c r="BN157" s="12">
        <v>0</v>
      </c>
      <c r="BO157" s="12"/>
      <c r="BP157" s="6">
        <f t="shared" si="27"/>
        <v>559324.17999999993</v>
      </c>
      <c r="BQ157" s="12"/>
      <c r="BR157" s="12">
        <v>0</v>
      </c>
      <c r="BS157" s="12"/>
      <c r="BT157" s="6">
        <f>IF(+R157-BP157+BR157&gt;0,R157-BP157+BR157,0)</f>
        <v>0</v>
      </c>
      <c r="BU157" s="12"/>
      <c r="BV157" s="6">
        <f t="shared" si="28"/>
        <v>559324.17999999993</v>
      </c>
      <c r="BW157" s="12"/>
      <c r="BX157" s="6">
        <f t="shared" si="29"/>
        <v>-339324.17999999993</v>
      </c>
      <c r="BY157" s="12"/>
    </row>
    <row r="158" spans="1:126" s="11" customFormat="1">
      <c r="A158" s="17"/>
      <c r="B158" s="11" t="s">
        <v>332</v>
      </c>
      <c r="J158" s="157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6">
        <f t="shared" si="27"/>
        <v>195040.81</v>
      </c>
      <c r="BQ158" s="12"/>
      <c r="BR158" s="12">
        <v>0</v>
      </c>
      <c r="BS158" s="12"/>
      <c r="BT158" s="6">
        <f>IF(+R158-BP158+BR158&gt;0,R158-BP158+BR158,0)</f>
        <v>0</v>
      </c>
      <c r="BU158" s="12"/>
      <c r="BV158" s="6">
        <f t="shared" si="28"/>
        <v>195040.81</v>
      </c>
      <c r="BW158" s="12"/>
      <c r="BX158" s="6">
        <f t="shared" si="29"/>
        <v>-195040.81</v>
      </c>
      <c r="BY158" s="12"/>
    </row>
    <row r="159" spans="1:126" s="11" customFormat="1">
      <c r="A159" s="17"/>
      <c r="B159" s="11" t="s">
        <v>277</v>
      </c>
      <c r="J159" s="157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6">
        <f t="shared" si="27"/>
        <v>168356.08</v>
      </c>
      <c r="BQ159" s="12"/>
      <c r="BR159" s="12">
        <v>159233</v>
      </c>
      <c r="BS159" s="12"/>
      <c r="BT159" s="6">
        <f>IF(+R159-BP159+BR159&gt;0,R159-BP159+BR159,0)</f>
        <v>0</v>
      </c>
      <c r="BU159" s="12"/>
      <c r="BV159" s="6">
        <f t="shared" si="28"/>
        <v>168356.08</v>
      </c>
      <c r="BW159" s="12"/>
      <c r="BX159" s="6">
        <f t="shared" si="29"/>
        <v>-168356.08</v>
      </c>
      <c r="BY159" s="12"/>
    </row>
    <row r="160" spans="1:126" s="21" customFormat="1">
      <c r="A160" s="58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/>
      <c r="T160" s="102">
        <f t="shared" ref="T160:BX160" si="30">SUM(T154:T159)</f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44363</v>
      </c>
      <c r="BK160" s="102">
        <f>SUM(BK154:BK159)</f>
        <v>0</v>
      </c>
      <c r="BL160" s="102">
        <f>SUM(BL154:BL159)</f>
        <v>5165</v>
      </c>
      <c r="BM160" s="102"/>
      <c r="BN160" s="102">
        <f>SUM(BN154:BN159)</f>
        <v>0</v>
      </c>
      <c r="BO160" s="102"/>
      <c r="BP160" s="102">
        <f t="shared" si="30"/>
        <v>1016381.37</v>
      </c>
      <c r="BQ160" s="102">
        <f t="shared" si="30"/>
        <v>0</v>
      </c>
      <c r="BR160" s="102">
        <f t="shared" si="30"/>
        <v>159233</v>
      </c>
      <c r="BS160" s="102">
        <f t="shared" si="30"/>
        <v>0</v>
      </c>
      <c r="BT160" s="102">
        <f t="shared" si="30"/>
        <v>0</v>
      </c>
      <c r="BU160" s="102">
        <f t="shared" si="30"/>
        <v>0</v>
      </c>
      <c r="BV160" s="102">
        <f t="shared" si="30"/>
        <v>1016381.37</v>
      </c>
      <c r="BW160" s="102">
        <f t="shared" si="30"/>
        <v>0</v>
      </c>
      <c r="BX160" s="102">
        <f t="shared" si="30"/>
        <v>-616381.36999999988</v>
      </c>
      <c r="BY160" s="9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</row>
    <row r="161" spans="1:126" s="21" customFormat="1">
      <c r="A161" s="58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9"/>
      <c r="BR161" s="10"/>
      <c r="BS161" s="9"/>
      <c r="BT161" s="10"/>
      <c r="BU161" s="9"/>
      <c r="BV161" s="10"/>
      <c r="BW161" s="9"/>
      <c r="BX161" s="10"/>
      <c r="BY161" s="9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</row>
    <row r="162" spans="1:126">
      <c r="A162" s="58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N162" s="6"/>
      <c r="BO162" s="6"/>
      <c r="BQ162" s="6"/>
      <c r="BR162" s="6"/>
      <c r="BS162" s="6"/>
      <c r="BY162" s="1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</row>
    <row r="163" spans="1:126" s="11" customFormat="1">
      <c r="A163" s="17"/>
      <c r="B163" s="11" t="s">
        <v>37</v>
      </c>
      <c r="J163" s="157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v>0</v>
      </c>
      <c r="BO163" s="12"/>
      <c r="BP163" s="6">
        <f>SUM(T163:BO163)</f>
        <v>0</v>
      </c>
      <c r="BQ163" s="12"/>
      <c r="BR163" s="12">
        <v>0</v>
      </c>
      <c r="BS163" s="12"/>
      <c r="BT163" s="6">
        <f>IF(+R163-BP163+BR163&gt;0,R163-BP163+BR163,0)</f>
        <v>0</v>
      </c>
      <c r="BU163" s="12"/>
      <c r="BV163" s="6">
        <f>+BP163+BT163</f>
        <v>0</v>
      </c>
      <c r="BW163" s="12"/>
      <c r="BX163" s="6">
        <f>+R163-BV163</f>
        <v>0</v>
      </c>
      <c r="BY163" s="12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</row>
    <row r="164" spans="1:126" s="11" customFormat="1">
      <c r="A164" s="17"/>
      <c r="B164" s="11" t="s">
        <v>340</v>
      </c>
      <c r="J164" s="157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6">
        <f>SUM(T164:BO164)</f>
        <v>301672.13</v>
      </c>
      <c r="BQ164" s="12"/>
      <c r="BR164" s="12">
        <v>0</v>
      </c>
      <c r="BS164" s="12"/>
      <c r="BT164" s="6">
        <f>IF(+R164-BP164+BR164&gt;0,R164-BP164+BR164,0)</f>
        <v>0</v>
      </c>
      <c r="BU164" s="12"/>
      <c r="BV164" s="6">
        <f>+BP164+BT164</f>
        <v>301672.13</v>
      </c>
      <c r="BW164" s="12"/>
      <c r="BX164" s="6">
        <f>+R164-BV164</f>
        <v>-301672.13</v>
      </c>
      <c r="BY164" s="12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</row>
    <row r="165" spans="1:126" s="11" customFormat="1">
      <c r="A165" s="17"/>
      <c r="B165" s="11" t="s">
        <v>121</v>
      </c>
      <c r="J165" s="157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v>4040</v>
      </c>
      <c r="BM165" s="12"/>
      <c r="BN165" s="12">
        <v>0</v>
      </c>
      <c r="BO165" s="12"/>
      <c r="BP165" s="6">
        <f>SUM(T165:BO165)</f>
        <v>357602.9</v>
      </c>
      <c r="BQ165" s="12"/>
      <c r="BR165" s="12"/>
      <c r="BS165" s="12"/>
      <c r="BT165" s="6">
        <f>IF(+R165-BP165+BR165&gt;0,R165-BP165+BR165,0)</f>
        <v>42397.099999999977</v>
      </c>
      <c r="BU165" s="12"/>
      <c r="BV165" s="6">
        <f>+BP165+BT165</f>
        <v>400000</v>
      </c>
      <c r="BW165" s="12"/>
      <c r="BX165" s="6">
        <f>+R165-BV165</f>
        <v>0</v>
      </c>
      <c r="BY165" s="12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</row>
    <row r="166" spans="1:126" s="11" customFormat="1">
      <c r="A166" s="17"/>
      <c r="J166" s="157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6">
        <f>SUM(T166:BO166)</f>
        <v>0</v>
      </c>
      <c r="BQ166" s="12"/>
      <c r="BR166" s="12">
        <v>0</v>
      </c>
      <c r="BS166" s="12"/>
      <c r="BT166" s="6">
        <f>IF(+R166-BP166+BR166&gt;0,R166-BP166+BR166,0)</f>
        <v>0</v>
      </c>
      <c r="BU166" s="12"/>
      <c r="BV166" s="6">
        <f>+BP166+BT166</f>
        <v>0</v>
      </c>
      <c r="BW166" s="12"/>
      <c r="BX166" s="6">
        <f>+R166-BV166</f>
        <v>0</v>
      </c>
      <c r="BY166" s="12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</row>
    <row r="167" spans="1:126" s="21" customFormat="1">
      <c r="A167" s="58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4040</v>
      </c>
      <c r="BM167" s="102"/>
      <c r="BN167" s="102">
        <f>SUM(BN163:BN166)</f>
        <v>0</v>
      </c>
      <c r="BO167" s="102"/>
      <c r="BP167" s="102">
        <f>SUM(BP163:BP166)</f>
        <v>659275.03</v>
      </c>
      <c r="BQ167" s="9"/>
      <c r="BR167" s="102">
        <f>SUM(BR163:BR166)</f>
        <v>0</v>
      </c>
      <c r="BS167" s="9"/>
      <c r="BT167" s="102">
        <f>SUM(BT163:BT166)</f>
        <v>42397.099999999977</v>
      </c>
      <c r="BU167" s="9"/>
      <c r="BV167" s="102">
        <f>SUM(BV163:BV166)</f>
        <v>701672.13</v>
      </c>
      <c r="BW167" s="9"/>
      <c r="BX167" s="102">
        <f>SUM(BX163:BX166)</f>
        <v>-301672.13</v>
      </c>
      <c r="BY167" s="9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</row>
    <row r="168" spans="1:126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9"/>
      <c r="BR168" s="10"/>
      <c r="BS168" s="9"/>
      <c r="BT168" s="10"/>
      <c r="BU168" s="9"/>
      <c r="BV168" s="10"/>
      <c r="BW168" s="9"/>
      <c r="BX168" s="10"/>
      <c r="BY168" s="9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</row>
    <row r="169" spans="1:126" s="31" customFormat="1">
      <c r="A169" s="58" t="s">
        <v>249</v>
      </c>
      <c r="J169" s="156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v>0</v>
      </c>
      <c r="BO169" s="10"/>
      <c r="BP169" s="9">
        <f>SUM(T169:BO169)</f>
        <v>9000564.070295183</v>
      </c>
      <c r="BQ169" s="10"/>
      <c r="BR169" s="10">
        <v>-984592</v>
      </c>
      <c r="BS169" s="10"/>
      <c r="BT169" s="6"/>
      <c r="BU169" s="10"/>
      <c r="BV169" s="9">
        <f>+BP169+BT169</f>
        <v>9000564.070295183</v>
      </c>
      <c r="BW169" s="10"/>
      <c r="BX169" s="9">
        <f>+R169-BV169</f>
        <v>1031760.929704817</v>
      </c>
      <c r="BY169" s="10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</row>
    <row r="170" spans="1:126" s="21" customFormat="1">
      <c r="A170" s="58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9"/>
      <c r="BR170" s="10"/>
      <c r="BS170" s="9"/>
      <c r="BT170" s="10"/>
      <c r="BU170" s="9"/>
      <c r="BV170" s="10"/>
      <c r="BW170" s="9"/>
      <c r="BX170" s="10"/>
      <c r="BY170" s="9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</row>
    <row r="171" spans="1:126" s="105" customFormat="1">
      <c r="A171" s="63" t="s">
        <v>248</v>
      </c>
      <c r="B171" s="54"/>
      <c r="J171" s="155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/>
      <c r="T171" s="120">
        <f t="shared" ref="T171:BY171" si="31">T169+T160+T151+T149+T147+T141+T139+T137+T130+T123+T121+T119+T117+T115+T167</f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507802</v>
      </c>
      <c r="BM171" s="120"/>
      <c r="BN171" s="120">
        <f>BN169+BN160+BN151+BN149+BN147+BN141+BN139+BN137+BN130+BN123+BN121+BN119+BN117+BN115+BN167</f>
        <v>5978</v>
      </c>
      <c r="BO171" s="120"/>
      <c r="BP171" s="120">
        <f t="shared" si="31"/>
        <v>17672427.770295184</v>
      </c>
      <c r="BQ171" s="120">
        <f t="shared" si="31"/>
        <v>0</v>
      </c>
      <c r="BR171" s="120">
        <f t="shared" si="31"/>
        <v>-4543771</v>
      </c>
      <c r="BS171" s="120">
        <f t="shared" si="31"/>
        <v>0</v>
      </c>
      <c r="BT171" s="120">
        <f t="shared" si="31"/>
        <v>1812570.5499999998</v>
      </c>
      <c r="BU171" s="120">
        <f t="shared" si="31"/>
        <v>0</v>
      </c>
      <c r="BV171" s="120">
        <f t="shared" si="31"/>
        <v>19484998.320295181</v>
      </c>
      <c r="BW171" s="120">
        <f t="shared" si="31"/>
        <v>0</v>
      </c>
      <c r="BX171" s="120">
        <f t="shared" si="31"/>
        <v>4098843.679704817</v>
      </c>
      <c r="BY171" s="120">
        <f t="shared" si="31"/>
        <v>0</v>
      </c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</row>
    <row r="172" spans="1:126" s="21" customFormat="1">
      <c r="A172" s="58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9"/>
      <c r="BR172" s="10"/>
      <c r="BS172" s="9"/>
      <c r="BT172" s="10"/>
      <c r="BU172" s="9"/>
      <c r="BV172" s="10"/>
      <c r="BW172" s="9"/>
      <c r="BX172" s="10"/>
      <c r="BY172" s="9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</row>
    <row r="173" spans="1:126" s="21" customFormat="1">
      <c r="A173" s="58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10"/>
      <c r="BQ173" s="9">
        <v>2030320</v>
      </c>
      <c r="BR173" s="9">
        <v>-3324152</v>
      </c>
      <c r="BS173" s="9">
        <v>2030320</v>
      </c>
      <c r="BT173" s="6">
        <f>IF(+R173-BP173+BR173&gt;0,R173-BP173+BR173,0)</f>
        <v>0.10000000009313226</v>
      </c>
      <c r="BU173" s="9">
        <v>2030320</v>
      </c>
      <c r="BV173" s="9">
        <f>+BP173+BT173</f>
        <v>0.10000000009313226</v>
      </c>
      <c r="BW173" s="9">
        <v>2030320</v>
      </c>
      <c r="BX173" s="6">
        <f>+R173-BV173</f>
        <v>3324152</v>
      </c>
      <c r="BY173" s="9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</row>
    <row r="174" spans="1:126" s="21" customFormat="1">
      <c r="A174" s="58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9"/>
      <c r="BR174" s="10"/>
      <c r="BS174" s="9"/>
      <c r="BT174" s="10"/>
      <c r="BU174" s="9"/>
      <c r="BV174" s="10"/>
      <c r="BW174" s="9"/>
      <c r="BX174" s="10"/>
      <c r="BY174" s="9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</row>
    <row r="175" spans="1:126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9"/>
      <c r="BR175" s="10"/>
      <c r="BS175" s="9"/>
      <c r="BT175" s="10"/>
      <c r="BU175" s="9"/>
      <c r="BV175" s="10"/>
      <c r="BW175" s="9"/>
      <c r="BX175" s="10"/>
      <c r="BY175" s="9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</row>
    <row r="176" spans="1:126" s="166" customFormat="1">
      <c r="A176" s="165" t="s">
        <v>252</v>
      </c>
      <c r="J176" s="167"/>
      <c r="L176" s="168"/>
      <c r="M176" s="169"/>
      <c r="N176" s="169"/>
      <c r="O176" s="169"/>
      <c r="P176" s="169"/>
      <c r="Q176" s="169"/>
      <c r="R176" s="164">
        <f t="shared" ref="R176:AW176" si="32">R34+R102+R91+R107+R171+R173</f>
        <v>158451248.09999999</v>
      </c>
      <c r="S176" s="164"/>
      <c r="T176" s="164">
        <f t="shared" si="32"/>
        <v>17087218</v>
      </c>
      <c r="U176" s="164">
        <f t="shared" si="32"/>
        <v>0</v>
      </c>
      <c r="V176" s="164">
        <f t="shared" si="32"/>
        <v>43642668.530000001</v>
      </c>
      <c r="W176" s="164">
        <f t="shared" si="32"/>
        <v>0</v>
      </c>
      <c r="X176" s="164">
        <f t="shared" si="32"/>
        <v>4696471.93</v>
      </c>
      <c r="Y176" s="164">
        <f t="shared" si="32"/>
        <v>0</v>
      </c>
      <c r="Z176" s="164">
        <f t="shared" si="32"/>
        <v>440729.95</v>
      </c>
      <c r="AA176" s="164">
        <f t="shared" si="32"/>
        <v>0</v>
      </c>
      <c r="AB176" s="164">
        <f t="shared" si="32"/>
        <v>4762739.43</v>
      </c>
      <c r="AC176" s="164">
        <f t="shared" si="32"/>
        <v>0</v>
      </c>
      <c r="AD176" s="164">
        <f t="shared" si="32"/>
        <v>9136615.6799999997</v>
      </c>
      <c r="AE176" s="164">
        <f t="shared" si="32"/>
        <v>0</v>
      </c>
      <c r="AF176" s="164">
        <f t="shared" si="32"/>
        <v>573248.10862083337</v>
      </c>
      <c r="AG176" s="164">
        <f t="shared" si="32"/>
        <v>0</v>
      </c>
      <c r="AH176" s="164">
        <f t="shared" si="32"/>
        <v>1116780.7521383627</v>
      </c>
      <c r="AI176" s="164">
        <f t="shared" si="32"/>
        <v>0</v>
      </c>
      <c r="AJ176" s="164">
        <f t="shared" si="32"/>
        <v>1496281.3264166121</v>
      </c>
      <c r="AK176" s="164">
        <f t="shared" si="32"/>
        <v>0</v>
      </c>
      <c r="AL176" s="164">
        <f t="shared" si="32"/>
        <v>1780115.93</v>
      </c>
      <c r="AM176" s="164">
        <f t="shared" si="32"/>
        <v>0</v>
      </c>
      <c r="AN176" s="164">
        <f t="shared" si="32"/>
        <v>1566383.0055069246</v>
      </c>
      <c r="AO176" s="164">
        <f t="shared" si="32"/>
        <v>0</v>
      </c>
      <c r="AP176" s="164">
        <f t="shared" si="32"/>
        <v>5481999.3709659204</v>
      </c>
      <c r="AQ176" s="164"/>
      <c r="AR176" s="164">
        <f t="shared" si="32"/>
        <v>4677967.54</v>
      </c>
      <c r="AS176" s="164">
        <f t="shared" si="32"/>
        <v>0</v>
      </c>
      <c r="AT176" s="164">
        <f t="shared" si="32"/>
        <v>8750380.3051100411</v>
      </c>
      <c r="AU176" s="164">
        <f t="shared" si="32"/>
        <v>0</v>
      </c>
      <c r="AV176" s="164">
        <f t="shared" si="32"/>
        <v>9706071.6582599431</v>
      </c>
      <c r="AW176" s="164">
        <f t="shared" si="32"/>
        <v>0</v>
      </c>
      <c r="AX176" s="164">
        <f t="shared" ref="AX176:BX176" si="33">AX34+AX102+AX91+AX107+AX171+AX173</f>
        <v>9777060.1201588511</v>
      </c>
      <c r="AY176" s="164">
        <f t="shared" si="33"/>
        <v>0</v>
      </c>
      <c r="AZ176" s="164">
        <f t="shared" si="33"/>
        <v>8038836.5700000003</v>
      </c>
      <c r="BA176" s="164">
        <f t="shared" si="33"/>
        <v>0</v>
      </c>
      <c r="BB176" s="164">
        <f t="shared" si="33"/>
        <v>2610922.7399374889</v>
      </c>
      <c r="BC176" s="164">
        <f t="shared" si="33"/>
        <v>0</v>
      </c>
      <c r="BD176" s="164">
        <f t="shared" si="33"/>
        <v>16127168.373180207</v>
      </c>
      <c r="BE176" s="164">
        <f t="shared" si="33"/>
        <v>0</v>
      </c>
      <c r="BF176" s="164">
        <f t="shared" si="33"/>
        <v>2023191.44</v>
      </c>
      <c r="BG176" s="164">
        <f t="shared" si="33"/>
        <v>0</v>
      </c>
      <c r="BH176" s="164">
        <f t="shared" si="33"/>
        <v>249879.07999999996</v>
      </c>
      <c r="BI176" s="164">
        <f t="shared" si="33"/>
        <v>0</v>
      </c>
      <c r="BJ176" s="164">
        <f t="shared" si="33"/>
        <v>177164</v>
      </c>
      <c r="BK176" s="164">
        <f>BK34+BK102+BK91+BK107+BK171+BK173</f>
        <v>0</v>
      </c>
      <c r="BL176" s="164">
        <f>BL34+BL102+BL91+BL107+BL171+BL173</f>
        <v>507802</v>
      </c>
      <c r="BM176" s="164"/>
      <c r="BN176" s="164">
        <f>BN34+BN102+BN91+BN107+BN171+BN173</f>
        <v>5978</v>
      </c>
      <c r="BO176" s="164"/>
      <c r="BP176" s="164">
        <f t="shared" si="33"/>
        <v>154433673.8402952</v>
      </c>
      <c r="BQ176" s="164">
        <f t="shared" si="33"/>
        <v>3202104</v>
      </c>
      <c r="BR176" s="164">
        <f t="shared" si="33"/>
        <v>2825212</v>
      </c>
      <c r="BS176" s="164">
        <f t="shared" si="33"/>
        <v>4673615</v>
      </c>
      <c r="BT176" s="164">
        <f t="shared" si="33"/>
        <v>5082048.9133333135</v>
      </c>
      <c r="BU176" s="164">
        <f t="shared" si="33"/>
        <v>7699097</v>
      </c>
      <c r="BV176" s="164">
        <f t="shared" si="33"/>
        <v>157980762.6836285</v>
      </c>
      <c r="BW176" s="164">
        <f t="shared" si="33"/>
        <v>14335953</v>
      </c>
      <c r="BX176" s="164">
        <f t="shared" si="33"/>
        <v>470485.41637148336</v>
      </c>
      <c r="BY176" s="169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</row>
    <row r="177" spans="1:126" s="21" customFormat="1">
      <c r="A177" s="58" t="s">
        <v>250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9"/>
      <c r="BR177" s="10"/>
      <c r="BS177" s="9"/>
      <c r="BT177" s="10"/>
      <c r="BU177" s="9"/>
      <c r="BV177" s="10">
        <f>BV176/B4</f>
        <v>336129.28230559255</v>
      </c>
      <c r="BW177" s="9"/>
      <c r="BX177" s="10"/>
      <c r="BY177" s="9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</row>
    <row r="178" spans="1:126" s="21" customFormat="1" hidden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9"/>
      <c r="BR178" s="10"/>
      <c r="BS178" s="9"/>
      <c r="BT178" s="10"/>
      <c r="BU178" s="9"/>
      <c r="BV178" s="10"/>
      <c r="BW178" s="9"/>
      <c r="BX178" s="10"/>
      <c r="BY178" s="9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</row>
    <row r="179" spans="1:126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10"/>
      <c r="BN179" s="10" t="s">
        <v>83</v>
      </c>
      <c r="BO179" s="10"/>
      <c r="BP179" s="10">
        <f>-BP123</f>
        <v>-42514.879999999997</v>
      </c>
      <c r="BQ179" s="9"/>
      <c r="BR179" s="10"/>
      <c r="BS179" s="9"/>
      <c r="BT179" s="10"/>
      <c r="BU179" s="9"/>
      <c r="BV179" s="10"/>
      <c r="BW179" s="9"/>
      <c r="BX179" s="10"/>
      <c r="BY179" s="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</row>
    <row r="180" spans="1:126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/>
      <c r="BK180" s="10"/>
      <c r="BL180" s="10" t="s">
        <v>438</v>
      </c>
      <c r="BM180" s="10"/>
      <c r="BN180" s="10" t="s">
        <v>438</v>
      </c>
      <c r="BO180" s="10"/>
      <c r="BP180" s="10">
        <f>-BP115</f>
        <v>-1120159.1299999999</v>
      </c>
      <c r="BQ180" s="9"/>
      <c r="BR180" s="10"/>
      <c r="BS180" s="9"/>
      <c r="BT180" s="10"/>
      <c r="BU180" s="9"/>
      <c r="BV180" s="10"/>
      <c r="BW180" s="9"/>
      <c r="BX180" s="10"/>
      <c r="BY180" s="9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</row>
    <row r="181" spans="1:126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442</v>
      </c>
      <c r="BM181" s="10"/>
      <c r="BN181" s="10" t="s">
        <v>442</v>
      </c>
      <c r="BO181" s="10"/>
      <c r="BP181" s="10">
        <f>-BP121</f>
        <v>-13668.55</v>
      </c>
      <c r="BQ181" s="9"/>
      <c r="BR181" s="10"/>
      <c r="BS181" s="9"/>
      <c r="BT181" s="10"/>
      <c r="BU181" s="9"/>
      <c r="BV181" s="10"/>
      <c r="BW181" s="9"/>
      <c r="BX181" s="10"/>
      <c r="BY181" s="9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</row>
    <row r="182" spans="1:126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BP182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440</v>
      </c>
      <c r="BM182" s="10"/>
      <c r="BN182" s="10" t="s">
        <v>440</v>
      </c>
      <c r="BO182" s="10"/>
      <c r="BP182" s="10">
        <v>-300697</v>
      </c>
      <c r="BQ182" s="9"/>
      <c r="BR182" s="10"/>
      <c r="BS182" s="9"/>
      <c r="BT182" s="10"/>
      <c r="BU182" s="9"/>
      <c r="BV182" s="10"/>
      <c r="BW182" s="9"/>
      <c r="BX182" s="10"/>
      <c r="BY182" s="9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</row>
    <row r="183" spans="1:126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10"/>
      <c r="BL183" s="10"/>
      <c r="BM183" s="10"/>
      <c r="BN183" s="10"/>
      <c r="BO183" s="10"/>
      <c r="BP183" s="10">
        <f>SUM(BP176:BP182)</f>
        <v>152956634.28029519</v>
      </c>
      <c r="BQ183" s="9"/>
      <c r="BR183" s="10"/>
      <c r="BS183" s="9"/>
      <c r="BT183" s="10"/>
      <c r="BU183" s="9"/>
      <c r="BV183" s="10"/>
      <c r="BW183" s="9"/>
      <c r="BX183" s="10"/>
      <c r="BY183" s="9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</row>
    <row r="184" spans="1:126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9"/>
      <c r="BR184" s="10"/>
      <c r="BS184" s="9"/>
      <c r="BT184" s="10"/>
      <c r="BU184" s="9"/>
      <c r="BV184" s="10"/>
      <c r="BW184" s="9"/>
      <c r="BX184" s="10"/>
      <c r="BY184" s="9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</row>
    <row r="185" spans="1:126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441</v>
      </c>
      <c r="BM185" s="10"/>
      <c r="BN185" s="10" t="s">
        <v>441</v>
      </c>
      <c r="BO185" s="10"/>
      <c r="BP185" s="10">
        <f>152979395-7760</f>
        <v>152971635</v>
      </c>
      <c r="BQ185" s="9"/>
      <c r="BR185" s="10"/>
      <c r="BS185" s="9"/>
      <c r="BT185" s="10"/>
      <c r="BU185" s="9"/>
      <c r="BV185" s="10"/>
      <c r="BW185" s="9"/>
      <c r="BX185" s="10"/>
      <c r="BY185" s="9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</row>
    <row r="186" spans="1:126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>
        <f>BP183-BP185</f>
        <v>-15000.719704806805</v>
      </c>
      <c r="BQ186" s="9"/>
      <c r="BR186" s="10"/>
      <c r="BS186" s="9"/>
      <c r="BT186" s="10"/>
      <c r="BU186" s="9"/>
      <c r="BV186" s="10"/>
      <c r="BW186" s="9"/>
      <c r="BX186" s="10"/>
      <c r="BY186" s="9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</row>
    <row r="187" spans="1:126" s="21" customFormat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9"/>
      <c r="BR187" s="10"/>
      <c r="BS187" s="9"/>
      <c r="BT187" s="10"/>
      <c r="BU187" s="9"/>
      <c r="BV187" s="10"/>
      <c r="BW187" s="9"/>
      <c r="BX187" s="10"/>
      <c r="BY187" s="9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</row>
    <row r="188" spans="1:126" s="21" customFormat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9"/>
      <c r="BR188" s="10"/>
      <c r="BS188" s="9"/>
      <c r="BT188" s="10"/>
      <c r="BU188" s="9"/>
      <c r="BV188" s="10"/>
      <c r="BW188" s="9"/>
      <c r="BX188" s="10"/>
      <c r="BY188" s="9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</row>
  </sheetData>
  <printOptions horizontalCentered="1"/>
  <pageMargins left="0.19" right="0.17" top="0.4" bottom="0.27" header="0.5" footer="0.23"/>
  <pageSetup scale="50" fitToHeight="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2000-11-27T21:52:44Z</cp:lastPrinted>
  <dcterms:created xsi:type="dcterms:W3CDTF">1998-11-04T14:40:39Z</dcterms:created>
  <dcterms:modified xsi:type="dcterms:W3CDTF">2023-09-13T21:34:26Z</dcterms:modified>
</cp:coreProperties>
</file>