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045DB2-DC33-4720-AF22-359DB1907C28}" xr6:coauthVersionLast="47" xr6:coauthVersionMax="47" xr10:uidLastSave="{00000000-0000-0000-0000-000000000000}"/>
  <bookViews>
    <workbookView xWindow="-120" yWindow="-120" windowWidth="38640" windowHeight="15720" tabRatio="602" activeTab="4"/>
  </bookViews>
  <sheets>
    <sheet name="Model" sheetId="1" r:id="rId1"/>
    <sheet name="Merchant" sheetId="2" r:id="rId2"/>
    <sheet name="Sayreville" sheetId="7" r:id="rId3"/>
    <sheet name="Bellingham" sheetId="6" r:id="rId4"/>
    <sheet name="Summary" sheetId="5" r:id="rId5"/>
  </sheets>
  <definedNames>
    <definedName name="_xlnm.Print_Area" localSheetId="1">Merchant!$A$1:$AA$68</definedName>
    <definedName name="_xlnm.Print_Area" localSheetId="0">Model!$A$7:$AC$463</definedName>
    <definedName name="_xlnm.Print_Area" localSheetId="4">Summary!$A$51:$I$79</definedName>
    <definedName name="_xlnm.Print_Titles" localSheetId="0">Model!$1:$6</definedName>
  </definedNames>
  <calcPr calcId="0" fullCalcOnLoad="1" iterate="1" calcOnSave="0"/>
</workbook>
</file>

<file path=xl/calcChain.xml><?xml version="1.0" encoding="utf-8"?>
<calcChain xmlns="http://schemas.openxmlformats.org/spreadsheetml/2006/main">
  <c r="S18" i="6" l="1"/>
  <c r="B20" i="6"/>
  <c r="C20" i="6"/>
  <c r="D20" i="6"/>
  <c r="E20" i="6"/>
  <c r="F20" i="6"/>
  <c r="G2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B33" i="6"/>
  <c r="B34" i="6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11" i="2"/>
  <c r="C12" i="2"/>
  <c r="C13" i="2"/>
  <c r="C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7" i="2"/>
  <c r="C18" i="2"/>
  <c r="C19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D23" i="2"/>
  <c r="C37" i="2"/>
  <c r="C38" i="2"/>
  <c r="C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2" i="2"/>
  <c r="C43" i="2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D46" i="2"/>
  <c r="E76" i="2"/>
  <c r="F76" i="2"/>
  <c r="G76" i="2"/>
  <c r="H76" i="2"/>
  <c r="I76" i="2"/>
  <c r="J76" i="2"/>
  <c r="K76" i="2"/>
  <c r="L76" i="2"/>
  <c r="M76" i="2"/>
  <c r="N76" i="2"/>
  <c r="O76" i="2"/>
  <c r="E77" i="2"/>
  <c r="F77" i="2"/>
  <c r="G77" i="2"/>
  <c r="H77" i="2"/>
  <c r="I77" i="2"/>
  <c r="J77" i="2"/>
  <c r="K77" i="2"/>
  <c r="L77" i="2"/>
  <c r="M77" i="2"/>
  <c r="N77" i="2"/>
  <c r="O77" i="2"/>
  <c r="E78" i="2"/>
  <c r="F78" i="2"/>
  <c r="G78" i="2"/>
  <c r="H78" i="2"/>
  <c r="I78" i="2"/>
  <c r="J78" i="2"/>
  <c r="K78" i="2"/>
  <c r="L78" i="2"/>
  <c r="M78" i="2"/>
  <c r="N78" i="2"/>
  <c r="O78" i="2"/>
  <c r="E79" i="2"/>
  <c r="F79" i="2"/>
  <c r="G79" i="2"/>
  <c r="H79" i="2"/>
  <c r="I79" i="2"/>
  <c r="J79" i="2"/>
  <c r="K79" i="2"/>
  <c r="L79" i="2"/>
  <c r="M79" i="2"/>
  <c r="N79" i="2"/>
  <c r="O79" i="2"/>
  <c r="F94" i="2"/>
  <c r="H94" i="2"/>
  <c r="I94" i="2"/>
  <c r="J94" i="2"/>
  <c r="K94" i="2"/>
  <c r="L94" i="2"/>
  <c r="M94" i="2"/>
  <c r="N94" i="2"/>
  <c r="O94" i="2"/>
  <c r="P94" i="2"/>
  <c r="Q94" i="2"/>
  <c r="A2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U11" i="1"/>
  <c r="Y11" i="1"/>
  <c r="AC11" i="1"/>
  <c r="P12" i="1"/>
  <c r="T12" i="1"/>
  <c r="X12" i="1"/>
  <c r="AB12" i="1"/>
  <c r="Q13" i="1"/>
  <c r="U13" i="1"/>
  <c r="Y13" i="1"/>
  <c r="AC13" i="1"/>
  <c r="Q15" i="1"/>
  <c r="J20" i="1"/>
  <c r="K20" i="1"/>
  <c r="K21" i="1"/>
  <c r="K23" i="1"/>
  <c r="T33" i="1"/>
  <c r="U33" i="1"/>
  <c r="V33" i="1"/>
  <c r="W33" i="1"/>
  <c r="X33" i="1"/>
  <c r="Y33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Z37" i="1"/>
  <c r="AA37" i="1"/>
  <c r="AB37" i="1"/>
  <c r="AC37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T56" i="1"/>
  <c r="U56" i="1"/>
  <c r="V56" i="1"/>
  <c r="W56" i="1"/>
  <c r="X56" i="1"/>
  <c r="T63" i="1"/>
  <c r="U63" i="1"/>
  <c r="V63" i="1"/>
  <c r="W63" i="1"/>
  <c r="X63" i="1"/>
  <c r="Y63" i="1"/>
  <c r="Z63" i="1"/>
  <c r="AA63" i="1"/>
  <c r="AB63" i="1"/>
  <c r="AC63" i="1"/>
  <c r="T64" i="1"/>
  <c r="U64" i="1"/>
  <c r="V64" i="1"/>
  <c r="W64" i="1"/>
  <c r="X64" i="1"/>
  <c r="Y64" i="1"/>
  <c r="Z64" i="1"/>
  <c r="AA64" i="1"/>
  <c r="AB64" i="1"/>
  <c r="AC64" i="1"/>
  <c r="I65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J87" i="1"/>
  <c r="T87" i="1"/>
  <c r="U87" i="1"/>
  <c r="V87" i="1"/>
  <c r="W87" i="1"/>
  <c r="X87" i="1"/>
  <c r="Y87" i="1"/>
  <c r="Z87" i="1"/>
  <c r="AA87" i="1"/>
  <c r="AB87" i="1"/>
  <c r="AC87" i="1"/>
  <c r="T89" i="1"/>
  <c r="U89" i="1"/>
  <c r="V89" i="1"/>
  <c r="W89" i="1"/>
  <c r="X89" i="1"/>
  <c r="Y89" i="1"/>
  <c r="Z89" i="1"/>
  <c r="AA89" i="1"/>
  <c r="AB89" i="1"/>
  <c r="AC89" i="1"/>
  <c r="X94" i="1"/>
  <c r="X96" i="1"/>
  <c r="X97" i="1"/>
  <c r="AC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F102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F110" i="1"/>
  <c r="T110" i="1"/>
  <c r="U110" i="1"/>
  <c r="V110" i="1"/>
  <c r="W110" i="1"/>
  <c r="X110" i="1"/>
  <c r="Y110" i="1"/>
  <c r="Z110" i="1"/>
  <c r="AA110" i="1"/>
  <c r="AB110" i="1"/>
  <c r="AC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T137" i="1"/>
  <c r="U137" i="1"/>
  <c r="V137" i="1"/>
  <c r="W137" i="1"/>
  <c r="X137" i="1"/>
  <c r="Y137" i="1"/>
  <c r="Z137" i="1"/>
  <c r="AA137" i="1"/>
  <c r="AB137" i="1"/>
  <c r="AC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I140" i="1"/>
  <c r="J140" i="1"/>
  <c r="K140" i="1"/>
  <c r="L140" i="1"/>
  <c r="M140" i="1"/>
  <c r="N140" i="1"/>
  <c r="O140" i="1"/>
  <c r="P140" i="1"/>
  <c r="Q140" i="1"/>
  <c r="R140" i="1"/>
  <c r="S140" i="1"/>
  <c r="Z140" i="1"/>
  <c r="AA140" i="1"/>
  <c r="AB140" i="1"/>
  <c r="AC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T148" i="1"/>
  <c r="U148" i="1"/>
  <c r="V148" i="1"/>
  <c r="W148" i="1"/>
  <c r="X148" i="1"/>
  <c r="Y148" i="1"/>
  <c r="Z148" i="1"/>
  <c r="AA148" i="1"/>
  <c r="AB148" i="1"/>
  <c r="AC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I154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S195" i="1"/>
  <c r="T195" i="1"/>
  <c r="U195" i="1"/>
  <c r="V195" i="1"/>
  <c r="W195" i="1"/>
  <c r="X195" i="1"/>
  <c r="Y195" i="1"/>
  <c r="Z195" i="1"/>
  <c r="AA195" i="1"/>
  <c r="AB195" i="1"/>
  <c r="AC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I197" i="1"/>
  <c r="J197" i="1"/>
  <c r="K197" i="1"/>
  <c r="L197" i="1"/>
  <c r="M197" i="1"/>
  <c r="N197" i="1"/>
  <c r="O197" i="1"/>
  <c r="P197" i="1"/>
  <c r="Q197" i="1"/>
  <c r="R197" i="1"/>
  <c r="S197" i="1"/>
  <c r="U197" i="1"/>
  <c r="V197" i="1"/>
  <c r="W197" i="1"/>
  <c r="X197" i="1"/>
  <c r="Y197" i="1"/>
  <c r="Z197" i="1"/>
  <c r="AA197" i="1"/>
  <c r="AB197" i="1"/>
  <c r="AC197" i="1"/>
  <c r="I198" i="1"/>
  <c r="J198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U199" i="1"/>
  <c r="V199" i="1"/>
  <c r="W199" i="1"/>
  <c r="X199" i="1"/>
  <c r="Y199" i="1"/>
  <c r="Z199" i="1"/>
  <c r="AA199" i="1"/>
  <c r="AB199" i="1"/>
  <c r="AC199" i="1"/>
  <c r="J200" i="1"/>
  <c r="K200" i="1"/>
  <c r="L200" i="1"/>
  <c r="M200" i="1"/>
  <c r="N200" i="1"/>
  <c r="O200" i="1"/>
  <c r="P200" i="1"/>
  <c r="Q200" i="1"/>
  <c r="R200" i="1"/>
  <c r="S200" i="1"/>
  <c r="U200" i="1"/>
  <c r="V200" i="1"/>
  <c r="W200" i="1"/>
  <c r="X200" i="1"/>
  <c r="Y200" i="1"/>
  <c r="Z200" i="1"/>
  <c r="AA200" i="1"/>
  <c r="AB200" i="1"/>
  <c r="AC200" i="1"/>
  <c r="J201" i="1"/>
  <c r="K201" i="1"/>
  <c r="L201" i="1"/>
  <c r="M201" i="1"/>
  <c r="N201" i="1"/>
  <c r="O201" i="1"/>
  <c r="P201" i="1"/>
  <c r="Q201" i="1"/>
  <c r="R201" i="1"/>
  <c r="S201" i="1"/>
  <c r="U201" i="1"/>
  <c r="V201" i="1"/>
  <c r="W201" i="1"/>
  <c r="X201" i="1"/>
  <c r="Y201" i="1"/>
  <c r="Z201" i="1"/>
  <c r="AA201" i="1"/>
  <c r="AB201" i="1"/>
  <c r="AC201" i="1"/>
  <c r="J202" i="1"/>
  <c r="K202" i="1"/>
  <c r="L202" i="1"/>
  <c r="M202" i="1"/>
  <c r="N202" i="1"/>
  <c r="O202" i="1"/>
  <c r="P202" i="1"/>
  <c r="Q202" i="1"/>
  <c r="R202" i="1"/>
  <c r="S202" i="1"/>
  <c r="U202" i="1"/>
  <c r="V202" i="1"/>
  <c r="W202" i="1"/>
  <c r="X202" i="1"/>
  <c r="Y202" i="1"/>
  <c r="Z202" i="1"/>
  <c r="AA202" i="1"/>
  <c r="AB202" i="1"/>
  <c r="AC202" i="1"/>
  <c r="J203" i="1"/>
  <c r="K203" i="1"/>
  <c r="L203" i="1"/>
  <c r="M203" i="1"/>
  <c r="N203" i="1"/>
  <c r="O203" i="1"/>
  <c r="P203" i="1"/>
  <c r="Q203" i="1"/>
  <c r="R203" i="1"/>
  <c r="S203" i="1"/>
  <c r="U203" i="1"/>
  <c r="V203" i="1"/>
  <c r="W203" i="1"/>
  <c r="X203" i="1"/>
  <c r="Y203" i="1"/>
  <c r="Z203" i="1"/>
  <c r="AA203" i="1"/>
  <c r="AB203" i="1"/>
  <c r="AC203" i="1"/>
  <c r="J204" i="1"/>
  <c r="K204" i="1"/>
  <c r="L204" i="1"/>
  <c r="M204" i="1"/>
  <c r="N204" i="1"/>
  <c r="O204" i="1"/>
  <c r="P204" i="1"/>
  <c r="Q204" i="1"/>
  <c r="R204" i="1"/>
  <c r="S204" i="1"/>
  <c r="U204" i="1"/>
  <c r="V204" i="1"/>
  <c r="W204" i="1"/>
  <c r="X204" i="1"/>
  <c r="Y204" i="1"/>
  <c r="Z204" i="1"/>
  <c r="AA204" i="1"/>
  <c r="AB204" i="1"/>
  <c r="AC204" i="1"/>
  <c r="G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F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I232" i="1"/>
  <c r="J233" i="1"/>
  <c r="K233" i="1"/>
  <c r="L233" i="1"/>
  <c r="I234" i="1"/>
  <c r="J234" i="1"/>
  <c r="K234" i="1"/>
  <c r="L234" i="1"/>
  <c r="I235" i="1"/>
  <c r="J235" i="1"/>
  <c r="K235" i="1"/>
  <c r="L235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I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H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F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B305" i="1"/>
  <c r="F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B306" i="1"/>
  <c r="F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B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F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N312" i="1"/>
  <c r="N313" i="1"/>
  <c r="N314" i="1"/>
  <c r="L315" i="1"/>
  <c r="N315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F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F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7" i="1"/>
  <c r="J357" i="1"/>
  <c r="K357" i="1"/>
  <c r="L357" i="1"/>
  <c r="M357" i="1"/>
  <c r="N357" i="1"/>
  <c r="O357" i="1"/>
  <c r="P357" i="1"/>
  <c r="Q357" i="1"/>
  <c r="R357" i="1"/>
  <c r="S357" i="1"/>
  <c r="F359" i="1"/>
  <c r="I359" i="1"/>
  <c r="J359" i="1"/>
  <c r="K359" i="1"/>
  <c r="L359" i="1"/>
  <c r="M359" i="1"/>
  <c r="N359" i="1"/>
  <c r="O359" i="1"/>
  <c r="P359" i="1"/>
  <c r="Q359" i="1"/>
  <c r="R359" i="1"/>
  <c r="S359" i="1"/>
  <c r="F361" i="1"/>
  <c r="I361" i="1"/>
  <c r="J361" i="1"/>
  <c r="K361" i="1"/>
  <c r="L361" i="1"/>
  <c r="M361" i="1"/>
  <c r="N361" i="1"/>
  <c r="O361" i="1"/>
  <c r="P361" i="1"/>
  <c r="Q361" i="1"/>
  <c r="R361" i="1"/>
  <c r="S361" i="1"/>
  <c r="F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F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F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F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F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F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F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F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F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M417" i="1"/>
  <c r="N417" i="1"/>
  <c r="O417" i="1"/>
  <c r="M418" i="1"/>
  <c r="N418" i="1"/>
  <c r="O418" i="1"/>
  <c r="M419" i="1"/>
  <c r="N419" i="1"/>
  <c r="O419" i="1"/>
  <c r="L420" i="1"/>
  <c r="N420" i="1"/>
  <c r="O420" i="1"/>
  <c r="C425" i="1"/>
  <c r="F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C426" i="1"/>
  <c r="F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C427" i="1"/>
  <c r="F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F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F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F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I459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I463" i="1"/>
  <c r="J463" i="1"/>
  <c r="K463" i="1"/>
  <c r="F483" i="1"/>
  <c r="F487" i="1"/>
  <c r="F489" i="1"/>
  <c r="M489" i="1"/>
  <c r="F491" i="1"/>
  <c r="F492" i="1"/>
  <c r="F493" i="1"/>
  <c r="F495" i="1"/>
  <c r="S16" i="7"/>
  <c r="B20" i="7"/>
  <c r="C20" i="7"/>
  <c r="D20" i="7"/>
  <c r="E20" i="7"/>
  <c r="F20" i="7"/>
  <c r="G20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B33" i="7"/>
  <c r="B34" i="7"/>
  <c r="C7" i="5"/>
  <c r="D7" i="5"/>
  <c r="E7" i="5"/>
  <c r="C8" i="5"/>
  <c r="D8" i="5"/>
  <c r="E8" i="5"/>
  <c r="C9" i="5"/>
  <c r="D9" i="5"/>
  <c r="E9" i="5"/>
  <c r="E19" i="5"/>
  <c r="F19" i="5"/>
  <c r="G19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9" i="5"/>
  <c r="F29" i="5"/>
  <c r="G29" i="5"/>
  <c r="E31" i="5"/>
  <c r="F31" i="5"/>
  <c r="G31" i="5"/>
  <c r="E33" i="5"/>
  <c r="F33" i="5"/>
  <c r="G33" i="5"/>
  <c r="E35" i="5"/>
  <c r="F35" i="5"/>
  <c r="G35" i="5"/>
  <c r="F56" i="5"/>
  <c r="G95" i="5"/>
  <c r="F96" i="5"/>
  <c r="G97" i="5"/>
  <c r="F98" i="5"/>
  <c r="G99" i="5"/>
  <c r="E100" i="5"/>
  <c r="F100" i="5"/>
  <c r="G101" i="5"/>
  <c r="E102" i="5"/>
  <c r="F102" i="5"/>
  <c r="E104" i="5"/>
  <c r="E106" i="5"/>
</calcChain>
</file>

<file path=xl/comments1.xml><?xml version="1.0" encoding="utf-8"?>
<comments xmlns="http://schemas.openxmlformats.org/spreadsheetml/2006/main">
  <authors>
    <author>ect</author>
    <author>ECT</author>
  </authors>
  <commentList>
    <comment ref="B51" authorId="0" shapeId="0">
      <text>
        <r>
          <rPr>
            <b/>
            <sz val="8"/>
            <color indexed="81"/>
            <rFont val="Tahoma"/>
          </rPr>
          <t xml:space="preserve">Jhoover: Due to temporarty transmission constraints that should clear up in the short term East PJM Power Trader's recommend using the West PJM forward curve
</t>
        </r>
        <r>
          <rPr>
            <sz val="8"/>
            <color indexed="81"/>
            <rFont val="Tahoma"/>
          </rPr>
          <t xml:space="preserve">
</t>
        </r>
      </text>
    </comment>
    <comment ref="B62" authorId="0" shapeId="0">
      <text>
        <r>
          <rPr>
            <b/>
            <sz val="8"/>
            <color indexed="81"/>
            <rFont val="Tahoma"/>
          </rPr>
          <t xml:space="preserve">Jhoover: The No Merchant Case was used 
</t>
        </r>
        <r>
          <rPr>
            <sz val="8"/>
            <color indexed="81"/>
            <rFont val="Tahoma"/>
          </rPr>
          <t xml:space="preserve">
</t>
        </r>
      </text>
    </comment>
    <comment ref="S87" authorId="0" shapeId="0">
      <text>
        <r>
          <rPr>
            <b/>
            <sz val="8"/>
            <color indexed="81"/>
            <rFont val="Tahoma"/>
          </rPr>
          <t>jhoover: This takes into account the loss of BECO II on 9/15.</t>
        </r>
        <r>
          <rPr>
            <sz val="8"/>
            <color indexed="81"/>
            <rFont val="Tahoma"/>
          </rPr>
          <t xml:space="preserve">
</t>
        </r>
      </text>
    </comment>
    <comment ref="F326" authorId="1" shapeId="0">
      <text>
        <r>
          <rPr>
            <b/>
            <sz val="8"/>
            <color indexed="81"/>
            <rFont val="Tahoma"/>
          </rPr>
          <t>ECT:</t>
        </r>
        <r>
          <rPr>
            <sz val="8"/>
            <color indexed="81"/>
            <rFont val="Tahoma"/>
          </rPr>
          <t xml:space="preserve">
Enter "Mid" or "Offer"
</t>
        </r>
      </text>
    </comment>
  </commentList>
</comments>
</file>

<file path=xl/sharedStrings.xml><?xml version="1.0" encoding="utf-8"?>
<sst xmlns="http://schemas.openxmlformats.org/spreadsheetml/2006/main" count="897" uniqueCount="376">
  <si>
    <t>Project (To Be Named)</t>
  </si>
  <si>
    <t xml:space="preserve"> </t>
  </si>
  <si>
    <t>Bellingham</t>
  </si>
  <si>
    <t>Total</t>
  </si>
  <si>
    <t>Revenue</t>
  </si>
  <si>
    <t>Hours</t>
  </si>
  <si>
    <t>MW</t>
  </si>
  <si>
    <t>MWh</t>
  </si>
  <si>
    <t>Sales to:</t>
  </si>
  <si>
    <t>BECO - Contract I</t>
  </si>
  <si>
    <t>BECO - Contract II</t>
  </si>
  <si>
    <t>Commonwealth - Contract I</t>
  </si>
  <si>
    <t>Commonwealth - Contract II</t>
  </si>
  <si>
    <t>Montaup - Contract</t>
  </si>
  <si>
    <t>Capacity Factor</t>
  </si>
  <si>
    <t>Blue</t>
  </si>
  <si>
    <t>Red</t>
  </si>
  <si>
    <t>Green</t>
  </si>
  <si>
    <t>$/MWh</t>
  </si>
  <si>
    <t>Heat Rate</t>
  </si>
  <si>
    <t>Btu/kWh</t>
  </si>
  <si>
    <t>Input - ESI Tractebel Acquisition Corp. 424B1 Filing Dated 13-Aug-98</t>
  </si>
  <si>
    <t>Input - Enron Projection/Assumption</t>
  </si>
  <si>
    <t>Black</t>
  </si>
  <si>
    <t>Cell Value Calculated</t>
  </si>
  <si>
    <t>Stranded Investment</t>
  </si>
  <si>
    <t>Year-End =</t>
  </si>
  <si>
    <t>t =</t>
  </si>
  <si>
    <t>Table 1</t>
  </si>
  <si>
    <t>Table 2</t>
  </si>
  <si>
    <t>Project</t>
  </si>
  <si>
    <t>US$000</t>
  </si>
  <si>
    <t>Debt Outstanding</t>
  </si>
  <si>
    <t>CY 2000</t>
  </si>
  <si>
    <t>MMBtu</t>
  </si>
  <si>
    <t>$/MMBtu</t>
  </si>
  <si>
    <t>Cost of Gas Used in Generation</t>
  </si>
  <si>
    <t>Sales to JCP&amp;L</t>
  </si>
  <si>
    <t>Expenses</t>
  </si>
  <si>
    <t>Delivered to Sayreville</t>
  </si>
  <si>
    <t>ENA</t>
  </si>
  <si>
    <t>NYMEX (HH)</t>
  </si>
  <si>
    <t>LDC</t>
  </si>
  <si>
    <t>Delivered to Bellingham:</t>
  </si>
  <si>
    <t>Gas Pricing</t>
  </si>
  <si>
    <t>Electricity Pricing</t>
  </si>
  <si>
    <t>JCP&amp;L</t>
  </si>
  <si>
    <t>ENA Forward - 7x24</t>
  </si>
  <si>
    <t>NEPOOL</t>
  </si>
  <si>
    <t>Bellingham - Contract</t>
  </si>
  <si>
    <t>Sayreville - Contract</t>
  </si>
  <si>
    <t>Delivered to Bellingham - Total</t>
  </si>
  <si>
    <t>Delivered to Sayreville - Total</t>
  </si>
  <si>
    <t>Sayreville</t>
  </si>
  <si>
    <t>Variable O&amp;M</t>
  </si>
  <si>
    <t>Fixed O&amp;M</t>
  </si>
  <si>
    <t>Insurance</t>
  </si>
  <si>
    <t>G&amp;A and Professional Fees</t>
  </si>
  <si>
    <t>Property Taxes</t>
  </si>
  <si>
    <t>Management Fees</t>
  </si>
  <si>
    <t>CTG Projection</t>
  </si>
  <si>
    <t>Fuel Management Fees</t>
  </si>
  <si>
    <t>Other</t>
  </si>
  <si>
    <t>Y</t>
  </si>
  <si>
    <t>Include Gas Hedge &amp; Peak Service Loss (Savings)</t>
  </si>
  <si>
    <t>Operating Margin</t>
  </si>
  <si>
    <t>Assumptions</t>
  </si>
  <si>
    <t>Unit Operating Characteristics</t>
  </si>
  <si>
    <t>Consolidated Cash Flow</t>
  </si>
  <si>
    <t>Interest</t>
  </si>
  <si>
    <t>Principal</t>
  </si>
  <si>
    <t>Operating Margins</t>
  </si>
  <si>
    <t>Debt Outstanding at Year End*</t>
  </si>
  <si>
    <t>Contract Value</t>
  </si>
  <si>
    <t>Less:</t>
  </si>
  <si>
    <t>Purchase Power Agreements</t>
  </si>
  <si>
    <t>Gas Service Agreements</t>
  </si>
  <si>
    <t>Above (Below) Market Cost</t>
  </si>
  <si>
    <t>Summary</t>
  </si>
  <si>
    <t>Equity Cf</t>
  </si>
  <si>
    <t>Rate</t>
  </si>
  <si>
    <t>Tax Rate</t>
  </si>
  <si>
    <t>Debt</t>
  </si>
  <si>
    <t>Equity</t>
  </si>
  <si>
    <t>Gas Services</t>
  </si>
  <si>
    <t>Steam Services</t>
  </si>
  <si>
    <t>WACC</t>
  </si>
  <si>
    <t>Capacity Under Contract</t>
  </si>
  <si>
    <t>Merchant Sales</t>
  </si>
  <si>
    <t>Fuel Usage - Daily Quantity</t>
  </si>
  <si>
    <t>Merchant Price</t>
  </si>
  <si>
    <t>Merchant Revenue</t>
  </si>
  <si>
    <t>Fuel Usage:</t>
  </si>
  <si>
    <t>Contract Requirements</t>
  </si>
  <si>
    <t>Total Sales</t>
  </si>
  <si>
    <t>Bellingham - TOP Quantity (MMBtu) =</t>
  </si>
  <si>
    <t xml:space="preserve">Sayreville - TOP Quantity (MMBtu) = </t>
  </si>
  <si>
    <t>Contract Cost</t>
  </si>
  <si>
    <t>Market Cost</t>
  </si>
  <si>
    <t>Delivered to Bellingham (Contract Through November 2013)</t>
  </si>
  <si>
    <t>Delivered to Sayreville (Contract Through November 2013)</t>
  </si>
  <si>
    <t>MMBtu/d</t>
  </si>
  <si>
    <t>Contract Revenue Based on Pricing In:</t>
  </si>
  <si>
    <t xml:space="preserve">Plus: </t>
  </si>
  <si>
    <t>Merchant Value</t>
  </si>
  <si>
    <t>YEAR</t>
  </si>
  <si>
    <t>Tractebel Restructuring Analysis</t>
  </si>
  <si>
    <t>Enron North America</t>
  </si>
  <si>
    <t>Commercial Transactions Group</t>
  </si>
  <si>
    <t>Steam Sales</t>
  </si>
  <si>
    <t>MMlb</t>
  </si>
  <si>
    <t>Revenue from Steam Sales</t>
  </si>
  <si>
    <t>$/MMlb</t>
  </si>
  <si>
    <t xml:space="preserve">Tractebel Interest = </t>
  </si>
  <si>
    <t>Subordinated Management Fees</t>
  </si>
  <si>
    <t>Basis to TennZ6</t>
  </si>
  <si>
    <t>Index to Tenn Z6</t>
  </si>
  <si>
    <t>Basis to TranscoZ6</t>
  </si>
  <si>
    <t>Index to TranscoZ6</t>
  </si>
  <si>
    <t>Interest - 1st Half</t>
  </si>
  <si>
    <t>Interest - 2nd half</t>
  </si>
  <si>
    <t>Amortization Schedule</t>
  </si>
  <si>
    <t>Beginning of Year Balance</t>
  </si>
  <si>
    <t>Principal Reduction - 1st Half</t>
  </si>
  <si>
    <t>Principal Reduction - 2nd Half</t>
  </si>
  <si>
    <t>Required Coverage</t>
  </si>
  <si>
    <t>Total =</t>
  </si>
  <si>
    <t xml:space="preserve"> Min </t>
  </si>
  <si>
    <t xml:space="preserve"> Avg </t>
  </si>
  <si>
    <t>Coverage Ratio</t>
  </si>
  <si>
    <t>Transaction Costs ($400k Legal/Other + 1.25% of New Debt)</t>
  </si>
  <si>
    <t>Management Agreements</t>
  </si>
  <si>
    <t>Minimum Fee</t>
  </si>
  <si>
    <t>Profit Margin</t>
  </si>
  <si>
    <t xml:space="preserve">Term Expires </t>
  </si>
  <si>
    <t>Total Expected Profit Margin</t>
  </si>
  <si>
    <t>Total EV</t>
  </si>
  <si>
    <t>Debt Service - Project</t>
  </si>
  <si>
    <t>Existing Corporate</t>
  </si>
  <si>
    <t>Montaup Amount</t>
  </si>
  <si>
    <t>BECO I Amount</t>
  </si>
  <si>
    <t>Mid-Year Balance</t>
  </si>
  <si>
    <t>End-of-Year Balance</t>
  </si>
  <si>
    <t>Energy Bank Balance - Projected</t>
  </si>
  <si>
    <t>(2)  Projected to Reach $60.0 MM by 2011; Interest Applied at Prime</t>
  </si>
  <si>
    <t>Capacity Available for Merchant Sales</t>
  </si>
  <si>
    <t>(1)   Projected to Reach Zero by 2007</t>
  </si>
  <si>
    <t>Energy Bank at Year End**</t>
  </si>
  <si>
    <t>Existing Corporate Debt</t>
  </si>
  <si>
    <t>Project Debt</t>
  </si>
  <si>
    <t>Sizing</t>
  </si>
  <si>
    <t>Total Debt Service</t>
  </si>
  <si>
    <t>Debt Service Scheduled</t>
  </si>
  <si>
    <t>Make-Whole Premium</t>
  </si>
  <si>
    <t>Total "Make Whole" Premium</t>
  </si>
  <si>
    <t>"Make-Whole" Premium on Debt</t>
  </si>
  <si>
    <t>ExDebt</t>
  </si>
  <si>
    <t>NewDebt</t>
  </si>
  <si>
    <t>Free Cash Flow to Acquiring Co.</t>
  </si>
  <si>
    <t>Cash Flow Available to NEEALP</t>
  </si>
  <si>
    <t>Free Cash Flow to NEEALP</t>
  </si>
  <si>
    <t>Free Cash Flow to Tractebel - Interest =</t>
  </si>
  <si>
    <t>Free Cash Flow to Acquistion Co.</t>
  </si>
  <si>
    <t>Debt Service - Acquisition Co.</t>
  </si>
  <si>
    <t>Acquiring Co. Debt (New)</t>
  </si>
  <si>
    <t xml:space="preserve">EOY Balance, Tractebel Interest (Effective) = </t>
  </si>
  <si>
    <t>Debt Service - NEEALP (Existing Corporate)</t>
  </si>
  <si>
    <t>Debt Service - Acquiring Co. (New)</t>
  </si>
  <si>
    <t>NEEALP Debt (Existing Corporate)</t>
  </si>
  <si>
    <r>
      <t>Tractebel</t>
    </r>
    <r>
      <rPr>
        <sz val="7.5"/>
        <rFont val="Arial"/>
        <family val="2"/>
      </rPr>
      <t xml:space="preserve"> @</t>
    </r>
  </si>
  <si>
    <t>Net Pre-Tax Restructuring Value</t>
  </si>
  <si>
    <t>NPV - Tractebel Interest in NEEALP @</t>
  </si>
  <si>
    <t>NPV - Acquiring Co.</t>
  </si>
  <si>
    <t xml:space="preserve">Year-End Balance, Tractebel Interest = </t>
  </si>
  <si>
    <t>"Make-Whole" Premiums on Mandatory Redemption</t>
  </si>
  <si>
    <t>Treasury Rate (10-Yr. Note)</t>
  </si>
  <si>
    <t>Debt Repayment</t>
  </si>
  <si>
    <t>Tractebel Share of:</t>
  </si>
  <si>
    <t>Administrative Services (FPL)</t>
  </si>
  <si>
    <t>O&amp;M Services (FPL)</t>
  </si>
  <si>
    <t>Fuel Management (FPL)</t>
  </si>
  <si>
    <t>Tractebel Interest in NEEALP</t>
  </si>
  <si>
    <t>Treasury Rate (30-Yr. Bond)</t>
  </si>
  <si>
    <t>Mid</t>
  </si>
  <si>
    <t>Offer</t>
  </si>
  <si>
    <t>Market Value, ENA Desk @</t>
  </si>
  <si>
    <t>Restructuring Analysis</t>
  </si>
  <si>
    <t>Restructuring Anlaysis (Con't)</t>
  </si>
  <si>
    <t>NPV of Tractebel Interest at Year-End @</t>
  </si>
  <si>
    <t>NPV at Marginal Investment Rate of:</t>
  </si>
  <si>
    <t>XNPV at Marginal Investment Rate of:</t>
  </si>
  <si>
    <t>Utility Premium</t>
  </si>
  <si>
    <t>Free Cash Flow to Acquistion Co. (Excl. Merchant)</t>
  </si>
  <si>
    <t>Less:  Merchant Revenue (Bellingham)</t>
  </si>
  <si>
    <t>Less:  Merchant Revenue (Sayreville)</t>
  </si>
  <si>
    <t>Plus:  Marginal Running Cost - Merchant (Bellingham)</t>
  </si>
  <si>
    <t>Plus:  Marginal Running Cost - Merchant (Sayreville)</t>
  </si>
  <si>
    <t>1.75x</t>
  </si>
  <si>
    <t>1.80x</t>
  </si>
  <si>
    <t>1.85x</t>
  </si>
  <si>
    <t>1.90x</t>
  </si>
  <si>
    <t>Securitization Rate (T+100 Bps)</t>
  </si>
  <si>
    <t>East PJM  (West PJM used - see comment)</t>
  </si>
  <si>
    <t>Steam Agreements</t>
  </si>
  <si>
    <t>Steam Revenue</t>
  </si>
  <si>
    <t>Bellingham - Terminate Contract</t>
  </si>
  <si>
    <t xml:space="preserve">Sayreville </t>
  </si>
  <si>
    <t>(Include Merchant Sales  = 1)</t>
  </si>
  <si>
    <t>Inflation (CPI)</t>
  </si>
  <si>
    <t>Sayreville: New Package Boiler to Replace Hercules Steam Source.</t>
  </si>
  <si>
    <t>Assumptions:</t>
  </si>
  <si>
    <t>one (1) additional FTE required for full-time operation</t>
  </si>
  <si>
    <t>Hourly average steam flow for year-round operation is approximately 125,000 lbs/hr.</t>
  </si>
  <si>
    <t>No condensate returned, raw water supplied in lieu.</t>
  </si>
  <si>
    <t>Equivalent raw water make-up treatment based on 125,000 lbs/hr.</t>
  </si>
  <si>
    <t>Blower and pump usage is 6 hp per 1,000 lbs/hr;  total = 750 hp</t>
  </si>
  <si>
    <t>Boiler at 85% efficiency (HHV) - 1.402 MMBtu per 1000 lbs steam</t>
  </si>
  <si>
    <t>Burdened Operating Labor:</t>
  </si>
  <si>
    <t>Re-assignable O&amp;M Expenses</t>
  </si>
  <si>
    <t>Maintenance Accruals:</t>
  </si>
  <si>
    <t>Water Treatment:</t>
  </si>
  <si>
    <t>Outside Services/Consultants</t>
  </si>
  <si>
    <t>Boiler chemicals:</t>
  </si>
  <si>
    <t>Pretreatment chemicals</t>
  </si>
  <si>
    <t>Acid/Caustic</t>
  </si>
  <si>
    <t>G&amp;A, Incentives, Fee</t>
  </si>
  <si>
    <t>Resin replacement</t>
  </si>
  <si>
    <t>Carbon filter upkeep</t>
  </si>
  <si>
    <t>Add't'l Taxes, Operating license</t>
  </si>
  <si>
    <t>Water (commodity cost) @</t>
  </si>
  <si>
    <t>Boiler Fuel (gas) usage @</t>
  </si>
  <si>
    <t>(per 1000 gal.)</t>
  </si>
  <si>
    <t>(per MMBtu)</t>
  </si>
  <si>
    <t>Boiler electricity usage @</t>
  </si>
  <si>
    <t>Offset Amount:  Reduction in O&amp;M</t>
  </si>
  <si>
    <t>(per kW)</t>
  </si>
  <si>
    <t>at Sayreville Generation</t>
  </si>
  <si>
    <t>Total (Incremental) Estimated Annual O&amp;M</t>
  </si>
  <si>
    <t>O&amp;M Re-assigned from Generation to Boiler Plant</t>
  </si>
  <si>
    <t>Total Boiler Plant Estimated Annual O&amp;M</t>
  </si>
  <si>
    <t xml:space="preserve"> 20 Year Capital Recovery @</t>
  </si>
  <si>
    <t>Does not include Additional Land Lease:  Estimated (80'x100')</t>
  </si>
  <si>
    <t>One(1) 250,000 lbs/hr boiler w/capital cost of $4.2MM (total). Current Assumption is that Hercules would run their boilers and Sayreville would pay for maintenance</t>
  </si>
  <si>
    <t>Electricity Conversion factor (kWh/horsepower hr)</t>
  </si>
  <si>
    <t>Water Treatment and Boiler Chemicals</t>
  </si>
  <si>
    <t>Levelized Maintenance</t>
  </si>
  <si>
    <t>Labor Cost</t>
  </si>
  <si>
    <t>Water Commodity Cost</t>
  </si>
  <si>
    <t>Electricity</t>
  </si>
  <si>
    <t>Site Lease</t>
  </si>
  <si>
    <t>Taxes and Operating License</t>
  </si>
  <si>
    <t>G&amp;A Expense</t>
  </si>
  <si>
    <t>Capital Cost for Package Boiler</t>
  </si>
  <si>
    <t>Fuel Conversion factor (Mmbtu/mlbs)</t>
  </si>
  <si>
    <t>Steam Conversion factor (mlbs/1000 gal)</t>
  </si>
  <si>
    <t>Recovery Factor</t>
  </si>
  <si>
    <t>Water Condensate Recovery %</t>
  </si>
  <si>
    <t>Water Commodity Cost (1000 gals.)</t>
  </si>
  <si>
    <t>Electricity (horsepower hr/mlb steam)</t>
  </si>
  <si>
    <t>Total Cost to Run Boilers</t>
  </si>
  <si>
    <t>Fuel Costs</t>
  </si>
  <si>
    <t>Contract Cash Flows</t>
  </si>
  <si>
    <t xml:space="preserve">  </t>
  </si>
  <si>
    <t>Baseline Valuation</t>
  </si>
  <si>
    <t>1. Based off of information provided in ESI Tractebel Prospectus 424b1 filed 8/13/1998</t>
  </si>
  <si>
    <t>2. Unlevered</t>
  </si>
  <si>
    <t>Pre-Tax Restructuring Value</t>
  </si>
  <si>
    <t>"Preliminary"  Bellingham &amp; Sayreville Valuation (In Millions)</t>
  </si>
  <si>
    <t>Less Equity Value @ 11%</t>
  </si>
  <si>
    <t>Net Restructuring Value</t>
  </si>
  <si>
    <t>4. Values calculated based on Tractebel's 50% equity interest</t>
  </si>
  <si>
    <t>"Potential" Restructuring Valuation</t>
  </si>
  <si>
    <t>3. Merchant Value of $0</t>
  </si>
  <si>
    <t>2. Discount Rate = 7.5% (Based on 50/50 sharing of securitization)</t>
  </si>
  <si>
    <t>3. Utility Premium = 10% (Based on discussions with Dave Duran</t>
  </si>
  <si>
    <t>5. Merchant Value = $300/Kw</t>
  </si>
  <si>
    <t>On = 1</t>
  </si>
  <si>
    <t>Sayreville Merchant Valuation</t>
  </si>
  <si>
    <t>Tolling Agreement</t>
  </si>
  <si>
    <t>Annualized Capacity Revenue</t>
  </si>
  <si>
    <t>Capacity Revenue ($/Kwm)</t>
  </si>
  <si>
    <t>Energy Revenue (Notional)</t>
  </si>
  <si>
    <t>Yearly Capacity Revenue (not.)</t>
  </si>
  <si>
    <t>Cap. Rev of Deal ($/Kwm)</t>
  </si>
  <si>
    <t xml:space="preserve">    Fuel</t>
  </si>
  <si>
    <t xml:space="preserve">    Variable O&amp;M</t>
  </si>
  <si>
    <t xml:space="preserve">    Per Start</t>
  </si>
  <si>
    <t>Check</t>
  </si>
  <si>
    <t>PV of Marginal Cash Flows</t>
  </si>
  <si>
    <t>VOM $5.92</t>
  </si>
  <si>
    <t>Bellingham Merchant Valuation</t>
  </si>
  <si>
    <t>Fixed Expenses</t>
  </si>
  <si>
    <t>Marginal Cash Flows</t>
  </si>
  <si>
    <t>Subtotal</t>
  </si>
  <si>
    <t>*Based on 10k &amp; Registrations:</t>
  </si>
  <si>
    <t>**Based on 10k &amp; Registrations:</t>
  </si>
  <si>
    <t>Property Tax Switch (1=original, 2 = $1.9 mm)</t>
  </si>
  <si>
    <t>$1.9 mm from ENA Property Tax department based</t>
  </si>
  <si>
    <t>on 1.4% Property Tax Rate and a mkt value of $140 mm</t>
  </si>
  <si>
    <t>Merchant Value @ 14%</t>
  </si>
  <si>
    <t>Merchant Value (1 = Price Option Value</t>
  </si>
  <si>
    <t>2 = $100/kwh)</t>
  </si>
  <si>
    <t>Cash Flows including Merchant from Prospectus</t>
  </si>
  <si>
    <t>Cash Flows excluding Merchant from Prospectus</t>
  </si>
  <si>
    <t>Equivalent Availability Factor</t>
  </si>
  <si>
    <t>Water costs and easement fee</t>
  </si>
  <si>
    <t>Water Cost &amp; Easement Fees</t>
  </si>
  <si>
    <t>Per Prospectus</t>
  </si>
  <si>
    <t>Model Assumptions</t>
  </si>
  <si>
    <t>Gas Volumes Used (1=Prospectus, 2= Calc)</t>
  </si>
  <si>
    <t>Merchant</t>
  </si>
  <si>
    <t xml:space="preserve">ESI Tractebel Acquisition Corp. 424B1 Filing </t>
  </si>
  <si>
    <t>Inflation (GDP)</t>
  </si>
  <si>
    <t>Restructuring Value Net of Purchase Price</t>
  </si>
  <si>
    <t>2. That both New Jersey and Massachusetts securitize</t>
  </si>
  <si>
    <t>4. Utility Premium = 10% (Based on discussions with Doug Clifford and Greg Blair)</t>
  </si>
  <si>
    <t>5. Values calculated based on Tractebel's 50% equity interest</t>
  </si>
  <si>
    <t>6. BECO Energy Bank at 0</t>
  </si>
  <si>
    <t>7. Fuel Agreements are discounted at suppliers cost of debt</t>
  </si>
  <si>
    <t>8. Steam Plant is discounted using cost of equity of 11%</t>
  </si>
  <si>
    <t>Sensitivities</t>
  </si>
  <si>
    <t>3. Securitization Rate = 8% Based on Utility cost of debt</t>
  </si>
  <si>
    <t>Securitization Rate</t>
  </si>
  <si>
    <t>Bold Represents Base Case</t>
  </si>
  <si>
    <t>Values Represent Restructuring Net Of Equity</t>
  </si>
  <si>
    <t>Merchant Sensitivity Analysis</t>
  </si>
  <si>
    <t>Value/Kw</t>
  </si>
  <si>
    <t>Restructuring Value</t>
  </si>
  <si>
    <t>Mid/Offer Curve Analysis</t>
  </si>
  <si>
    <t>Curve</t>
  </si>
  <si>
    <t>% of Balance 2000</t>
  </si>
  <si>
    <t>Base Restructuring Assumption:</t>
  </si>
  <si>
    <t>BECO EBank Balance</t>
  </si>
  <si>
    <t>Utility Savings %</t>
  </si>
  <si>
    <t xml:space="preserve">Securitization/Utility Sensitivity </t>
  </si>
  <si>
    <t>Capacity Available for Merchant Sales (Using Mid from ENA Desk)</t>
  </si>
  <si>
    <t>Merchant Sales Mid</t>
  </si>
  <si>
    <t>Merchant Sales Bid</t>
  </si>
  <si>
    <t>BID</t>
  </si>
  <si>
    <t>1/1/01-12/31/11</t>
  </si>
  <si>
    <t>10 MW</t>
  </si>
  <si>
    <t>(No Start-up Costs)</t>
  </si>
  <si>
    <t>1/1/12-12/31/16</t>
  </si>
  <si>
    <t>94 MW</t>
  </si>
  <si>
    <t>01/01/17-12/31/17</t>
  </si>
  <si>
    <t>275 MW</t>
  </si>
  <si>
    <t>(12.309 per start)</t>
  </si>
  <si>
    <t>MID</t>
  </si>
  <si>
    <t>NEPOL</t>
  </si>
  <si>
    <t>TETCO M3 + $0.15</t>
  </si>
  <si>
    <t>8 hr blocks Mon - Sun</t>
  </si>
  <si>
    <t>95% Availability - No unit contingency</t>
  </si>
  <si>
    <t>8300 HR</t>
  </si>
  <si>
    <t>Excluding Nov - Mar due to gas constraints</t>
  </si>
  <si>
    <t>Peaker correlation curve</t>
  </si>
  <si>
    <t>No run hours constraints</t>
  </si>
  <si>
    <t>40 MW</t>
  </si>
  <si>
    <t>01/01/12-12/31/17</t>
  </si>
  <si>
    <t>300 MW</t>
  </si>
  <si>
    <t>(13,986 per start)</t>
  </si>
  <si>
    <t>PJM</t>
  </si>
  <si>
    <t>TRANSCO Z6 + $0.30</t>
  </si>
  <si>
    <t>(Mid = 1/Bid =2)</t>
  </si>
  <si>
    <t>Swap Price 2001 - 2013 from ENA Desk</t>
  </si>
  <si>
    <t>East Hub</t>
  </si>
  <si>
    <t>Merchant Value per $kwh</t>
  </si>
  <si>
    <t>Steam Pricing</t>
  </si>
  <si>
    <t>Average Annual Run Hours</t>
  </si>
  <si>
    <t>mid</t>
  </si>
  <si>
    <t>Capacity</t>
  </si>
  <si>
    <t>Energy Rev</t>
  </si>
  <si>
    <t>Fuel Exp</t>
  </si>
  <si>
    <t>VOM</t>
  </si>
  <si>
    <t>Total Reve</t>
  </si>
  <si>
    <t>Revunue</t>
  </si>
  <si>
    <t>No Start 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</si>
</sst>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0.0%"/>
    <numFmt numFmtId="170" formatCode="_(&quot;$&quot;* #,##0_);_(&quot;$&quot;* \(#,##0\);_(&quot;$&quot;* &quot;-&quot;??_);_(@_)"/>
    <numFmt numFmtId="181" formatCode="0.00\x"/>
    <numFmt numFmtId="183" formatCode="0_);\(0\)"/>
  </numFmts>
  <fonts count="33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5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b/>
      <sz val="14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u/>
      <sz val="10"/>
      <name val="Arial"/>
      <family val="2"/>
    </font>
    <font>
      <sz val="7.5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b/>
      <u/>
      <sz val="14"/>
      <name val="Arial"/>
      <family val="2"/>
    </font>
    <font>
      <b/>
      <i/>
      <sz val="9"/>
      <color indexed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4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6" fillId="2" borderId="0" xfId="0" applyFont="1" applyFill="1"/>
    <xf numFmtId="43" fontId="0" fillId="2" borderId="0" xfId="1" applyFont="1" applyFill="1"/>
    <xf numFmtId="43" fontId="6" fillId="2" borderId="0" xfId="1" applyFont="1" applyFill="1"/>
    <xf numFmtId="166" fontId="0" fillId="2" borderId="0" xfId="0" applyNumberFormat="1" applyFill="1"/>
    <xf numFmtId="166" fontId="5" fillId="4" borderId="0" xfId="1" applyNumberFormat="1" applyFont="1" applyFill="1"/>
    <xf numFmtId="166" fontId="5" fillId="4" borderId="1" xfId="1" applyNumberFormat="1" applyFont="1" applyFill="1" applyBorder="1"/>
    <xf numFmtId="166" fontId="0" fillId="2" borderId="0" xfId="1" applyNumberFormat="1" applyFont="1" applyFill="1"/>
    <xf numFmtId="168" fontId="0" fillId="2" borderId="0" xfId="3" applyNumberFormat="1" applyFont="1" applyFill="1"/>
    <xf numFmtId="0" fontId="0" fillId="2" borderId="0" xfId="0" applyFill="1" applyAlignment="1">
      <alignment horizontal="center"/>
    </xf>
    <xf numFmtId="43" fontId="7" fillId="2" borderId="0" xfId="1" applyFont="1" applyFill="1"/>
    <xf numFmtId="166" fontId="8" fillId="4" borderId="0" xfId="1" applyNumberFormat="1" applyFont="1" applyFill="1"/>
    <xf numFmtId="166" fontId="8" fillId="4" borderId="1" xfId="1" applyNumberFormat="1" applyFont="1" applyFill="1" applyBorder="1"/>
    <xf numFmtId="43" fontId="5" fillId="4" borderId="0" xfId="1" applyNumberFormat="1" applyFont="1" applyFill="1" applyBorder="1"/>
    <xf numFmtId="0" fontId="0" fillId="2" borderId="1" xfId="0" applyFill="1" applyBorder="1"/>
    <xf numFmtId="43" fontId="0" fillId="2" borderId="1" xfId="0" applyNumberFormat="1" applyFill="1" applyBorder="1"/>
    <xf numFmtId="10" fontId="0" fillId="2" borderId="0" xfId="3" applyNumberFormat="1" applyFont="1" applyFill="1"/>
    <xf numFmtId="166" fontId="0" fillId="2" borderId="1" xfId="0" applyNumberFormat="1" applyFill="1" applyBorder="1"/>
    <xf numFmtId="170" fontId="0" fillId="2" borderId="0" xfId="2" applyNumberFormat="1" applyFont="1" applyFill="1"/>
    <xf numFmtId="166" fontId="10" fillId="2" borderId="0" xfId="1" applyNumberFormat="1" applyFont="1" applyFill="1" applyAlignment="1">
      <alignment horizontal="right"/>
    </xf>
    <xf numFmtId="166" fontId="10" fillId="2" borderId="1" xfId="1" applyNumberFormat="1" applyFont="1" applyFill="1" applyBorder="1" applyAlignment="1">
      <alignment horizontal="right"/>
    </xf>
    <xf numFmtId="0" fontId="7" fillId="2" borderId="2" xfId="0" applyFont="1" applyFill="1" applyBorder="1"/>
    <xf numFmtId="0" fontId="7" fillId="2" borderId="3" xfId="0" applyFont="1" applyFill="1" applyBorder="1"/>
    <xf numFmtId="0" fontId="0" fillId="2" borderId="0" xfId="0" applyFill="1" applyBorder="1"/>
    <xf numFmtId="43" fontId="0" fillId="2" borderId="0" xfId="1" applyFont="1" applyFill="1" applyBorder="1"/>
    <xf numFmtId="0" fontId="0" fillId="2" borderId="2" xfId="0" applyFill="1" applyBorder="1"/>
    <xf numFmtId="43" fontId="0" fillId="2" borderId="1" xfId="1" applyFont="1" applyFill="1" applyBorder="1"/>
    <xf numFmtId="15" fontId="11" fillId="4" borderId="1" xfId="0" applyNumberFormat="1" applyFont="1" applyFill="1" applyBorder="1" applyAlignment="1">
      <alignment horizontal="center"/>
    </xf>
    <xf numFmtId="15" fontId="7" fillId="2" borderId="1" xfId="0" applyNumberFormat="1" applyFont="1" applyFill="1" applyBorder="1" applyAlignment="1">
      <alignment horizontal="center"/>
    </xf>
    <xf numFmtId="15" fontId="7" fillId="2" borderId="4" xfId="0" applyNumberFormat="1" applyFont="1" applyFill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43" fontId="0" fillId="2" borderId="2" xfId="1" applyFont="1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43" fontId="0" fillId="2" borderId="6" xfId="1" applyFont="1" applyFill="1" applyBorder="1"/>
    <xf numFmtId="0" fontId="0" fillId="2" borderId="0" xfId="0" applyFill="1" applyBorder="1" applyAlignment="1">
      <alignment horizontal="center"/>
    </xf>
    <xf numFmtId="166" fontId="5" fillId="4" borderId="0" xfId="1" applyNumberFormat="1" applyFont="1" applyFill="1" applyBorder="1" applyAlignment="1">
      <alignment horizontal="center"/>
    </xf>
    <xf numFmtId="166" fontId="0" fillId="2" borderId="7" xfId="1" applyNumberFormat="1" applyFont="1" applyFill="1" applyBorder="1"/>
    <xf numFmtId="166" fontId="0" fillId="2" borderId="4" xfId="1" applyNumberFormat="1" applyFont="1" applyFill="1" applyBorder="1"/>
    <xf numFmtId="43" fontId="0" fillId="2" borderId="8" xfId="1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3" fontId="6" fillId="2" borderId="9" xfId="1" applyFont="1" applyFill="1" applyBorder="1"/>
    <xf numFmtId="43" fontId="6" fillId="2" borderId="2" xfId="1" applyFont="1" applyFill="1" applyBorder="1"/>
    <xf numFmtId="43" fontId="5" fillId="4" borderId="2" xfId="1" applyNumberFormat="1" applyFont="1" applyFill="1" applyBorder="1"/>
    <xf numFmtId="43" fontId="6" fillId="2" borderId="6" xfId="1" applyFont="1" applyFill="1" applyBorder="1"/>
    <xf numFmtId="43" fontId="6" fillId="2" borderId="0" xfId="1" applyFont="1" applyFill="1" applyBorder="1"/>
    <xf numFmtId="43" fontId="6" fillId="2" borderId="8" xfId="1" applyFont="1" applyFill="1" applyBorder="1"/>
    <xf numFmtId="43" fontId="6" fillId="2" borderId="1" xfId="1" applyFont="1" applyFill="1" applyBorder="1"/>
    <xf numFmtId="43" fontId="5" fillId="4" borderId="1" xfId="1" applyNumberFormat="1" applyFont="1" applyFill="1" applyBorder="1"/>
    <xf numFmtId="43" fontId="5" fillId="4" borderId="3" xfId="1" applyNumberFormat="1" applyFont="1" applyFill="1" applyBorder="1"/>
    <xf numFmtId="43" fontId="5" fillId="4" borderId="7" xfId="1" applyNumberFormat="1" applyFont="1" applyFill="1" applyBorder="1"/>
    <xf numFmtId="43" fontId="5" fillId="4" borderId="4" xfId="1" applyNumberFormat="1" applyFont="1" applyFill="1" applyBorder="1"/>
    <xf numFmtId="166" fontId="5" fillId="4" borderId="0" xfId="0" applyNumberFormat="1" applyFont="1" applyFill="1"/>
    <xf numFmtId="43" fontId="5" fillId="4" borderId="5" xfId="1" applyNumberFormat="1" applyFont="1" applyFill="1" applyBorder="1"/>
    <xf numFmtId="166" fontId="0" fillId="2" borderId="0" xfId="0" applyNumberFormat="1" applyFill="1" applyBorder="1"/>
    <xf numFmtId="43" fontId="0" fillId="2" borderId="5" xfId="1" applyFont="1" applyFill="1" applyBorder="1"/>
    <xf numFmtId="43" fontId="5" fillId="4" borderId="10" xfId="1" applyNumberFormat="1" applyFont="1" applyFill="1" applyBorder="1"/>
    <xf numFmtId="43" fontId="13" fillId="2" borderId="0" xfId="1" applyFont="1" applyFill="1" applyAlignment="1">
      <alignment horizontal="left"/>
    </xf>
    <xf numFmtId="43" fontId="6" fillId="2" borderId="0" xfId="1" applyFont="1" applyFill="1" applyAlignment="1">
      <alignment horizontal="left"/>
    </xf>
    <xf numFmtId="43" fontId="12" fillId="4" borderId="1" xfId="1" applyNumberFormat="1" applyFont="1" applyFill="1" applyBorder="1"/>
    <xf numFmtId="43" fontId="0" fillId="2" borderId="3" xfId="1" applyFont="1" applyFill="1" applyBorder="1"/>
    <xf numFmtId="43" fontId="0" fillId="2" borderId="7" xfId="1" applyFont="1" applyFill="1" applyBorder="1"/>
    <xf numFmtId="43" fontId="0" fillId="2" borderId="4" xfId="1" applyFont="1" applyFill="1" applyBorder="1"/>
    <xf numFmtId="43" fontId="6" fillId="2" borderId="11" xfId="1" applyFont="1" applyFill="1" applyBorder="1" applyAlignment="1">
      <alignment horizontal="left"/>
    </xf>
    <xf numFmtId="43" fontId="0" fillId="2" borderId="10" xfId="1" applyFont="1" applyFill="1" applyBorder="1"/>
    <xf numFmtId="43" fontId="6" fillId="2" borderId="9" xfId="1" applyFont="1" applyFill="1" applyBorder="1" applyAlignment="1">
      <alignment horizontal="left"/>
    </xf>
    <xf numFmtId="43" fontId="6" fillId="2" borderId="2" xfId="1" applyFont="1" applyFill="1" applyBorder="1" applyAlignment="1">
      <alignment horizontal="left"/>
    </xf>
    <xf numFmtId="43" fontId="6" fillId="2" borderId="8" xfId="1" applyFont="1" applyFill="1" applyBorder="1" applyAlignment="1">
      <alignment horizontal="left"/>
    </xf>
    <xf numFmtId="43" fontId="6" fillId="2" borderId="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12" fillId="4" borderId="2" xfId="1" applyNumberFormat="1" applyFont="1" applyFill="1" applyBorder="1"/>
    <xf numFmtId="43" fontId="12" fillId="4" borderId="3" xfId="1" applyNumberFormat="1" applyFont="1" applyFill="1" applyBorder="1"/>
    <xf numFmtId="43" fontId="6" fillId="2" borderId="6" xfId="1" applyFont="1" applyFill="1" applyBorder="1" applyAlignment="1">
      <alignment horizontal="left"/>
    </xf>
    <xf numFmtId="43" fontId="6" fillId="2" borderId="0" xfId="1" applyFont="1" applyFill="1" applyBorder="1" applyAlignment="1">
      <alignment horizontal="left"/>
    </xf>
    <xf numFmtId="0" fontId="0" fillId="2" borderId="7" xfId="0" applyFill="1" applyBorder="1"/>
    <xf numFmtId="43" fontId="12" fillId="4" borderId="0" xfId="1" applyNumberFormat="1" applyFont="1" applyFill="1" applyBorder="1"/>
    <xf numFmtId="43" fontId="12" fillId="4" borderId="7" xfId="1" applyNumberFormat="1" applyFont="1" applyFill="1" applyBorder="1"/>
    <xf numFmtId="43" fontId="12" fillId="4" borderId="4" xfId="1" applyNumberFormat="1" applyFont="1" applyFill="1" applyBorder="1"/>
    <xf numFmtId="43" fontId="0" fillId="2" borderId="4" xfId="0" applyNumberFormat="1" applyFill="1" applyBorder="1"/>
    <xf numFmtId="43" fontId="7" fillId="2" borderId="9" xfId="1" applyFont="1" applyFill="1" applyBorder="1"/>
    <xf numFmtId="43" fontId="7" fillId="2" borderId="8" xfId="1" applyFont="1" applyFill="1" applyBorder="1"/>
    <xf numFmtId="0" fontId="0" fillId="2" borderId="3" xfId="0" applyFill="1" applyBorder="1"/>
    <xf numFmtId="166" fontId="0" fillId="2" borderId="5" xfId="0" applyNumberFormat="1" applyFill="1" applyBorder="1"/>
    <xf numFmtId="166" fontId="9" fillId="4" borderId="0" xfId="1" applyNumberFormat="1" applyFont="1" applyFill="1"/>
    <xf numFmtId="43" fontId="9" fillId="4" borderId="0" xfId="1" applyNumberFormat="1" applyFont="1" applyFill="1" applyBorder="1"/>
    <xf numFmtId="0" fontId="9" fillId="2" borderId="0" xfId="0" applyFont="1" applyFill="1"/>
    <xf numFmtId="10" fontId="9" fillId="4" borderId="0" xfId="3" applyNumberFormat="1" applyFont="1" applyFill="1"/>
    <xf numFmtId="43" fontId="9" fillId="4" borderId="5" xfId="1" applyNumberFormat="1" applyFont="1" applyFill="1" applyBorder="1"/>
    <xf numFmtId="166" fontId="0" fillId="2" borderId="0" xfId="0" applyNumberFormat="1" applyFill="1" applyBorder="1" applyAlignment="1">
      <alignment horizontal="center"/>
    </xf>
    <xf numFmtId="43" fontId="15" fillId="2" borderId="0" xfId="1" applyFont="1" applyFill="1"/>
    <xf numFmtId="0" fontId="0" fillId="2" borderId="11" xfId="0" applyFill="1" applyBorder="1" applyAlignment="1">
      <alignment horizontal="center"/>
    </xf>
    <xf numFmtId="43" fontId="16" fillId="4" borderId="0" xfId="1" applyFont="1" applyFill="1" applyAlignment="1">
      <alignment horizontal="center"/>
    </xf>
    <xf numFmtId="43" fontId="17" fillId="2" borderId="0" xfId="1" applyFont="1" applyFill="1" applyAlignment="1">
      <alignment horizontal="center"/>
    </xf>
    <xf numFmtId="166" fontId="0" fillId="2" borderId="5" xfId="1" applyNumberFormat="1" applyFont="1" applyFill="1" applyBorder="1"/>
    <xf numFmtId="170" fontId="0" fillId="2" borderId="5" xfId="2" applyNumberFormat="1" applyFont="1" applyFill="1" applyBorder="1"/>
    <xf numFmtId="164" fontId="4" fillId="2" borderId="0" xfId="0" applyNumberFormat="1" applyFont="1" applyFill="1" applyAlignment="1">
      <alignment horizontal="left"/>
    </xf>
    <xf numFmtId="0" fontId="3" fillId="2" borderId="0" xfId="0" applyFont="1" applyFill="1"/>
    <xf numFmtId="0" fontId="7" fillId="2" borderId="11" xfId="0" applyNumberFormat="1" applyFont="1" applyFill="1" applyBorder="1" applyAlignment="1"/>
    <xf numFmtId="0" fontId="6" fillId="2" borderId="5" xfId="0" applyFont="1" applyFill="1" applyBorder="1"/>
    <xf numFmtId="43" fontId="7" fillId="2" borderId="10" xfId="0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/>
    <xf numFmtId="0" fontId="6" fillId="2" borderId="6" xfId="0" applyNumberFormat="1" applyFont="1" applyFill="1" applyBorder="1" applyAlignment="1"/>
    <xf numFmtId="9" fontId="6" fillId="2" borderId="0" xfId="3" applyFont="1" applyFill="1" applyBorder="1"/>
    <xf numFmtId="0" fontId="7" fillId="2" borderId="8" xfId="0" applyNumberFormat="1" applyFont="1" applyFill="1" applyBorder="1" applyAlignment="1"/>
    <xf numFmtId="0" fontId="6" fillId="2" borderId="1" xfId="0" applyFont="1" applyFill="1" applyBorder="1" applyAlignment="1">
      <alignment horizontal="right"/>
    </xf>
    <xf numFmtId="10" fontId="6" fillId="2" borderId="4" xfId="3" applyNumberFormat="1" applyFont="1" applyFill="1" applyBorder="1"/>
    <xf numFmtId="0" fontId="9" fillId="2" borderId="2" xfId="0" applyFont="1" applyFill="1" applyBorder="1"/>
    <xf numFmtId="10" fontId="18" fillId="2" borderId="12" xfId="3" applyNumberFormat="1" applyFont="1" applyFill="1" applyBorder="1" applyAlignment="1">
      <alignment horizontal="center"/>
    </xf>
    <xf numFmtId="9" fontId="9" fillId="4" borderId="3" xfId="3" applyNumberFormat="1" applyFont="1" applyFill="1" applyBorder="1"/>
    <xf numFmtId="9" fontId="9" fillId="4" borderId="2" xfId="3" applyFont="1" applyFill="1" applyBorder="1"/>
    <xf numFmtId="10" fontId="9" fillId="4" borderId="3" xfId="3" applyNumberFormat="1" applyFont="1" applyFill="1" applyBorder="1"/>
    <xf numFmtId="10" fontId="9" fillId="4" borderId="4" xfId="3" applyNumberFormat="1" applyFont="1" applyFill="1" applyBorder="1"/>
    <xf numFmtId="10" fontId="9" fillId="4" borderId="12" xfId="3" applyNumberFormat="1" applyFont="1" applyFill="1" applyBorder="1" applyAlignment="1">
      <alignment horizontal="center"/>
    </xf>
    <xf numFmtId="166" fontId="7" fillId="2" borderId="5" xfId="0" applyNumberFormat="1" applyFont="1" applyFill="1" applyBorder="1"/>
    <xf numFmtId="166" fontId="9" fillId="4" borderId="0" xfId="0" applyNumberFormat="1" applyFont="1" applyFill="1"/>
    <xf numFmtId="166" fontId="10" fillId="2" borderId="0" xfId="1" applyNumberFormat="1" applyFont="1" applyFill="1" applyBorder="1" applyAlignment="1">
      <alignment horizontal="right"/>
    </xf>
    <xf numFmtId="43" fontId="0" fillId="2" borderId="0" xfId="0" applyNumberFormat="1" applyFill="1"/>
    <xf numFmtId="43" fontId="7" fillId="2" borderId="2" xfId="1" applyFont="1" applyFill="1" applyBorder="1"/>
    <xf numFmtId="0" fontId="7" fillId="2" borderId="2" xfId="0" applyFont="1" applyFill="1" applyBorder="1" applyAlignment="1">
      <alignment horizontal="center"/>
    </xf>
    <xf numFmtId="15" fontId="17" fillId="2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5" fontId="7" fillId="2" borderId="10" xfId="0" applyNumberFormat="1" applyFont="1" applyFill="1" applyBorder="1"/>
    <xf numFmtId="0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20" fillId="2" borderId="0" xfId="0" applyFont="1" applyFill="1"/>
    <xf numFmtId="43" fontId="7" fillId="2" borderId="11" xfId="1" applyFont="1" applyFill="1" applyBorder="1"/>
    <xf numFmtId="0" fontId="7" fillId="2" borderId="5" xfId="0" applyNumberFormat="1" applyFont="1" applyFill="1" applyBorder="1" applyAlignment="1">
      <alignment horizontal="right"/>
    </xf>
    <xf numFmtId="0" fontId="7" fillId="2" borderId="10" xfId="0" applyNumberFormat="1" applyFont="1" applyFill="1" applyBorder="1" applyAlignment="1">
      <alignment horizontal="right"/>
    </xf>
    <xf numFmtId="166" fontId="5" fillId="4" borderId="0" xfId="1" applyNumberFormat="1" applyFont="1" applyFill="1" applyBorder="1"/>
    <xf numFmtId="43" fontId="9" fillId="4" borderId="2" xfId="1" applyNumberFormat="1" applyFont="1" applyFill="1" applyBorder="1"/>
    <xf numFmtId="43" fontId="8" fillId="4" borderId="2" xfId="1" applyNumberFormat="1" applyFont="1" applyFill="1" applyBorder="1"/>
    <xf numFmtId="166" fontId="9" fillId="2" borderId="0" xfId="0" applyNumberFormat="1" applyFont="1" applyFill="1"/>
    <xf numFmtId="166" fontId="9" fillId="2" borderId="1" xfId="0" applyNumberFormat="1" applyFont="1" applyFill="1" applyBorder="1"/>
    <xf numFmtId="43" fontId="8" fillId="4" borderId="2" xfId="1" applyFont="1" applyFill="1" applyBorder="1"/>
    <xf numFmtId="43" fontId="8" fillId="4" borderId="3" xfId="1" applyFont="1" applyFill="1" applyBorder="1"/>
    <xf numFmtId="43" fontId="8" fillId="4" borderId="0" xfId="1" applyFont="1" applyFill="1" applyBorder="1"/>
    <xf numFmtId="43" fontId="8" fillId="4" borderId="7" xfId="1" applyFont="1" applyFill="1" applyBorder="1"/>
    <xf numFmtId="43" fontId="8" fillId="4" borderId="0" xfId="1" applyNumberFormat="1" applyFont="1" applyFill="1" applyBorder="1"/>
    <xf numFmtId="43" fontId="8" fillId="4" borderId="1" xfId="1" applyNumberFormat="1" applyFont="1" applyFill="1" applyBorder="1"/>
    <xf numFmtId="43" fontId="8" fillId="4" borderId="4" xfId="1" applyNumberFormat="1" applyFont="1" applyFill="1" applyBorder="1"/>
    <xf numFmtId="43" fontId="10" fillId="4" borderId="5" xfId="1" applyNumberFormat="1" applyFont="1" applyFill="1" applyBorder="1"/>
    <xf numFmtId="43" fontId="10" fillId="4" borderId="10" xfId="1" applyNumberFormat="1" applyFont="1" applyFill="1" applyBorder="1"/>
    <xf numFmtId="43" fontId="9" fillId="4" borderId="3" xfId="1" applyNumberFormat="1" applyFont="1" applyFill="1" applyBorder="1"/>
    <xf numFmtId="43" fontId="8" fillId="4" borderId="5" xfId="1" applyNumberFormat="1" applyFont="1" applyFill="1" applyBorder="1"/>
    <xf numFmtId="10" fontId="18" fillId="2" borderId="0" xfId="3" applyNumberFormat="1" applyFont="1" applyFill="1" applyBorder="1" applyAlignment="1">
      <alignment horizontal="center"/>
    </xf>
    <xf numFmtId="10" fontId="0" fillId="2" borderId="0" xfId="0" applyNumberFormat="1" applyFill="1"/>
    <xf numFmtId="10" fontId="0" fillId="2" borderId="0" xfId="1" applyNumberFormat="1" applyFont="1" applyFill="1" applyAlignment="1">
      <alignment horizontal="left"/>
    </xf>
    <xf numFmtId="0" fontId="0" fillId="2" borderId="8" xfId="0" applyFill="1" applyBorder="1" applyAlignment="1">
      <alignment horizontal="center"/>
    </xf>
    <xf numFmtId="166" fontId="18" fillId="5" borderId="12" xfId="1" applyNumberFormat="1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0" fillId="2" borderId="9" xfId="0" applyFill="1" applyBorder="1"/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21" fillId="4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center"/>
    </xf>
    <xf numFmtId="9" fontId="9" fillId="2" borderId="0" xfId="3" applyNumberFormat="1" applyFont="1" applyFill="1" applyBorder="1" applyAlignment="1">
      <alignment horizontal="right"/>
    </xf>
    <xf numFmtId="166" fontId="0" fillId="2" borderId="7" xfId="0" applyNumberForma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43" fontId="0" fillId="2" borderId="7" xfId="1" applyFont="1" applyFill="1" applyBorder="1" applyAlignment="1">
      <alignment horizontal="center"/>
    </xf>
    <xf numFmtId="181" fontId="9" fillId="2" borderId="1" xfId="0" applyNumberFormat="1" applyFont="1" applyFill="1" applyBorder="1" applyAlignment="1">
      <alignment horizontal="right"/>
    </xf>
    <xf numFmtId="43" fontId="9" fillId="2" borderId="1" xfId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10" fontId="17" fillId="2" borderId="12" xfId="3" applyNumberFormat="1" applyFont="1" applyFill="1" applyBorder="1" applyAlignment="1">
      <alignment horizontal="center"/>
    </xf>
    <xf numFmtId="43" fontId="7" fillId="2" borderId="0" xfId="1" applyFont="1" applyFill="1" applyAlignment="1">
      <alignment horizontal="right"/>
    </xf>
    <xf numFmtId="166" fontId="9" fillId="4" borderId="12" xfId="1" applyNumberFormat="1" applyFont="1" applyFill="1" applyBorder="1" applyAlignment="1">
      <alignment horizontal="center"/>
    </xf>
    <xf numFmtId="10" fontId="9" fillId="4" borderId="0" xfId="3" applyNumberFormat="1" applyFont="1" applyFill="1" applyBorder="1" applyAlignment="1">
      <alignment horizontal="right"/>
    </xf>
    <xf numFmtId="10" fontId="9" fillId="4" borderId="0" xfId="0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right"/>
    </xf>
    <xf numFmtId="181" fontId="9" fillId="2" borderId="0" xfId="0" applyNumberFormat="1" applyFont="1" applyFill="1" applyBorder="1" applyAlignment="1">
      <alignment horizontal="right"/>
    </xf>
    <xf numFmtId="166" fontId="0" fillId="2" borderId="0" xfId="1" applyNumberFormat="1" applyFont="1" applyFill="1" applyBorder="1"/>
    <xf numFmtId="10" fontId="18" fillId="2" borderId="11" xfId="3" applyNumberFormat="1" applyFont="1" applyFill="1" applyBorder="1" applyAlignment="1">
      <alignment horizontal="center"/>
    </xf>
    <xf numFmtId="166" fontId="7" fillId="2" borderId="12" xfId="1" applyNumberFormat="1" applyFont="1" applyFill="1" applyBorder="1"/>
    <xf numFmtId="166" fontId="7" fillId="2" borderId="12" xfId="1" applyNumberFormat="1" applyFont="1" applyFill="1" applyBorder="1" applyAlignment="1">
      <alignment horizontal="center"/>
    </xf>
    <xf numFmtId="166" fontId="7" fillId="2" borderId="13" xfId="1" applyNumberFormat="1" applyFont="1" applyFill="1" applyBorder="1"/>
    <xf numFmtId="166" fontId="18" fillId="2" borderId="12" xfId="3" applyNumberFormat="1" applyFont="1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right"/>
    </xf>
    <xf numFmtId="15" fontId="18" fillId="2" borderId="12" xfId="3" applyNumberFormat="1" applyFont="1" applyFill="1" applyBorder="1" applyAlignment="1">
      <alignment horizontal="center"/>
    </xf>
    <xf numFmtId="166" fontId="5" fillId="2" borderId="0" xfId="1" applyNumberFormat="1" applyFont="1" applyFill="1"/>
    <xf numFmtId="166" fontId="5" fillId="2" borderId="0" xfId="0" applyNumberFormat="1" applyFont="1" applyFill="1"/>
    <xf numFmtId="43" fontId="0" fillId="2" borderId="0" xfId="1" applyFont="1" applyFill="1" applyAlignment="1">
      <alignment horizontal="left"/>
    </xf>
    <xf numFmtId="166" fontId="10" fillId="2" borderId="0" xfId="1" quotePrefix="1" applyNumberFormat="1" applyFont="1" applyFill="1" applyAlignment="1">
      <alignment horizontal="right"/>
    </xf>
    <xf numFmtId="15" fontId="6" fillId="2" borderId="5" xfId="0" applyNumberFormat="1" applyFont="1" applyFill="1" applyBorder="1" applyAlignment="1">
      <alignment horizontal="center"/>
    </xf>
    <xf numFmtId="15" fontId="0" fillId="2" borderId="5" xfId="0" applyNumberFormat="1" applyFill="1" applyBorder="1"/>
    <xf numFmtId="43" fontId="0" fillId="2" borderId="6" xfId="1" applyFont="1" applyFill="1" applyBorder="1" applyAlignment="1">
      <alignment horizontal="left"/>
    </xf>
    <xf numFmtId="166" fontId="10" fillId="2" borderId="0" xfId="1" quotePrefix="1" applyNumberFormat="1" applyFont="1" applyFill="1" applyBorder="1" applyAlignment="1">
      <alignment horizontal="left"/>
    </xf>
    <xf numFmtId="166" fontId="10" fillId="2" borderId="0" xfId="1" applyNumberFormat="1" applyFont="1" applyFill="1" applyBorder="1"/>
    <xf numFmtId="43" fontId="10" fillId="2" borderId="0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166" fontId="5" fillId="4" borderId="1" xfId="0" applyNumberFormat="1" applyFont="1" applyFill="1" applyBorder="1"/>
    <xf numFmtId="166" fontId="8" fillId="2" borderId="0" xfId="1" applyNumberFormat="1" applyFont="1" applyFill="1"/>
    <xf numFmtId="166" fontId="8" fillId="2" borderId="12" xfId="1" applyNumberFormat="1" applyFont="1" applyFill="1" applyBorder="1"/>
    <xf numFmtId="0" fontId="8" fillId="2" borderId="0" xfId="0" applyFont="1" applyFill="1"/>
    <xf numFmtId="166" fontId="8" fillId="2" borderId="1" xfId="0" applyNumberFormat="1" applyFont="1" applyFill="1" applyBorder="1"/>
    <xf numFmtId="166" fontId="8" fillId="2" borderId="12" xfId="0" applyNumberFormat="1" applyFont="1" applyFill="1" applyBorder="1"/>
    <xf numFmtId="166" fontId="8" fillId="2" borderId="0" xfId="1" applyNumberFormat="1" applyFont="1" applyFill="1" applyBorder="1"/>
    <xf numFmtId="166" fontId="8" fillId="2" borderId="1" xfId="1" applyNumberFormat="1" applyFont="1" applyFill="1" applyBorder="1"/>
    <xf numFmtId="166" fontId="8" fillId="2" borderId="1" xfId="0" applyNumberFormat="1" applyFont="1" applyFill="1" applyBorder="1" applyAlignment="1">
      <alignment horizontal="center"/>
    </xf>
    <xf numFmtId="166" fontId="0" fillId="2" borderId="2" xfId="0" applyNumberFormat="1" applyFill="1" applyBorder="1"/>
    <xf numFmtId="166" fontId="0" fillId="2" borderId="14" xfId="0" applyNumberFormat="1" applyFill="1" applyBorder="1"/>
    <xf numFmtId="166" fontId="0" fillId="2" borderId="2" xfId="0" applyNumberFormat="1" applyFill="1" applyBorder="1" applyAlignment="1">
      <alignment horizontal="center"/>
    </xf>
    <xf numFmtId="166" fontId="10" fillId="2" borderId="5" xfId="1" applyNumberFormat="1" applyFont="1" applyFill="1" applyBorder="1" applyAlignment="1">
      <alignment horizontal="right"/>
    </xf>
    <xf numFmtId="166" fontId="0" fillId="2" borderId="14" xfId="0" applyNumberFormat="1" applyFill="1" applyBorder="1" applyAlignment="1">
      <alignment horizontal="center"/>
    </xf>
    <xf numFmtId="43" fontId="17" fillId="2" borderId="0" xfId="1" applyFont="1" applyFill="1"/>
    <xf numFmtId="43" fontId="0" fillId="2" borderId="9" xfId="1" applyFont="1" applyFill="1" applyBorder="1"/>
    <xf numFmtId="10" fontId="5" fillId="4" borderId="2" xfId="3" applyNumberFormat="1" applyFont="1" applyFill="1" applyBorder="1" applyAlignment="1">
      <alignment horizontal="right"/>
    </xf>
    <xf numFmtId="10" fontId="9" fillId="4" borderId="2" xfId="0" applyNumberFormat="1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10" fillId="4" borderId="1" xfId="1" applyNumberFormat="1" applyFont="1" applyFill="1" applyBorder="1" applyAlignment="1">
      <alignment horizontal="center"/>
    </xf>
    <xf numFmtId="43" fontId="7" fillId="2" borderId="0" xfId="0" applyNumberFormat="1" applyFont="1" applyFill="1"/>
    <xf numFmtId="8" fontId="0" fillId="2" borderId="0" xfId="0" applyNumberFormat="1" applyFill="1"/>
    <xf numFmtId="166" fontId="18" fillId="2" borderId="0" xfId="1" applyNumberFormat="1" applyFont="1" applyFill="1" applyBorder="1" applyAlignment="1">
      <alignment horizontal="center"/>
    </xf>
    <xf numFmtId="43" fontId="0" fillId="2" borderId="0" xfId="1" applyNumberFormat="1" applyFont="1" applyFill="1"/>
    <xf numFmtId="166" fontId="5" fillId="4" borderId="4" xfId="1" applyNumberFormat="1" applyFont="1" applyFill="1" applyBorder="1" applyAlignment="1">
      <alignment horizontal="center"/>
    </xf>
    <xf numFmtId="10" fontId="6" fillId="2" borderId="0" xfId="0" applyNumberFormat="1" applyFont="1" applyFill="1"/>
    <xf numFmtId="43" fontId="9" fillId="4" borderId="7" xfId="1" applyNumberFormat="1" applyFont="1" applyFill="1" applyBorder="1"/>
    <xf numFmtId="166" fontId="6" fillId="2" borderId="0" xfId="0" applyNumberFormat="1" applyFon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22" fillId="2" borderId="3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9" fillId="2" borderId="4" xfId="1" applyNumberFormat="1" applyFont="1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7" fillId="2" borderId="0" xfId="0" applyNumberFormat="1" applyFont="1" applyFill="1" applyBorder="1" applyAlignment="1"/>
    <xf numFmtId="0" fontId="6" fillId="2" borderId="0" xfId="0" applyFont="1" applyFill="1" applyBorder="1" applyAlignment="1">
      <alignment horizontal="right"/>
    </xf>
    <xf numFmtId="10" fontId="6" fillId="2" borderId="0" xfId="3" applyNumberFormat="1" applyFont="1" applyFill="1" applyBorder="1"/>
    <xf numFmtId="9" fontId="9" fillId="4" borderId="0" xfId="3" applyFont="1" applyFill="1" applyBorder="1"/>
    <xf numFmtId="10" fontId="9" fillId="4" borderId="7" xfId="3" applyNumberFormat="1" applyFont="1" applyFill="1" applyBorder="1"/>
    <xf numFmtId="0" fontId="7" fillId="2" borderId="6" xfId="0" applyNumberFormat="1" applyFont="1" applyFill="1" applyBorder="1" applyAlignment="1"/>
    <xf numFmtId="10" fontId="6" fillId="2" borderId="7" xfId="3" applyNumberFormat="1" applyFont="1" applyFill="1" applyBorder="1"/>
    <xf numFmtId="0" fontId="6" fillId="2" borderId="8" xfId="0" applyNumberFormat="1" applyFont="1" applyFill="1" applyBorder="1" applyAlignment="1"/>
    <xf numFmtId="0" fontId="7" fillId="0" borderId="0" xfId="0" applyFont="1"/>
    <xf numFmtId="166" fontId="0" fillId="0" borderId="0" xfId="1" applyNumberFormat="1" applyFont="1"/>
    <xf numFmtId="166" fontId="9" fillId="4" borderId="0" xfId="1" applyNumberFormat="1" applyFont="1" applyFill="1" applyProtection="1"/>
    <xf numFmtId="0" fontId="0" fillId="0" borderId="0" xfId="0" quotePrefix="1" applyAlignment="1">
      <alignment horizontal="left"/>
    </xf>
    <xf numFmtId="170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170" fontId="0" fillId="2" borderId="0" xfId="0" applyNumberFormat="1" applyFill="1"/>
    <xf numFmtId="0" fontId="6" fillId="0" borderId="0" xfId="0" applyFont="1"/>
    <xf numFmtId="0" fontId="7" fillId="2" borderId="0" xfId="1" applyNumberFormat="1" applyFont="1" applyFill="1"/>
    <xf numFmtId="170" fontId="0" fillId="2" borderId="1" xfId="0" applyNumberFormat="1" applyFill="1" applyBorder="1"/>
    <xf numFmtId="10" fontId="9" fillId="0" borderId="0" xfId="3" applyNumberFormat="1" applyFont="1" applyFill="1" applyBorder="1" applyAlignment="1">
      <alignment horizontal="center"/>
    </xf>
    <xf numFmtId="14" fontId="7" fillId="0" borderId="15" xfId="0" applyNumberFormat="1" applyFont="1" applyBorder="1"/>
    <xf numFmtId="9" fontId="0" fillId="0" borderId="16" xfId="3" applyFont="1" applyBorder="1"/>
    <xf numFmtId="9" fontId="0" fillId="0" borderId="17" xfId="3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7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6" fontId="0" fillId="0" borderId="20" xfId="1" applyNumberFormat="1" applyFont="1" applyBorder="1"/>
    <xf numFmtId="14" fontId="7" fillId="0" borderId="20" xfId="0" applyNumberFormat="1" applyFont="1" applyBorder="1"/>
    <xf numFmtId="0" fontId="27" fillId="0" borderId="0" xfId="0" applyFont="1"/>
    <xf numFmtId="166" fontId="0" fillId="0" borderId="0" xfId="0" applyNumberFormat="1"/>
    <xf numFmtId="166" fontId="0" fillId="0" borderId="20" xfId="0" applyNumberFormat="1" applyBorder="1"/>
    <xf numFmtId="166" fontId="10" fillId="2" borderId="0" xfId="1" applyNumberFormat="1" applyFont="1" applyFill="1" applyAlignment="1">
      <alignment horizontal="center"/>
    </xf>
    <xf numFmtId="0" fontId="26" fillId="2" borderId="0" xfId="0" quotePrefix="1" applyFont="1" applyFill="1" applyAlignment="1">
      <alignment horizontal="left"/>
    </xf>
    <xf numFmtId="0" fontId="0" fillId="2" borderId="0" xfId="0" quotePrefix="1" applyFill="1" applyAlignment="1">
      <alignment horizontal="left"/>
    </xf>
    <xf numFmtId="0" fontId="22" fillId="2" borderId="0" xfId="0" quotePrefix="1" applyFont="1" applyFill="1" applyAlignment="1">
      <alignment horizontal="left"/>
    </xf>
    <xf numFmtId="0" fontId="0" fillId="2" borderId="0" xfId="0" applyFill="1" applyAlignment="1">
      <alignment horizontal="left"/>
    </xf>
    <xf numFmtId="44" fontId="0" fillId="2" borderId="0" xfId="2" applyFont="1" applyFill="1"/>
    <xf numFmtId="170" fontId="0" fillId="2" borderId="21" xfId="0" applyNumberFormat="1" applyFill="1" applyBorder="1"/>
    <xf numFmtId="9" fontId="0" fillId="2" borderId="0" xfId="0" applyNumberFormat="1" applyFill="1"/>
    <xf numFmtId="0" fontId="15" fillId="0" borderId="0" xfId="0" applyFont="1" applyFill="1" applyBorder="1"/>
    <xf numFmtId="0" fontId="28" fillId="0" borderId="0" xfId="0" quotePrefix="1" applyFont="1" applyFill="1" applyBorder="1" applyAlignment="1">
      <alignment horizontal="left"/>
    </xf>
    <xf numFmtId="0" fontId="0" fillId="0" borderId="0" xfId="0" applyFill="1" applyBorder="1"/>
    <xf numFmtId="0" fontId="20" fillId="0" borderId="0" xfId="0" applyFont="1"/>
    <xf numFmtId="0" fontId="28" fillId="0" borderId="0" xfId="0" quotePrefix="1" applyFont="1" applyAlignment="1">
      <alignment horizontal="left"/>
    </xf>
    <xf numFmtId="1" fontId="0" fillId="0" borderId="0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26" fillId="0" borderId="0" xfId="0" applyFont="1"/>
    <xf numFmtId="44" fontId="0" fillId="0" borderId="0" xfId="2" applyNumberFormat="1" applyFont="1" applyFill="1" applyBorder="1"/>
    <xf numFmtId="44" fontId="0" fillId="0" borderId="0" xfId="2" applyNumberFormat="1" applyFont="1"/>
    <xf numFmtId="170" fontId="0" fillId="0" borderId="0" xfId="0" applyNumberFormat="1" applyFill="1" applyBorder="1"/>
    <xf numFmtId="44" fontId="7" fillId="0" borderId="0" xfId="0" applyNumberFormat="1" applyFont="1"/>
    <xf numFmtId="44" fontId="0" fillId="0" borderId="0" xfId="0" applyNumberFormat="1"/>
    <xf numFmtId="0" fontId="7" fillId="0" borderId="0" xfId="0" applyFont="1" applyFill="1" applyBorder="1" applyAlignment="1">
      <alignment horizontal="left"/>
    </xf>
    <xf numFmtId="0" fontId="26" fillId="0" borderId="0" xfId="0" applyFont="1" applyFill="1" applyBorder="1"/>
    <xf numFmtId="170" fontId="0" fillId="0" borderId="1" xfId="0" applyNumberFormat="1" applyFill="1" applyBorder="1"/>
    <xf numFmtId="166" fontId="0" fillId="0" borderId="0" xfId="0" applyNumberFormat="1" applyFill="1" applyBorder="1"/>
    <xf numFmtId="10" fontId="6" fillId="2" borderId="0" xfId="1" applyNumberFormat="1" applyFont="1" applyFill="1" applyBorder="1" applyAlignment="1">
      <alignment horizontal="center"/>
    </xf>
    <xf numFmtId="0" fontId="0" fillId="6" borderId="16" xfId="0" applyFill="1" applyBorder="1"/>
    <xf numFmtId="0" fontId="0" fillId="0" borderId="0" xfId="0" applyFill="1" applyBorder="1" applyAlignment="1">
      <alignment horizontal="left"/>
    </xf>
    <xf numFmtId="170" fontId="0" fillId="6" borderId="16" xfId="0" applyNumberFormat="1" applyFill="1" applyBorder="1"/>
    <xf numFmtId="170" fontId="8" fillId="6" borderId="16" xfId="0" applyNumberFormat="1" applyFont="1" applyFill="1" applyBorder="1"/>
    <xf numFmtId="10" fontId="5" fillId="4" borderId="0" xfId="3" applyNumberFormat="1" applyFont="1" applyFill="1"/>
    <xf numFmtId="10" fontId="8" fillId="4" borderId="0" xfId="3" applyNumberFormat="1" applyFont="1" applyFill="1"/>
    <xf numFmtId="0" fontId="6" fillId="2" borderId="0" xfId="0" applyNumberFormat="1" applyFont="1" applyFill="1" applyBorder="1" applyAlignment="1"/>
    <xf numFmtId="0" fontId="6" fillId="0" borderId="0" xfId="0" applyFont="1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29" fillId="0" borderId="0" xfId="0" applyFont="1"/>
    <xf numFmtId="9" fontId="7" fillId="0" borderId="0" xfId="3" applyFont="1"/>
    <xf numFmtId="10" fontId="7" fillId="0" borderId="20" xfId="3" applyNumberFormat="1" applyFont="1" applyBorder="1"/>
    <xf numFmtId="166" fontId="7" fillId="0" borderId="0" xfId="1" applyNumberFormat="1" applyFont="1"/>
    <xf numFmtId="0" fontId="7" fillId="0" borderId="16" xfId="0" applyFont="1" applyBorder="1" applyAlignment="1">
      <alignment horizontal="center" wrapText="1"/>
    </xf>
    <xf numFmtId="0" fontId="30" fillId="0" borderId="0" xfId="0" applyFont="1"/>
    <xf numFmtId="170" fontId="6" fillId="0" borderId="22" xfId="2" applyNumberFormat="1" applyFont="1" applyBorder="1" applyAlignment="1">
      <alignment horizontal="left"/>
    </xf>
    <xf numFmtId="170" fontId="6" fillId="0" borderId="17" xfId="2" applyNumberFormat="1" applyFont="1" applyBorder="1" applyAlignment="1">
      <alignment horizontal="left"/>
    </xf>
    <xf numFmtId="166" fontId="7" fillId="0" borderId="23" xfId="1" applyNumberFormat="1" applyFont="1" applyBorder="1"/>
    <xf numFmtId="166" fontId="0" fillId="0" borderId="22" xfId="1" applyNumberFormat="1" applyFont="1" applyBorder="1"/>
    <xf numFmtId="166" fontId="7" fillId="0" borderId="17" xfId="1" applyNumberFormat="1" applyFont="1" applyBorder="1"/>
    <xf numFmtId="9" fontId="6" fillId="0" borderId="22" xfId="3" applyFont="1" applyBorder="1" applyAlignment="1">
      <alignment horizontal="center"/>
    </xf>
    <xf numFmtId="9" fontId="6" fillId="0" borderId="17" xfId="3" applyFont="1" applyBorder="1" applyAlignment="1">
      <alignment horizontal="center"/>
    </xf>
    <xf numFmtId="9" fontId="6" fillId="0" borderId="23" xfId="3" applyFont="1" applyBorder="1" applyAlignment="1">
      <alignment horizontal="center"/>
    </xf>
    <xf numFmtId="0" fontId="31" fillId="0" borderId="0" xfId="0" applyFont="1" applyAlignment="1">
      <alignment horizontal="center"/>
    </xf>
    <xf numFmtId="166" fontId="6" fillId="0" borderId="23" xfId="1" applyNumberFormat="1" applyFont="1" applyBorder="1"/>
    <xf numFmtId="0" fontId="15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0" fillId="6" borderId="0" xfId="0" applyFill="1"/>
    <xf numFmtId="0" fontId="31" fillId="0" borderId="0" xfId="0" applyFont="1" applyBorder="1" applyAlignment="1">
      <alignment horizontal="center"/>
    </xf>
    <xf numFmtId="10" fontId="7" fillId="0" borderId="22" xfId="3" applyNumberFormat="1" applyFont="1" applyBorder="1" applyAlignment="1">
      <alignment horizontal="right"/>
    </xf>
    <xf numFmtId="0" fontId="26" fillId="0" borderId="0" xfId="0" applyFont="1" applyAlignment="1">
      <alignment horizontal="right"/>
    </xf>
    <xf numFmtId="183" fontId="26" fillId="0" borderId="0" xfId="0" applyNumberFormat="1" applyFont="1"/>
    <xf numFmtId="37" fontId="0" fillId="0" borderId="0" xfId="0" applyNumberFormat="1"/>
    <xf numFmtId="14" fontId="0" fillId="0" borderId="0" xfId="0" applyNumberFormat="1"/>
    <xf numFmtId="37" fontId="0" fillId="0" borderId="14" xfId="0" applyNumberFormat="1" applyBorder="1"/>
    <xf numFmtId="0" fontId="0" fillId="0" borderId="0" xfId="0" applyAlignment="1">
      <alignment horizontal="right"/>
    </xf>
    <xf numFmtId="37" fontId="6" fillId="0" borderId="0" xfId="0" applyNumberFormat="1" applyFont="1"/>
    <xf numFmtId="37" fontId="0" fillId="0" borderId="0" xfId="0" applyNumberFormat="1" applyBorder="1"/>
    <xf numFmtId="43" fontId="6" fillId="2" borderId="5" xfId="1" applyFont="1" applyFill="1" applyBorder="1"/>
    <xf numFmtId="0" fontId="0" fillId="2" borderId="11" xfId="0" applyFill="1" applyBorder="1"/>
    <xf numFmtId="0" fontId="0" fillId="2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0" xfId="0" applyFill="1" applyBorder="1"/>
    <xf numFmtId="43" fontId="6" fillId="2" borderId="11" xfId="1" applyFont="1" applyFill="1" applyBorder="1"/>
    <xf numFmtId="8" fontId="0" fillId="0" borderId="0" xfId="0" applyNumberFormat="1"/>
    <xf numFmtId="43" fontId="9" fillId="4" borderId="11" xfId="1" applyFont="1" applyFill="1" applyBorder="1"/>
    <xf numFmtId="43" fontId="9" fillId="4" borderId="5" xfId="1" applyFont="1" applyFill="1" applyBorder="1"/>
    <xf numFmtId="43" fontId="9" fillId="4" borderId="10" xfId="1" applyFont="1" applyFill="1" applyBorder="1"/>
    <xf numFmtId="43" fontId="9" fillId="4" borderId="8" xfId="1" applyFont="1" applyFill="1" applyBorder="1"/>
    <xf numFmtId="43" fontId="9" fillId="4" borderId="1" xfId="1" applyFont="1" applyFill="1" applyBorder="1"/>
    <xf numFmtId="43" fontId="9" fillId="4" borderId="4" xfId="1" applyFont="1" applyFill="1" applyBorder="1"/>
    <xf numFmtId="9" fontId="0" fillId="2" borderId="0" xfId="3" applyFont="1" applyFill="1"/>
    <xf numFmtId="43" fontId="0" fillId="0" borderId="0" xfId="1" applyFont="1" applyFill="1"/>
    <xf numFmtId="43" fontId="12" fillId="2" borderId="0" xfId="1" applyNumberFormat="1" applyFont="1" applyFill="1" applyBorder="1"/>
    <xf numFmtId="10" fontId="6" fillId="2" borderId="11" xfId="1" applyNumberFormat="1" applyFont="1" applyFill="1" applyBorder="1" applyAlignment="1">
      <alignment horizontal="center"/>
    </xf>
    <xf numFmtId="10" fontId="6" fillId="2" borderId="10" xfId="1" applyNumberFormat="1" applyFont="1" applyFill="1" applyBorder="1" applyAlignment="1">
      <alignment horizontal="center"/>
    </xf>
    <xf numFmtId="10" fontId="18" fillId="2" borderId="11" xfId="3" applyNumberFormat="1" applyFont="1" applyFill="1" applyBorder="1" applyAlignment="1">
      <alignment horizontal="center"/>
    </xf>
    <xf numFmtId="10" fontId="18" fillId="2" borderId="10" xfId="3" applyNumberFormat="1" applyFont="1" applyFill="1" applyBorder="1" applyAlignment="1">
      <alignment horizontal="center"/>
    </xf>
    <xf numFmtId="10" fontId="9" fillId="4" borderId="11" xfId="3" applyNumberFormat="1" applyFont="1" applyFill="1" applyBorder="1" applyAlignment="1">
      <alignment horizontal="center"/>
    </xf>
    <xf numFmtId="10" fontId="9" fillId="4" borderId="10" xfId="3" applyNumberFormat="1" applyFont="1" applyFill="1" applyBorder="1" applyAlignment="1">
      <alignment horizontal="center"/>
    </xf>
    <xf numFmtId="43" fontId="14" fillId="2" borderId="0" xfId="1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15" fontId="5" fillId="4" borderId="11" xfId="0" applyNumberFormat="1" applyFont="1" applyFill="1" applyBorder="1" applyAlignment="1">
      <alignment horizontal="right"/>
    </xf>
    <xf numFmtId="15" fontId="5" fillId="4" borderId="10" xfId="0" applyNumberFormat="1" applyFont="1" applyFill="1" applyBorder="1" applyAlignment="1">
      <alignment horizontal="right"/>
    </xf>
    <xf numFmtId="168" fontId="18" fillId="2" borderId="11" xfId="3" applyNumberFormat="1" applyFont="1" applyFill="1" applyBorder="1" applyAlignment="1">
      <alignment horizontal="center"/>
    </xf>
    <xf numFmtId="168" fontId="18" fillId="2" borderId="10" xfId="3" applyNumberFormat="1" applyFont="1" applyFill="1" applyBorder="1" applyAlignment="1">
      <alignment horizontal="center"/>
    </xf>
    <xf numFmtId="168" fontId="5" fillId="4" borderId="11" xfId="3" applyNumberFormat="1" applyFont="1" applyFill="1" applyBorder="1" applyAlignment="1">
      <alignment horizontal="right"/>
    </xf>
    <xf numFmtId="168" fontId="5" fillId="4" borderId="10" xfId="3" applyNumberFormat="1" applyFont="1" applyFill="1" applyBorder="1" applyAlignment="1">
      <alignment horizontal="right"/>
    </xf>
    <xf numFmtId="166" fontId="5" fillId="4" borderId="11" xfId="1" applyNumberFormat="1" applyFont="1" applyFill="1" applyBorder="1" applyAlignment="1">
      <alignment horizontal="center"/>
    </xf>
    <xf numFmtId="166" fontId="5" fillId="4" borderId="10" xfId="1" applyNumberFormat="1" applyFont="1" applyFill="1" applyBorder="1" applyAlignment="1">
      <alignment horizontal="center"/>
    </xf>
    <xf numFmtId="10" fontId="7" fillId="2" borderId="11" xfId="0" applyNumberFormat="1" applyFont="1" applyFill="1" applyBorder="1" applyAlignment="1">
      <alignment horizontal="center"/>
    </xf>
    <xf numFmtId="10" fontId="7" fillId="2" borderId="10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left"/>
    </xf>
    <xf numFmtId="43" fontId="19" fillId="7" borderId="13" xfId="1" applyFont="1" applyFill="1" applyBorder="1" applyAlignment="1">
      <alignment horizontal="center" vertical="center" textRotation="90"/>
    </xf>
    <xf numFmtId="43" fontId="19" fillId="7" borderId="24" xfId="1" applyFont="1" applyFill="1" applyBorder="1" applyAlignment="1">
      <alignment horizontal="center" vertical="center" textRotation="90"/>
    </xf>
    <xf numFmtId="43" fontId="19" fillId="7" borderId="25" xfId="1" applyFont="1" applyFill="1" applyBorder="1" applyAlignment="1">
      <alignment horizontal="center" vertical="center" textRotation="90"/>
    </xf>
    <xf numFmtId="0" fontId="9" fillId="4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3" fontId="7" fillId="2" borderId="11" xfId="1" applyFont="1" applyFill="1" applyBorder="1" applyAlignment="1">
      <alignment horizontal="left"/>
    </xf>
    <xf numFmtId="43" fontId="7" fillId="2" borderId="5" xfId="1" applyFont="1" applyFill="1" applyBorder="1" applyAlignment="1">
      <alignment horizontal="left"/>
    </xf>
    <xf numFmtId="43" fontId="7" fillId="2" borderId="10" xfId="1" applyFont="1" applyFill="1" applyBorder="1" applyAlignment="1">
      <alignment horizontal="left"/>
    </xf>
    <xf numFmtId="0" fontId="5" fillId="4" borderId="1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14" fillId="2" borderId="0" xfId="1" applyFont="1" applyFill="1" applyBorder="1" applyAlignment="1">
      <alignment horizontal="left"/>
    </xf>
    <xf numFmtId="43" fontId="19" fillId="7" borderId="11" xfId="1" applyFont="1" applyFill="1" applyBorder="1" applyAlignment="1">
      <alignment horizontal="center"/>
    </xf>
    <xf numFmtId="43" fontId="19" fillId="7" borderId="10" xfId="1" applyFont="1" applyFill="1" applyBorder="1" applyAlignment="1">
      <alignment horizontal="center"/>
    </xf>
    <xf numFmtId="43" fontId="6" fillId="2" borderId="11" xfId="1" applyFont="1" applyFill="1" applyBorder="1" applyAlignment="1">
      <alignment horizontal="left"/>
    </xf>
    <xf numFmtId="43" fontId="6" fillId="2" borderId="5" xfId="1" applyFont="1" applyFill="1" applyBorder="1" applyAlignment="1">
      <alignment horizontal="left"/>
    </xf>
    <xf numFmtId="43" fontId="6" fillId="2" borderId="10" xfId="1" applyFont="1" applyFill="1" applyBorder="1" applyAlignment="1">
      <alignment horizontal="left"/>
    </xf>
    <xf numFmtId="43" fontId="6" fillId="2" borderId="9" xfId="1" applyFont="1" applyFill="1" applyBorder="1" applyAlignment="1">
      <alignment horizontal="left" vertical="center"/>
    </xf>
    <xf numFmtId="43" fontId="6" fillId="2" borderId="2" xfId="1" applyFont="1" applyFill="1" applyBorder="1" applyAlignment="1">
      <alignment horizontal="left" vertical="center"/>
    </xf>
    <xf numFmtId="43" fontId="6" fillId="2" borderId="8" xfId="1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left" vertical="center"/>
    </xf>
    <xf numFmtId="43" fontId="7" fillId="2" borderId="9" xfId="1" applyFont="1" applyFill="1" applyBorder="1" applyAlignment="1">
      <alignment horizontal="left"/>
    </xf>
    <xf numFmtId="43" fontId="7" fillId="2" borderId="2" xfId="1" applyFont="1" applyFill="1" applyBorder="1" applyAlignment="1">
      <alignment horizontal="left"/>
    </xf>
    <xf numFmtId="43" fontId="7" fillId="2" borderId="3" xfId="1" applyFont="1" applyFill="1" applyBorder="1" applyAlignment="1">
      <alignment horizontal="left"/>
    </xf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43" fontId="0" fillId="2" borderId="6" xfId="1" applyFont="1" applyFill="1" applyBorder="1" applyAlignment="1">
      <alignment horizontal="left" vertical="center"/>
    </xf>
    <xf numFmtId="166" fontId="9" fillId="4" borderId="11" xfId="1" applyNumberFormat="1" applyFont="1" applyFill="1" applyBorder="1" applyAlignment="1">
      <alignment horizontal="center"/>
    </xf>
    <xf numFmtId="166" fontId="9" fillId="4" borderId="10" xfId="1" applyNumberFormat="1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2" fontId="0" fillId="2" borderId="6" xfId="1" applyNumberFormat="1" applyFont="1" applyFill="1" applyBorder="1" applyAlignment="1">
      <alignment horizontal="center"/>
    </xf>
    <xf numFmtId="2" fontId="0" fillId="2" borderId="0" xfId="1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43" fontId="9" fillId="2" borderId="1" xfId="1" applyFont="1" applyFill="1" applyBorder="1" applyAlignment="1"/>
    <xf numFmtId="2" fontId="9" fillId="2" borderId="8" xfId="1" applyNumberFormat="1" applyFont="1" applyFill="1" applyBorder="1" applyAlignment="1">
      <alignment horizontal="center"/>
    </xf>
    <xf numFmtId="2" fontId="9" fillId="2" borderId="1" xfId="1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6" xfId="0" applyFont="1" applyBorder="1" applyAlignment="1">
      <alignment horizontal="right" textRotation="90"/>
    </xf>
    <xf numFmtId="0" fontId="31" fillId="0" borderId="0" xfId="0" applyFont="1" applyAlignment="1">
      <alignment horizontal="center"/>
    </xf>
    <xf numFmtId="0" fontId="30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146</xdr:row>
      <xdr:rowOff>0</xdr:rowOff>
    </xdr:from>
    <xdr:to>
      <xdr:col>7</xdr:col>
      <xdr:colOff>0</xdr:colOff>
      <xdr:row>147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C6BC42F-E489-4439-B0AF-5EBD1343A65F}"/>
            </a:ext>
          </a:extLst>
        </xdr:cNvPr>
        <xdr:cNvSpPr>
          <a:spLocks noChangeArrowheads="1"/>
        </xdr:cNvSpPr>
      </xdr:nvSpPr>
      <xdr:spPr bwMode="auto">
        <a:xfrm>
          <a:off x="4238625" y="24260175"/>
          <a:ext cx="2190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204</xdr:row>
      <xdr:rowOff>0</xdr:rowOff>
    </xdr:from>
    <xdr:to>
      <xdr:col>7</xdr:col>
      <xdr:colOff>0</xdr:colOff>
      <xdr:row>205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C94A7F1-0DCC-091E-CF9B-2A73CC51A8F3}"/>
            </a:ext>
          </a:extLst>
        </xdr:cNvPr>
        <xdr:cNvSpPr>
          <a:spLocks noChangeArrowheads="1"/>
        </xdr:cNvSpPr>
      </xdr:nvSpPr>
      <xdr:spPr bwMode="auto">
        <a:xfrm>
          <a:off x="4238625" y="33823275"/>
          <a:ext cx="2190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231</xdr:row>
      <xdr:rowOff>0</xdr:rowOff>
    </xdr:from>
    <xdr:to>
      <xdr:col>12</xdr:col>
      <xdr:colOff>0</xdr:colOff>
      <xdr:row>235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56D75191-D513-6895-6F13-5ACADA5B1DFB}"/>
            </a:ext>
          </a:extLst>
        </xdr:cNvPr>
        <xdr:cNvSpPr>
          <a:spLocks noChangeArrowheads="1"/>
        </xdr:cNvSpPr>
      </xdr:nvSpPr>
      <xdr:spPr bwMode="auto">
        <a:xfrm>
          <a:off x="5238750" y="38300025"/>
          <a:ext cx="312420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240</xdr:row>
      <xdr:rowOff>0</xdr:rowOff>
    </xdr:from>
    <xdr:to>
      <xdr:col>13</xdr:col>
      <xdr:colOff>0</xdr:colOff>
      <xdr:row>244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122492CE-0A69-7262-8CCD-1A60BACEEF51}"/>
            </a:ext>
          </a:extLst>
        </xdr:cNvPr>
        <xdr:cNvSpPr>
          <a:spLocks noChangeArrowheads="1"/>
        </xdr:cNvSpPr>
      </xdr:nvSpPr>
      <xdr:spPr bwMode="auto">
        <a:xfrm>
          <a:off x="5238750" y="39776400"/>
          <a:ext cx="3905250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37"/>
  <sheetViews>
    <sheetView zoomScale="75" workbookViewId="0">
      <pane xSplit="8" ySplit="6" topLeftCell="I39" activePane="bottomRight" state="frozen"/>
      <selection pane="topRight" activeCell="I1" sqref="I1"/>
      <selection pane="bottomLeft" activeCell="A7" sqref="A7"/>
      <selection pane="bottomRight" activeCell="I17" sqref="I17:I49"/>
    </sheetView>
  </sheetViews>
  <sheetFormatPr defaultRowHeight="12.75" x14ac:dyDescent="0.2"/>
  <cols>
    <col min="1" max="3" width="3.7109375" customWidth="1"/>
    <col min="4" max="4" width="9.42578125" customWidth="1"/>
    <col min="5" max="5" width="32.140625" customWidth="1"/>
    <col min="6" max="6" width="10.85546875" customWidth="1"/>
    <col min="7" max="7" width="3.28515625" customWidth="1"/>
    <col min="8" max="15" width="11.7109375" customWidth="1"/>
    <col min="16" max="16" width="13.42578125" customWidth="1"/>
    <col min="17" max="29" width="11.7109375" customWidth="1"/>
  </cols>
  <sheetData>
    <row r="1" spans="1:29" s="3" customFormat="1" ht="20.25" x14ac:dyDescent="0.3">
      <c r="A1" s="2" t="s">
        <v>0</v>
      </c>
      <c r="B1" s="2"/>
    </row>
    <row r="2" spans="1:29" s="3" customFormat="1" ht="15.75" x14ac:dyDescent="0.25">
      <c r="A2" s="371">
        <f ca="1">NOW()</f>
        <v>36717.620361111112</v>
      </c>
      <c r="B2" s="371"/>
      <c r="C2" s="371"/>
      <c r="D2" s="371"/>
      <c r="E2" s="371"/>
    </row>
    <row r="3" spans="1:29" s="101" customFormat="1" ht="15.75" x14ac:dyDescent="0.25">
      <c r="A3" s="100"/>
      <c r="B3" s="100"/>
      <c r="C3" s="100"/>
      <c r="D3" s="100"/>
      <c r="E3" s="100"/>
    </row>
    <row r="4" spans="1:29" s="1" customFormat="1" x14ac:dyDescent="0.2">
      <c r="A4" s="84" t="s">
        <v>27</v>
      </c>
      <c r="B4" s="28"/>
      <c r="C4" s="28"/>
      <c r="D4" s="28"/>
      <c r="E4" s="28"/>
      <c r="F4" s="28"/>
      <c r="G4" s="28"/>
      <c r="H4" s="28"/>
      <c r="I4" s="24">
        <v>1</v>
      </c>
      <c r="J4" s="24">
        <f t="shared" ref="J4:AC4" si="0">+I4+1</f>
        <v>2</v>
      </c>
      <c r="K4" s="24">
        <f t="shared" si="0"/>
        <v>3</v>
      </c>
      <c r="L4" s="24">
        <f t="shared" si="0"/>
        <v>4</v>
      </c>
      <c r="M4" s="24">
        <f t="shared" si="0"/>
        <v>5</v>
      </c>
      <c r="N4" s="24">
        <f t="shared" si="0"/>
        <v>6</v>
      </c>
      <c r="O4" s="24">
        <f t="shared" si="0"/>
        <v>7</v>
      </c>
      <c r="P4" s="24">
        <f t="shared" si="0"/>
        <v>8</v>
      </c>
      <c r="Q4" s="24">
        <f t="shared" si="0"/>
        <v>9</v>
      </c>
      <c r="R4" s="24">
        <f t="shared" si="0"/>
        <v>10</v>
      </c>
      <c r="S4" s="24">
        <f t="shared" si="0"/>
        <v>11</v>
      </c>
      <c r="T4" s="24">
        <f t="shared" si="0"/>
        <v>12</v>
      </c>
      <c r="U4" s="24">
        <f t="shared" si="0"/>
        <v>13</v>
      </c>
      <c r="V4" s="24">
        <f t="shared" si="0"/>
        <v>14</v>
      </c>
      <c r="W4" s="24">
        <f t="shared" si="0"/>
        <v>15</v>
      </c>
      <c r="X4" s="24">
        <f t="shared" si="0"/>
        <v>16</v>
      </c>
      <c r="Y4" s="24">
        <f t="shared" si="0"/>
        <v>17</v>
      </c>
      <c r="Z4" s="24">
        <f t="shared" si="0"/>
        <v>18</v>
      </c>
      <c r="AA4" s="24">
        <f t="shared" si="0"/>
        <v>19</v>
      </c>
      <c r="AB4" s="24">
        <f t="shared" si="0"/>
        <v>20</v>
      </c>
      <c r="AC4" s="25">
        <f t="shared" si="0"/>
        <v>21</v>
      </c>
    </row>
    <row r="5" spans="1:29" s="1" customFormat="1" x14ac:dyDescent="0.2">
      <c r="A5" s="85" t="s">
        <v>26</v>
      </c>
      <c r="B5" s="17"/>
      <c r="C5" s="17"/>
      <c r="D5" s="17"/>
      <c r="E5" s="17"/>
      <c r="F5" s="17"/>
      <c r="G5" s="29"/>
      <c r="H5" s="17"/>
      <c r="I5" s="30">
        <v>37256</v>
      </c>
      <c r="J5" s="31">
        <f>+I5+(+J25/24)</f>
        <v>37621</v>
      </c>
      <c r="K5" s="31">
        <f t="shared" ref="K5:AC5" si="1">+J5+(K25/24)</f>
        <v>37986</v>
      </c>
      <c r="L5" s="31">
        <f t="shared" si="1"/>
        <v>38352</v>
      </c>
      <c r="M5" s="31">
        <f t="shared" si="1"/>
        <v>38717</v>
      </c>
      <c r="N5" s="31">
        <f t="shared" si="1"/>
        <v>39082</v>
      </c>
      <c r="O5" s="31">
        <f t="shared" si="1"/>
        <v>39447</v>
      </c>
      <c r="P5" s="31">
        <f t="shared" si="1"/>
        <v>39813</v>
      </c>
      <c r="Q5" s="31">
        <f t="shared" si="1"/>
        <v>40178</v>
      </c>
      <c r="R5" s="31">
        <f t="shared" si="1"/>
        <v>40543</v>
      </c>
      <c r="S5" s="31">
        <f t="shared" si="1"/>
        <v>40908</v>
      </c>
      <c r="T5" s="31">
        <f t="shared" si="1"/>
        <v>41274</v>
      </c>
      <c r="U5" s="31">
        <f t="shared" si="1"/>
        <v>41639</v>
      </c>
      <c r="V5" s="31">
        <f t="shared" si="1"/>
        <v>42004</v>
      </c>
      <c r="W5" s="31">
        <f t="shared" si="1"/>
        <v>42369</v>
      </c>
      <c r="X5" s="31">
        <f t="shared" si="1"/>
        <v>42735</v>
      </c>
      <c r="Y5" s="31">
        <f t="shared" si="1"/>
        <v>43100</v>
      </c>
      <c r="Z5" s="31">
        <f t="shared" si="1"/>
        <v>43465</v>
      </c>
      <c r="AA5" s="31">
        <f t="shared" si="1"/>
        <v>43830</v>
      </c>
      <c r="AB5" s="31">
        <f t="shared" si="1"/>
        <v>44196</v>
      </c>
      <c r="AC5" s="32">
        <f t="shared" si="1"/>
        <v>44561</v>
      </c>
    </row>
    <row r="6" spans="1:29" s="1" customFormat="1" x14ac:dyDescent="0.2">
      <c r="A6" s="5" t="s">
        <v>1</v>
      </c>
      <c r="B6" s="5"/>
      <c r="C6" s="5"/>
      <c r="D6" s="5"/>
      <c r="E6" s="5"/>
      <c r="F6" s="5"/>
      <c r="G6" s="5"/>
    </row>
    <row r="7" spans="1:29" s="1" customFormat="1" ht="18" x14ac:dyDescent="0.25">
      <c r="A7" s="94" t="s">
        <v>66</v>
      </c>
      <c r="B7" s="5"/>
      <c r="C7" s="5"/>
      <c r="D7" s="5"/>
      <c r="E7" s="5"/>
      <c r="F7" s="5"/>
      <c r="G7" s="5"/>
    </row>
    <row r="8" spans="1:29" s="1" customFormat="1" x14ac:dyDescent="0.2">
      <c r="A8" s="5"/>
      <c r="B8" s="5"/>
      <c r="C8" s="5"/>
      <c r="D8" s="5"/>
      <c r="E8" s="5"/>
      <c r="F8" s="5"/>
      <c r="G8" s="5"/>
    </row>
    <row r="9" spans="1:29" s="1" customFormat="1" x14ac:dyDescent="0.2">
      <c r="B9" s="387" t="s">
        <v>15</v>
      </c>
      <c r="C9" s="388"/>
      <c r="D9" s="389"/>
      <c r="E9" s="5" t="s">
        <v>21</v>
      </c>
      <c r="K9" s="117">
        <v>0.5</v>
      </c>
      <c r="L9" s="5" t="s">
        <v>181</v>
      </c>
      <c r="O9" s="102" t="s">
        <v>25</v>
      </c>
      <c r="P9" s="103"/>
      <c r="Q9" s="104" t="s">
        <v>80</v>
      </c>
      <c r="R9" s="4"/>
      <c r="S9" s="102" t="s">
        <v>84</v>
      </c>
      <c r="T9" s="103"/>
      <c r="U9" s="104" t="s">
        <v>80</v>
      </c>
      <c r="V9" s="4"/>
      <c r="W9" s="102" t="s">
        <v>85</v>
      </c>
      <c r="X9" s="103"/>
      <c r="Y9" s="104" t="s">
        <v>80</v>
      </c>
      <c r="Z9" s="4"/>
      <c r="AA9" s="102" t="s">
        <v>62</v>
      </c>
      <c r="AB9" s="103"/>
      <c r="AC9" s="104" t="s">
        <v>80</v>
      </c>
    </row>
    <row r="10" spans="1:29" s="1" customFormat="1" x14ac:dyDescent="0.2">
      <c r="B10" s="375" t="s">
        <v>17</v>
      </c>
      <c r="C10" s="376"/>
      <c r="D10" s="377"/>
      <c r="E10" s="5" t="s">
        <v>22</v>
      </c>
      <c r="K10" s="117">
        <v>0.11</v>
      </c>
      <c r="L10" s="5" t="s">
        <v>79</v>
      </c>
      <c r="O10" s="105" t="s">
        <v>81</v>
      </c>
      <c r="P10" s="111"/>
      <c r="Q10" s="113">
        <v>0.44</v>
      </c>
      <c r="R10" s="4"/>
      <c r="S10" s="105" t="s">
        <v>81</v>
      </c>
      <c r="T10" s="111"/>
      <c r="U10" s="113">
        <v>0.44</v>
      </c>
      <c r="V10" s="4"/>
      <c r="W10" s="105" t="s">
        <v>81</v>
      </c>
      <c r="X10" s="111"/>
      <c r="Y10" s="113">
        <v>0.44</v>
      </c>
      <c r="Z10" s="4"/>
      <c r="AA10" s="105" t="s">
        <v>81</v>
      </c>
      <c r="AB10" s="111"/>
      <c r="AC10" s="113">
        <v>0.44</v>
      </c>
    </row>
    <row r="11" spans="1:29" s="1" customFormat="1" x14ac:dyDescent="0.2">
      <c r="B11" s="381" t="s">
        <v>16</v>
      </c>
      <c r="C11" s="382"/>
      <c r="D11" s="383"/>
      <c r="E11" s="408" t="s">
        <v>60</v>
      </c>
      <c r="K11" s="117">
        <v>6.3299999999999995E-2</v>
      </c>
      <c r="L11" s="5" t="s">
        <v>175</v>
      </c>
      <c r="O11" s="106" t="s">
        <v>82</v>
      </c>
      <c r="P11" s="237">
        <v>0.4</v>
      </c>
      <c r="Q11" s="238">
        <v>0.08</v>
      </c>
      <c r="R11" s="225"/>
      <c r="S11" s="105" t="s">
        <v>82</v>
      </c>
      <c r="T11" s="114">
        <v>0.6</v>
      </c>
      <c r="U11" s="115">
        <f>0.06+0.02</f>
        <v>0.08</v>
      </c>
      <c r="V11" s="4"/>
      <c r="W11" s="105" t="s">
        <v>82</v>
      </c>
      <c r="X11" s="114">
        <v>0.3</v>
      </c>
      <c r="Y11" s="115">
        <f>0.06+0.02</f>
        <v>0.08</v>
      </c>
      <c r="Z11" s="4"/>
      <c r="AA11" s="105" t="s">
        <v>82</v>
      </c>
      <c r="AB11" s="114">
        <v>0.6</v>
      </c>
      <c r="AC11" s="115">
        <f>0.06+0.02</f>
        <v>0.08</v>
      </c>
    </row>
    <row r="12" spans="1:29" s="1" customFormat="1" x14ac:dyDescent="0.2">
      <c r="B12" s="378" t="s">
        <v>16</v>
      </c>
      <c r="C12" s="379"/>
      <c r="D12" s="380"/>
      <c r="E12" s="408"/>
      <c r="F12" s="5"/>
      <c r="K12" s="117">
        <v>5.8999999999999997E-2</v>
      </c>
      <c r="L12" s="5" t="s">
        <v>182</v>
      </c>
      <c r="O12" s="106" t="s">
        <v>83</v>
      </c>
      <c r="P12" s="107">
        <f>1-P11</f>
        <v>0.6</v>
      </c>
      <c r="Q12" s="238">
        <v>0.12</v>
      </c>
      <c r="R12" s="4"/>
      <c r="S12" s="106" t="s">
        <v>83</v>
      </c>
      <c r="T12" s="107">
        <f>1-T11</f>
        <v>0.4</v>
      </c>
      <c r="U12" s="116">
        <v>0.15</v>
      </c>
      <c r="V12" s="4"/>
      <c r="W12" s="106" t="s">
        <v>83</v>
      </c>
      <c r="X12" s="107">
        <f>1-X11</f>
        <v>0.7</v>
      </c>
      <c r="Y12" s="116">
        <v>0.12</v>
      </c>
      <c r="Z12" s="4"/>
      <c r="AA12" s="106" t="s">
        <v>83</v>
      </c>
      <c r="AB12" s="107">
        <f>1-AB11</f>
        <v>0.4</v>
      </c>
      <c r="AC12" s="116">
        <v>0.15</v>
      </c>
    </row>
    <row r="13" spans="1:29" s="1" customFormat="1" x14ac:dyDescent="0.2">
      <c r="A13" s="5"/>
      <c r="B13" s="390" t="s">
        <v>23</v>
      </c>
      <c r="C13" s="391"/>
      <c r="D13" s="392"/>
      <c r="E13" s="5" t="s">
        <v>24</v>
      </c>
      <c r="L13" s="5"/>
      <c r="O13" s="239"/>
      <c r="P13" s="235" t="s">
        <v>86</v>
      </c>
      <c r="Q13" s="240">
        <f>(Q11*(1-Q10)*P11+P12*Q12)</f>
        <v>8.992E-2</v>
      </c>
      <c r="R13" s="4"/>
      <c r="S13" s="108"/>
      <c r="T13" s="109" t="s">
        <v>86</v>
      </c>
      <c r="U13" s="110">
        <f>(U11*(1-U10)*T11+T12*U12)</f>
        <v>8.6879999999999999E-2</v>
      </c>
      <c r="V13" s="4"/>
      <c r="W13" s="108"/>
      <c r="X13" s="109" t="s">
        <v>86</v>
      </c>
      <c r="Y13" s="110">
        <f>(Y11*(1-Y10)*X11+X12*Y12)</f>
        <v>9.7439999999999999E-2</v>
      </c>
      <c r="Z13" s="4"/>
      <c r="AA13" s="108"/>
      <c r="AB13" s="109" t="s">
        <v>86</v>
      </c>
      <c r="AC13" s="110">
        <f>(AC11*(1-AC10)*AB11+AB12*AC12)</f>
        <v>8.6879999999999999E-2</v>
      </c>
    </row>
    <row r="14" spans="1:29" s="1" customFormat="1" x14ac:dyDescent="0.2">
      <c r="A14" s="5"/>
      <c r="B14" s="39"/>
      <c r="C14" s="39"/>
      <c r="D14" s="39"/>
      <c r="E14" s="5"/>
      <c r="L14" s="5"/>
      <c r="O14" s="106" t="s">
        <v>191</v>
      </c>
      <c r="P14" s="235"/>
      <c r="Q14" s="240">
        <v>0.1</v>
      </c>
      <c r="R14" s="4"/>
      <c r="S14" s="234"/>
      <c r="T14" s="235"/>
      <c r="U14" s="236"/>
      <c r="V14" s="4"/>
      <c r="W14" s="234"/>
      <c r="X14" s="235"/>
      <c r="Y14" s="236"/>
      <c r="Z14" s="4"/>
      <c r="AA14" s="234"/>
      <c r="AB14" s="235"/>
      <c r="AC14" s="236"/>
    </row>
    <row r="15" spans="1:29" s="1" customFormat="1" x14ac:dyDescent="0.2">
      <c r="A15" s="5"/>
      <c r="B15" s="39"/>
      <c r="C15" s="39"/>
      <c r="D15" s="39"/>
      <c r="E15" s="5"/>
      <c r="L15" s="5"/>
      <c r="O15" s="241" t="s">
        <v>201</v>
      </c>
      <c r="P15" s="109"/>
      <c r="Q15" s="110">
        <f>K11+0.01</f>
        <v>7.329999999999999E-2</v>
      </c>
      <c r="R15" s="4"/>
      <c r="S15" s="234"/>
      <c r="T15" s="235"/>
      <c r="U15" s="236"/>
      <c r="V15" s="4"/>
      <c r="W15" s="234"/>
      <c r="X15" s="235"/>
      <c r="Y15" s="236"/>
      <c r="Z15" s="4"/>
      <c r="AA15" s="234"/>
      <c r="AB15" s="235"/>
      <c r="AC15" s="236"/>
    </row>
    <row r="16" spans="1:29" s="1" customFormat="1" x14ac:dyDescent="0.2">
      <c r="A16" s="5"/>
      <c r="B16" s="39"/>
      <c r="C16" s="39"/>
      <c r="D16" s="39"/>
      <c r="E16" s="5"/>
      <c r="L16" s="5"/>
      <c r="O16" s="300"/>
      <c r="P16" s="235"/>
      <c r="Q16" s="236"/>
      <c r="R16" s="4"/>
      <c r="S16" s="234"/>
      <c r="T16" s="235"/>
      <c r="U16" s="236"/>
      <c r="V16" s="4"/>
      <c r="W16" s="234"/>
      <c r="X16" s="235"/>
      <c r="Y16" s="236"/>
      <c r="Z16" s="4"/>
      <c r="AA16" s="234"/>
      <c r="AB16" s="235"/>
      <c r="AC16" s="236"/>
    </row>
    <row r="17" spans="1:44" s="1" customFormat="1" x14ac:dyDescent="0.2">
      <c r="A17" s="5"/>
      <c r="B17" s="39"/>
      <c r="C17" s="39"/>
      <c r="D17" s="39"/>
      <c r="E17" s="5"/>
      <c r="I17" s="102" t="s">
        <v>308</v>
      </c>
      <c r="J17" s="103"/>
      <c r="K17" s="104" t="s">
        <v>1</v>
      </c>
      <c r="L17" s="5"/>
      <c r="O17" s="300"/>
      <c r="P17" s="235"/>
      <c r="Q17" s="236"/>
      <c r="R17" s="4"/>
      <c r="S17" s="234"/>
      <c r="T17" s="235"/>
      <c r="U17" s="236"/>
      <c r="V17" s="4"/>
      <c r="W17" s="234"/>
      <c r="X17" s="235"/>
      <c r="Y17" s="236"/>
      <c r="Z17" s="4"/>
      <c r="AA17" s="234"/>
      <c r="AB17" s="235"/>
      <c r="AC17" s="236"/>
    </row>
    <row r="18" spans="1:44" s="1" customFormat="1" x14ac:dyDescent="0.2">
      <c r="A18" s="5"/>
      <c r="B18" s="39"/>
      <c r="C18" s="39"/>
      <c r="D18" s="39"/>
      <c r="E18" s="5"/>
      <c r="I18" s="105" t="s">
        <v>309</v>
      </c>
      <c r="J18" s="111"/>
      <c r="K18" s="302"/>
      <c r="L18" s="5">
        <v>1</v>
      </c>
      <c r="O18" s="300"/>
      <c r="P18" s="235"/>
      <c r="Q18" s="236"/>
      <c r="R18" s="4"/>
      <c r="S18" s="234"/>
      <c r="T18" s="235"/>
      <c r="U18" s="236"/>
      <c r="V18" s="4"/>
      <c r="W18" s="234"/>
      <c r="X18" s="235"/>
      <c r="Y18" s="236"/>
      <c r="Z18" s="4"/>
      <c r="AA18" s="234"/>
      <c r="AB18" s="235"/>
      <c r="AC18" s="236"/>
    </row>
    <row r="19" spans="1:44" s="1" customFormat="1" x14ac:dyDescent="0.2">
      <c r="A19" s="5"/>
      <c r="B19" s="39"/>
      <c r="C19" s="39"/>
      <c r="D19" s="39"/>
      <c r="E19" s="5"/>
      <c r="I19" s="106" t="s">
        <v>310</v>
      </c>
      <c r="J19" s="303"/>
      <c r="K19" s="304"/>
      <c r="L19" s="5"/>
      <c r="O19" s="300"/>
      <c r="P19" s="235"/>
      <c r="Q19" s="236"/>
      <c r="R19" s="4"/>
      <c r="S19" s="234"/>
      <c r="T19" s="235"/>
      <c r="U19" s="236"/>
      <c r="V19" s="4"/>
      <c r="W19" s="234"/>
      <c r="X19" s="235"/>
      <c r="Y19" s="236"/>
      <c r="Z19" s="4"/>
      <c r="AA19" s="234"/>
      <c r="AB19" s="235"/>
      <c r="AC19" s="236"/>
    </row>
    <row r="20" spans="1:44" s="1" customFormat="1" x14ac:dyDescent="0.2">
      <c r="A20" s="5"/>
      <c r="B20" s="39"/>
      <c r="C20" s="39"/>
      <c r="D20" s="39"/>
      <c r="E20" s="5"/>
      <c r="I20" s="106" t="s">
        <v>83</v>
      </c>
      <c r="J20" s="107">
        <f>1-J19</f>
        <v>1</v>
      </c>
      <c r="K20" s="238">
        <f>K10</f>
        <v>0.11</v>
      </c>
      <c r="L20" s="5"/>
      <c r="O20" s="300"/>
      <c r="P20" s="235"/>
      <c r="Q20" s="236"/>
      <c r="R20" s="4"/>
      <c r="S20" s="234"/>
      <c r="T20" s="235"/>
      <c r="U20" s="236"/>
      <c r="V20" s="4"/>
      <c r="W20" s="234"/>
      <c r="X20" s="235"/>
      <c r="Y20" s="236"/>
      <c r="Z20" s="4"/>
      <c r="AA20" s="234"/>
      <c r="AB20" s="235"/>
      <c r="AC20" s="236"/>
    </row>
    <row r="21" spans="1:44" s="1" customFormat="1" x14ac:dyDescent="0.2">
      <c r="A21" s="5"/>
      <c r="B21" s="39"/>
      <c r="C21" s="39"/>
      <c r="D21" s="39"/>
      <c r="E21" s="5"/>
      <c r="I21" s="239"/>
      <c r="J21" s="235" t="s">
        <v>86</v>
      </c>
      <c r="K21" s="240">
        <f>(K19*(1-K18)*J19+J20*K20)</f>
        <v>0.11</v>
      </c>
      <c r="L21" s="5"/>
      <c r="O21" s="300"/>
      <c r="P21" s="235"/>
      <c r="Q21" s="236"/>
      <c r="R21" s="4"/>
      <c r="S21" s="234"/>
      <c r="T21" s="235"/>
      <c r="U21" s="236"/>
      <c r="V21" s="4"/>
      <c r="W21" s="234"/>
      <c r="X21" s="235"/>
      <c r="Y21" s="236"/>
      <c r="Z21" s="4"/>
      <c r="AA21" s="234"/>
      <c r="AB21" s="235"/>
      <c r="AC21" s="236"/>
    </row>
    <row r="22" spans="1:44" s="1" customFormat="1" x14ac:dyDescent="0.2">
      <c r="A22" s="5"/>
      <c r="B22" s="39"/>
      <c r="C22" s="39"/>
      <c r="D22" s="39"/>
      <c r="E22" s="5"/>
      <c r="I22" s="106" t="s">
        <v>191</v>
      </c>
      <c r="J22" s="235"/>
      <c r="K22" s="240">
        <v>0.1</v>
      </c>
      <c r="L22" s="5"/>
      <c r="O22" s="300"/>
      <c r="P22" s="235"/>
      <c r="Q22" s="236"/>
      <c r="R22" s="4"/>
      <c r="S22" s="234"/>
      <c r="T22" s="235"/>
      <c r="U22" s="236"/>
      <c r="V22" s="4"/>
      <c r="W22" s="234"/>
      <c r="X22" s="235"/>
      <c r="Y22" s="236"/>
      <c r="Z22" s="4"/>
      <c r="AA22" s="234"/>
      <c r="AB22" s="235"/>
      <c r="AC22" s="236"/>
    </row>
    <row r="23" spans="1:44" s="1" customFormat="1" x14ac:dyDescent="0.2">
      <c r="A23" s="5"/>
      <c r="B23" s="39"/>
      <c r="C23" s="39"/>
      <c r="D23" s="39"/>
      <c r="E23" s="5"/>
      <c r="I23" s="241" t="s">
        <v>201</v>
      </c>
      <c r="J23" s="109"/>
      <c r="K23" s="110">
        <f>E19+0.01</f>
        <v>0.01</v>
      </c>
      <c r="L23" s="5"/>
      <c r="O23" s="300"/>
      <c r="P23" s="235"/>
      <c r="Q23" s="236"/>
      <c r="R23" s="4"/>
      <c r="S23" s="234"/>
      <c r="T23" s="235"/>
      <c r="U23" s="236"/>
      <c r="V23" s="4"/>
      <c r="W23" s="234"/>
      <c r="X23" s="235"/>
      <c r="Y23" s="236"/>
      <c r="Z23" s="4"/>
      <c r="AA23" s="234"/>
      <c r="AB23" s="235"/>
      <c r="AC23" s="236"/>
    </row>
    <row r="24" spans="1:44" s="1" customFormat="1" x14ac:dyDescent="0.2">
      <c r="A24" s="5"/>
      <c r="G24" s="5"/>
    </row>
    <row r="25" spans="1:44" s="1" customFormat="1" x14ac:dyDescent="0.2">
      <c r="A25" s="13" t="s">
        <v>5</v>
      </c>
      <c r="B25" s="5"/>
      <c r="C25" s="5"/>
      <c r="D25" s="5"/>
      <c r="E25" s="5"/>
      <c r="F25" s="5"/>
      <c r="G25" s="5"/>
      <c r="I25" s="88">
        <v>8760</v>
      </c>
      <c r="J25" s="88">
        <v>8760</v>
      </c>
      <c r="K25" s="88">
        <v>8760</v>
      </c>
      <c r="L25" s="88">
        <v>8784</v>
      </c>
      <c r="M25" s="88">
        <v>8760</v>
      </c>
      <c r="N25" s="88">
        <v>8760</v>
      </c>
      <c r="O25" s="88">
        <v>8760</v>
      </c>
      <c r="P25" s="88">
        <v>8784</v>
      </c>
      <c r="Q25" s="88">
        <v>8760</v>
      </c>
      <c r="R25" s="88">
        <v>8760</v>
      </c>
      <c r="S25" s="88">
        <v>8760</v>
      </c>
      <c r="T25" s="88">
        <v>8784</v>
      </c>
      <c r="U25" s="88">
        <v>8760</v>
      </c>
      <c r="V25" s="88">
        <v>8760</v>
      </c>
      <c r="W25" s="88">
        <v>8760</v>
      </c>
      <c r="X25" s="88">
        <v>8784</v>
      </c>
      <c r="Y25" s="88">
        <v>8760</v>
      </c>
      <c r="Z25" s="88">
        <v>8760</v>
      </c>
      <c r="AA25" s="88">
        <v>8760</v>
      </c>
      <c r="AB25" s="88">
        <v>8784</v>
      </c>
      <c r="AC25" s="88">
        <v>8760</v>
      </c>
    </row>
    <row r="26" spans="1:44" s="1" customFormat="1" x14ac:dyDescent="0.2">
      <c r="A26" s="5"/>
      <c r="B26" s="5"/>
      <c r="C26" s="5"/>
      <c r="D26" s="5"/>
      <c r="E26" s="5"/>
      <c r="F26" s="5"/>
      <c r="G26" s="5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</row>
    <row r="27" spans="1:44" s="1" customFormat="1" x14ac:dyDescent="0.2">
      <c r="A27" s="13" t="s">
        <v>312</v>
      </c>
      <c r="B27" s="6"/>
      <c r="C27" s="6"/>
      <c r="D27" s="6"/>
      <c r="E27" s="6"/>
      <c r="F27" s="6"/>
      <c r="G27" s="5"/>
      <c r="I27" s="91">
        <v>3.2000000000000001E-2</v>
      </c>
      <c r="J27" s="91">
        <v>2.9000000000000001E-2</v>
      </c>
      <c r="K27" s="91">
        <v>2.7E-2</v>
      </c>
      <c r="L27" s="91">
        <v>2.53E-2</v>
      </c>
      <c r="M27" s="91">
        <v>2.4E-2</v>
      </c>
      <c r="N27" s="91">
        <v>2.2499999999999999E-2</v>
      </c>
      <c r="O27" s="91">
        <v>2.1000000000000001E-2</v>
      </c>
      <c r="P27" s="91">
        <v>0.02</v>
      </c>
      <c r="Q27" s="91">
        <v>1.9199999999999998E-2</v>
      </c>
      <c r="R27" s="91">
        <v>1.7999999999999999E-2</v>
      </c>
      <c r="S27" s="91">
        <v>1.6899999999999998E-2</v>
      </c>
      <c r="T27" s="91">
        <v>1.6E-2</v>
      </c>
      <c r="U27" s="91">
        <v>1.55E-2</v>
      </c>
      <c r="V27" s="91">
        <v>1.5699999999999999E-2</v>
      </c>
      <c r="W27" s="91">
        <v>1.6199999999999999E-2</v>
      </c>
      <c r="X27" s="91">
        <v>1.7000000000000001E-2</v>
      </c>
      <c r="Y27" s="91">
        <v>1.7600000000000001E-2</v>
      </c>
      <c r="Z27" s="91">
        <v>1.8499999999999999E-2</v>
      </c>
      <c r="AA27" s="91">
        <v>1.9400000000000001E-2</v>
      </c>
      <c r="AB27" s="91">
        <v>2.0299999999999999E-2</v>
      </c>
      <c r="AC27" s="91">
        <v>2.12E-2</v>
      </c>
      <c r="AD27" s="1">
        <v>2.3E-2</v>
      </c>
      <c r="AE27" s="1">
        <v>2.5000000000000001E-2</v>
      </c>
      <c r="AF27" s="1">
        <v>2.1780000000000001E-2</v>
      </c>
      <c r="AG27" s="1">
        <v>2.1780000000000001E-2</v>
      </c>
      <c r="AH27" s="1">
        <v>2.1780000000000001E-2</v>
      </c>
      <c r="AI27" s="1">
        <v>2.1780000000000001E-2</v>
      </c>
      <c r="AJ27" s="1">
        <v>2.1780000000000001E-2</v>
      </c>
      <c r="AK27" s="1">
        <v>2.1780000000000001E-2</v>
      </c>
      <c r="AL27" s="1">
        <v>2.1780000000000001E-2</v>
      </c>
      <c r="AM27" s="1">
        <v>2.1780000000000001E-2</v>
      </c>
      <c r="AN27" s="1">
        <v>2.1780000000000001E-2</v>
      </c>
      <c r="AO27" s="1">
        <v>2.1780000000000001E-2</v>
      </c>
      <c r="AP27" s="1">
        <v>2.1780000000000001E-2</v>
      </c>
      <c r="AQ27" s="1">
        <v>2.1780000000000001E-2</v>
      </c>
      <c r="AR27" s="1">
        <v>2.1780000000000001E-2</v>
      </c>
    </row>
    <row r="28" spans="1:44" s="1" customFormat="1" x14ac:dyDescent="0.2">
      <c r="A28" s="13" t="s">
        <v>208</v>
      </c>
      <c r="B28" s="6"/>
      <c r="C28" s="6"/>
      <c r="D28" s="6"/>
      <c r="E28" s="6"/>
      <c r="F28" s="6"/>
      <c r="G28" s="5"/>
      <c r="H28" s="1" t="s">
        <v>1</v>
      </c>
      <c r="I28" s="91">
        <v>3.1029371284390761E-2</v>
      </c>
      <c r="J28" s="91">
        <v>3.0026837139980556E-2</v>
      </c>
      <c r="K28" s="91">
        <v>2.9024386503766486E-2</v>
      </c>
      <c r="L28" s="91">
        <v>2.8523192499721794E-2</v>
      </c>
      <c r="M28" s="91">
        <v>2.8022019370900431E-2</v>
      </c>
      <c r="N28" s="91">
        <v>2.7220185783711548E-2</v>
      </c>
      <c r="O28" s="91">
        <v>2.6719066927571644E-2</v>
      </c>
      <c r="P28" s="91">
        <v>2.6217968944421077E-2</v>
      </c>
      <c r="Q28" s="91">
        <v>2.5817105586021682E-2</v>
      </c>
      <c r="R28" s="91">
        <v>2.5416255585603453E-2</v>
      </c>
      <c r="S28" s="91">
        <v>2.5215835594531555E-2</v>
      </c>
      <c r="T28" s="91">
        <v>2.5015418942833323E-2</v>
      </c>
      <c r="U28" s="91">
        <v>2.5316045172643298E-2</v>
      </c>
      <c r="V28" s="91">
        <v>2.5716891833617694E-2</v>
      </c>
      <c r="W28" s="91">
        <v>2.6117751852492876E-2</v>
      </c>
      <c r="X28" s="91">
        <v>2.6719066927571644E-2</v>
      </c>
      <c r="Y28" s="91">
        <v>2.7119960342612659E-2</v>
      </c>
      <c r="Z28" s="91">
        <v>2.7420639170739003E-2</v>
      </c>
      <c r="AA28" s="91">
        <v>2.8222486117441603E-2</v>
      </c>
      <c r="AB28" s="91">
        <v>2.9024386503766486E-2</v>
      </c>
      <c r="AC28" s="91">
        <v>3.0528093773359632E-2</v>
      </c>
      <c r="AD28" s="1">
        <v>3.1129629291966276E-2</v>
      </c>
      <c r="AE28" s="1">
        <v>3.1831458729039142E-2</v>
      </c>
      <c r="AF28" s="1">
        <v>3.1831458729039142E-2</v>
      </c>
      <c r="AG28" s="1">
        <v>3.1831458729039142E-2</v>
      </c>
      <c r="AH28" s="1">
        <v>3.1831458729039142E-2</v>
      </c>
      <c r="AI28" s="1">
        <v>3.1831458729039142E-2</v>
      </c>
      <c r="AJ28" s="1">
        <v>3.1831458729039142E-2</v>
      </c>
      <c r="AK28" s="1">
        <v>3.1831458729039142E-2</v>
      </c>
      <c r="AL28" s="1">
        <v>3.1831458729039142E-2</v>
      </c>
      <c r="AM28" s="1">
        <v>3.1831458729039142E-2</v>
      </c>
      <c r="AN28" s="1">
        <v>3.1831458729039142E-2</v>
      </c>
      <c r="AO28" s="1">
        <v>3.1831458729039142E-2</v>
      </c>
      <c r="AP28" s="1">
        <v>3.1831458729039142E-2</v>
      </c>
      <c r="AQ28" s="1">
        <v>3.1831458729039142E-2</v>
      </c>
      <c r="AR28" s="1">
        <v>3.1831458729039142E-2</v>
      </c>
    </row>
    <row r="29" spans="1:44" s="1" customFormat="1" x14ac:dyDescent="0.2">
      <c r="A29" s="5"/>
      <c r="B29" s="5"/>
      <c r="C29" s="5"/>
      <c r="D29" s="5"/>
      <c r="E29" s="5"/>
      <c r="F29" s="5"/>
      <c r="G29" s="5"/>
    </row>
    <row r="30" spans="1:44" s="1" customFormat="1" ht="15" x14ac:dyDescent="0.35">
      <c r="A30" s="358" t="s">
        <v>45</v>
      </c>
      <c r="B30" s="358"/>
      <c r="C30" s="358"/>
      <c r="D30" s="358"/>
      <c r="E30" s="358"/>
      <c r="F30" s="358"/>
      <c r="G30" s="358"/>
    </row>
    <row r="31" spans="1:44" s="1" customFormat="1" ht="15" x14ac:dyDescent="0.35">
      <c r="A31" s="62"/>
      <c r="B31" s="62"/>
      <c r="C31" s="62"/>
      <c r="D31" s="62"/>
      <c r="E31" s="62"/>
      <c r="F31" s="62"/>
      <c r="G31" s="5"/>
    </row>
    <row r="32" spans="1:44" s="1" customFormat="1" x14ac:dyDescent="0.2">
      <c r="A32" s="5"/>
      <c r="B32" s="384" t="s">
        <v>49</v>
      </c>
      <c r="C32" s="385"/>
      <c r="D32" s="385"/>
      <c r="E32" s="385"/>
      <c r="F32" s="385"/>
      <c r="G32" s="386"/>
      <c r="H32" s="12"/>
      <c r="M32" s="19"/>
      <c r="N32" s="19"/>
      <c r="O32" s="19"/>
      <c r="P32" s="19"/>
      <c r="Q32" s="19"/>
      <c r="R32" s="19"/>
      <c r="S32" s="19"/>
      <c r="T32" s="19"/>
    </row>
    <row r="33" spans="1:29" s="1" customFormat="1" ht="12.75" customHeight="1" x14ac:dyDescent="0.2">
      <c r="A33" s="5"/>
      <c r="B33" s="49" t="s">
        <v>9</v>
      </c>
      <c r="C33" s="26"/>
      <c r="D33" s="50"/>
      <c r="E33" s="27"/>
      <c r="F33" s="66"/>
      <c r="G33" s="372" t="s">
        <v>28</v>
      </c>
      <c r="H33" s="36" t="s">
        <v>18</v>
      </c>
      <c r="I33" s="48">
        <v>65</v>
      </c>
      <c r="J33" s="48">
        <v>65</v>
      </c>
      <c r="K33" s="48">
        <v>65</v>
      </c>
      <c r="L33" s="48">
        <v>65</v>
      </c>
      <c r="M33" s="48">
        <v>65</v>
      </c>
      <c r="N33" s="48">
        <v>65</v>
      </c>
      <c r="O33" s="48">
        <v>65</v>
      </c>
      <c r="P33" s="48">
        <v>65</v>
      </c>
      <c r="Q33" s="48">
        <v>65</v>
      </c>
      <c r="R33" s="48">
        <v>65</v>
      </c>
      <c r="S33" s="48">
        <v>65</v>
      </c>
      <c r="T33" s="135">
        <f>IF(+S33=0,0,+S33*(+S33/R33))</f>
        <v>65</v>
      </c>
      <c r="U33" s="135">
        <f>+T33*(+T33/S33)</f>
        <v>65</v>
      </c>
      <c r="V33" s="135">
        <f>+U33*(+U33/T33)</f>
        <v>65</v>
      </c>
      <c r="W33" s="135">
        <f>+V33*(+V33/U33)</f>
        <v>65</v>
      </c>
      <c r="X33" s="135">
        <f>+W33*(+W33/V33)</f>
        <v>65</v>
      </c>
      <c r="Y33" s="135">
        <f>+X33*(+X33/W33)</f>
        <v>65</v>
      </c>
      <c r="Z33" s="138">
        <v>0</v>
      </c>
      <c r="AA33" s="138">
        <v>0</v>
      </c>
      <c r="AB33" s="138">
        <v>0</v>
      </c>
      <c r="AC33" s="139">
        <v>0</v>
      </c>
    </row>
    <row r="34" spans="1:29" s="1" customFormat="1" x14ac:dyDescent="0.2">
      <c r="A34" s="5"/>
      <c r="B34" s="49" t="s">
        <v>10</v>
      </c>
      <c r="C34" s="26"/>
      <c r="D34" s="50"/>
      <c r="E34" s="27"/>
      <c r="F34" s="66"/>
      <c r="G34" s="373"/>
      <c r="H34" s="39" t="s">
        <v>18</v>
      </c>
      <c r="I34" s="16">
        <v>86.3</v>
      </c>
      <c r="J34" s="16">
        <v>92.7</v>
      </c>
      <c r="K34" s="16">
        <v>99.7</v>
      </c>
      <c r="L34" s="16">
        <v>107.2</v>
      </c>
      <c r="M34" s="16">
        <v>115.2</v>
      </c>
      <c r="N34" s="16">
        <v>123.9</v>
      </c>
      <c r="O34" s="16">
        <v>133.1</v>
      </c>
      <c r="P34" s="16">
        <v>143.1</v>
      </c>
      <c r="Q34" s="16">
        <v>153.9</v>
      </c>
      <c r="R34" s="16">
        <v>165.4</v>
      </c>
      <c r="S34" s="16">
        <v>177.8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1">
        <v>0</v>
      </c>
    </row>
    <row r="35" spans="1:29" s="1" customFormat="1" x14ac:dyDescent="0.2">
      <c r="A35" s="5"/>
      <c r="B35" s="49" t="s">
        <v>11</v>
      </c>
      <c r="C35" s="26"/>
      <c r="D35" s="50"/>
      <c r="E35" s="27"/>
      <c r="F35" s="66"/>
      <c r="G35" s="373"/>
      <c r="H35" s="39" t="s">
        <v>18</v>
      </c>
      <c r="I35" s="16">
        <v>52.8</v>
      </c>
      <c r="J35" s="16">
        <v>51.2</v>
      </c>
      <c r="K35" s="16">
        <v>55.3</v>
      </c>
      <c r="L35" s="16">
        <v>55.2</v>
      </c>
      <c r="M35" s="16">
        <v>57.4</v>
      </c>
      <c r="N35" s="16">
        <v>58.8</v>
      </c>
      <c r="O35" s="16">
        <v>59.9</v>
      </c>
      <c r="P35" s="16">
        <v>58.4</v>
      </c>
      <c r="Q35" s="16">
        <v>62.7</v>
      </c>
      <c r="R35" s="16">
        <v>62.8</v>
      </c>
      <c r="S35" s="16">
        <v>64.7</v>
      </c>
      <c r="T35" s="142">
        <f t="shared" ref="T35:Y37" si="2">+S35*(+S35/R35)</f>
        <v>66.657484076433136</v>
      </c>
      <c r="U35" s="142">
        <f t="shared" si="2"/>
        <v>68.674191397216944</v>
      </c>
      <c r="V35" s="142">
        <f t="shared" si="2"/>
        <v>70.751913748406636</v>
      </c>
      <c r="W35" s="142">
        <f t="shared" si="2"/>
        <v>72.892497126145059</v>
      </c>
      <c r="X35" s="142">
        <f t="shared" si="2"/>
        <v>75.097843376776851</v>
      </c>
      <c r="Y35" s="142">
        <f t="shared" si="2"/>
        <v>77.369911886583807</v>
      </c>
      <c r="Z35" s="140">
        <v>0</v>
      </c>
      <c r="AA35" s="140">
        <v>0</v>
      </c>
      <c r="AB35" s="140">
        <v>0</v>
      </c>
      <c r="AC35" s="141">
        <v>0</v>
      </c>
    </row>
    <row r="36" spans="1:29" s="1" customFormat="1" x14ac:dyDescent="0.2">
      <c r="A36" s="5"/>
      <c r="B36" s="49" t="s">
        <v>12</v>
      </c>
      <c r="C36" s="26"/>
      <c r="D36" s="50"/>
      <c r="E36" s="27"/>
      <c r="F36" s="66"/>
      <c r="G36" s="373"/>
      <c r="H36" s="39" t="s">
        <v>18</v>
      </c>
      <c r="I36" s="16">
        <v>86.3</v>
      </c>
      <c r="J36" s="16">
        <v>92.7</v>
      </c>
      <c r="K36" s="16">
        <v>99.7</v>
      </c>
      <c r="L36" s="16">
        <v>107.2</v>
      </c>
      <c r="M36" s="16">
        <v>115.2</v>
      </c>
      <c r="N36" s="16">
        <v>123.9</v>
      </c>
      <c r="O36" s="16">
        <v>133.1</v>
      </c>
      <c r="P36" s="16">
        <v>143.1</v>
      </c>
      <c r="Q36" s="16">
        <v>153.9</v>
      </c>
      <c r="R36" s="16">
        <v>165.4</v>
      </c>
      <c r="S36" s="16">
        <v>177.8</v>
      </c>
      <c r="T36" s="142">
        <f t="shared" si="2"/>
        <v>191.12962515114873</v>
      </c>
      <c r="U36" s="142">
        <f t="shared" si="2"/>
        <v>205.45856923745006</v>
      </c>
      <c r="V36" s="142">
        <f t="shared" si="2"/>
        <v>220.86175096988282</v>
      </c>
      <c r="W36" s="142">
        <f t="shared" si="2"/>
        <v>237.41970569797559</v>
      </c>
      <c r="X36" s="142">
        <f t="shared" si="2"/>
        <v>255.21900648790844</v>
      </c>
      <c r="Y36" s="142">
        <f t="shared" si="2"/>
        <v>274.35271676874316</v>
      </c>
      <c r="Z36" s="140">
        <v>0</v>
      </c>
      <c r="AA36" s="140">
        <v>0</v>
      </c>
      <c r="AB36" s="140">
        <v>0</v>
      </c>
      <c r="AC36" s="141">
        <v>0</v>
      </c>
    </row>
    <row r="37" spans="1:29" s="1" customFormat="1" x14ac:dyDescent="0.2">
      <c r="A37" s="5"/>
      <c r="B37" s="51" t="s">
        <v>13</v>
      </c>
      <c r="C37" s="17"/>
      <c r="D37" s="52"/>
      <c r="E37" s="29"/>
      <c r="F37" s="67"/>
      <c r="G37" s="374"/>
      <c r="H37" s="44" t="s">
        <v>18</v>
      </c>
      <c r="I37" s="53">
        <v>31.1</v>
      </c>
      <c r="J37" s="53">
        <v>33.5</v>
      </c>
      <c r="K37" s="53">
        <v>35.4</v>
      </c>
      <c r="L37" s="53">
        <v>37.6</v>
      </c>
      <c r="M37" s="53">
        <v>39.700000000000003</v>
      </c>
      <c r="N37" s="53">
        <v>40.700000000000003</v>
      </c>
      <c r="O37" s="53">
        <v>41.7</v>
      </c>
      <c r="P37" s="53">
        <v>42.7</v>
      </c>
      <c r="Q37" s="53">
        <v>44.2</v>
      </c>
      <c r="R37" s="53">
        <v>45.8</v>
      </c>
      <c r="S37" s="53">
        <v>46.6</v>
      </c>
      <c r="T37" s="143">
        <f t="shared" si="2"/>
        <v>47.413973799126644</v>
      </c>
      <c r="U37" s="143">
        <f t="shared" si="2"/>
        <v>48.242165481207458</v>
      </c>
      <c r="V37" s="143">
        <f t="shared" si="2"/>
        <v>49.084823393542962</v>
      </c>
      <c r="W37" s="143">
        <f t="shared" si="2"/>
        <v>49.942200221377774</v>
      </c>
      <c r="X37" s="143">
        <f t="shared" si="2"/>
        <v>50.814553063672584</v>
      </c>
      <c r="Y37" s="143">
        <f t="shared" si="2"/>
        <v>51.702143510199619</v>
      </c>
      <c r="Z37" s="143">
        <f>+Y37*(+Y37/X37)</f>
        <v>52.605237719984764</v>
      </c>
      <c r="AA37" s="143">
        <f>+Z37*(+Z37/Y37)</f>
        <v>53.524106501119874</v>
      </c>
      <c r="AB37" s="143">
        <f>+AA37*(+AA37/Z37)</f>
        <v>54.459025391969135</v>
      </c>
      <c r="AC37" s="144">
        <f>+AB37*(+AB37/AA37)</f>
        <v>55.410274743793927</v>
      </c>
    </row>
    <row r="38" spans="1:29" s="1" customFormat="1" x14ac:dyDescent="0.2">
      <c r="A38" s="5"/>
      <c r="B38" s="46" t="s">
        <v>9</v>
      </c>
      <c r="C38" s="28"/>
      <c r="D38" s="47"/>
      <c r="E38" s="35"/>
      <c r="F38" s="65"/>
      <c r="G38" s="372" t="s">
        <v>29</v>
      </c>
      <c r="H38" s="36" t="s">
        <v>18</v>
      </c>
      <c r="I38" s="48">
        <v>65</v>
      </c>
      <c r="J38" s="48">
        <v>65</v>
      </c>
      <c r="K38" s="48">
        <v>65</v>
      </c>
      <c r="L38" s="48">
        <v>65</v>
      </c>
      <c r="M38" s="48">
        <v>65</v>
      </c>
      <c r="N38" s="48">
        <v>65</v>
      </c>
      <c r="O38" s="48">
        <v>65</v>
      </c>
      <c r="P38" s="48">
        <v>65</v>
      </c>
      <c r="Q38" s="48">
        <v>65</v>
      </c>
      <c r="R38" s="48">
        <v>65</v>
      </c>
      <c r="S38" s="48">
        <v>65</v>
      </c>
      <c r="T38" s="48">
        <v>65</v>
      </c>
      <c r="U38" s="48">
        <v>65</v>
      </c>
      <c r="V38" s="48">
        <v>65</v>
      </c>
      <c r="W38" s="48">
        <v>65</v>
      </c>
      <c r="X38" s="48">
        <v>65</v>
      </c>
      <c r="Y38" s="48">
        <v>0</v>
      </c>
      <c r="Z38" s="48">
        <v>0</v>
      </c>
      <c r="AA38" s="48">
        <v>0</v>
      </c>
      <c r="AB38" s="48">
        <v>0</v>
      </c>
      <c r="AC38" s="54">
        <v>0</v>
      </c>
    </row>
    <row r="39" spans="1:29" s="1" customFormat="1" x14ac:dyDescent="0.2">
      <c r="A39" s="5"/>
      <c r="B39" s="49" t="s">
        <v>10</v>
      </c>
      <c r="C39" s="26"/>
      <c r="D39" s="50"/>
      <c r="E39" s="27"/>
      <c r="F39" s="66"/>
      <c r="G39" s="373"/>
      <c r="H39" s="39" t="s">
        <v>18</v>
      </c>
      <c r="I39" s="16">
        <v>86.388103352569829</v>
      </c>
      <c r="J39" s="16">
        <v>92.796631721113059</v>
      </c>
      <c r="K39" s="16">
        <v>99.806027622699105</v>
      </c>
      <c r="L39" s="16">
        <v>107.65107711420718</v>
      </c>
      <c r="M39" s="16">
        <v>115.32762568867429</v>
      </c>
      <c r="N39" s="16">
        <v>124.04013932527801</v>
      </c>
      <c r="O39" s="16">
        <v>133.2535588729591</v>
      </c>
      <c r="P39" s="16">
        <v>143.75308174802888</v>
      </c>
      <c r="Q39" s="16">
        <v>154.08478142126347</v>
      </c>
      <c r="R39" s="16">
        <v>165.60285113096251</v>
      </c>
      <c r="S39" s="16">
        <v>178.02223626251416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55">
        <v>0</v>
      </c>
    </row>
    <row r="40" spans="1:29" s="1" customFormat="1" x14ac:dyDescent="0.2">
      <c r="A40" s="5"/>
      <c r="B40" s="49" t="s">
        <v>11</v>
      </c>
      <c r="C40" s="26"/>
      <c r="D40" s="50"/>
      <c r="E40" s="27"/>
      <c r="F40" s="66"/>
      <c r="G40" s="373"/>
      <c r="H40" s="39" t="s">
        <v>18</v>
      </c>
      <c r="I40" s="16">
        <v>52.15047932893949</v>
      </c>
      <c r="J40" s="16">
        <v>50.385665068903535</v>
      </c>
      <c r="K40" s="16">
        <v>49.996869382863984</v>
      </c>
      <c r="L40" s="16">
        <v>49.463151587777112</v>
      </c>
      <c r="M40" s="16">
        <v>49.374176153385257</v>
      </c>
      <c r="N40" s="16">
        <v>49.344922109047324</v>
      </c>
      <c r="O40" s="16">
        <v>49.315701791877721</v>
      </c>
      <c r="P40" s="16">
        <v>49.286515162992174</v>
      </c>
      <c r="Q40" s="16">
        <v>49.257362183551251</v>
      </c>
      <c r="R40" s="16">
        <v>49.228242814760307</v>
      </c>
      <c r="S40" s="16">
        <v>49.19915701786941</v>
      </c>
      <c r="T40" s="16">
        <v>49.170104754173316</v>
      </c>
      <c r="U40" s="16">
        <v>49.141085985011387</v>
      </c>
      <c r="V40" s="16">
        <v>49.112100671767593</v>
      </c>
      <c r="W40" s="16">
        <v>49.083148775870384</v>
      </c>
      <c r="X40" s="16">
        <v>49.054230258792671</v>
      </c>
      <c r="Y40" s="16">
        <v>0</v>
      </c>
      <c r="Z40" s="16">
        <v>0</v>
      </c>
      <c r="AA40" s="16">
        <v>0</v>
      </c>
      <c r="AB40" s="16">
        <v>0</v>
      </c>
      <c r="AC40" s="55">
        <v>0</v>
      </c>
    </row>
    <row r="41" spans="1:29" s="1" customFormat="1" x14ac:dyDescent="0.2">
      <c r="A41" s="5"/>
      <c r="B41" s="49" t="s">
        <v>12</v>
      </c>
      <c r="C41" s="26"/>
      <c r="D41" s="50"/>
      <c r="E41" s="27"/>
      <c r="F41" s="66"/>
      <c r="G41" s="373"/>
      <c r="H41" s="39" t="s">
        <v>18</v>
      </c>
      <c r="I41" s="16">
        <v>84.723400712177153</v>
      </c>
      <c r="J41" s="16">
        <v>91.077655765590436</v>
      </c>
      <c r="K41" s="16">
        <v>97.908479948009713</v>
      </c>
      <c r="L41" s="16">
        <v>105.25161594411045</v>
      </c>
      <c r="M41" s="16">
        <v>113.14548713991869</v>
      </c>
      <c r="N41" s="16">
        <v>121.63139867541261</v>
      </c>
      <c r="O41" s="16">
        <v>130.75375357606856</v>
      </c>
      <c r="P41" s="16">
        <v>140.56028509427367</v>
      </c>
      <c r="Q41" s="16">
        <v>151.10230647634424</v>
      </c>
      <c r="R41" s="16">
        <v>162.43497946207003</v>
      </c>
      <c r="S41" s="16">
        <v>174.61760292172531</v>
      </c>
      <c r="T41" s="16">
        <v>187.71392314085472</v>
      </c>
      <c r="U41" s="16">
        <v>201.79246737641878</v>
      </c>
      <c r="V41" s="16">
        <v>216.92690242965017</v>
      </c>
      <c r="W41" s="16">
        <v>233.19642011187395</v>
      </c>
      <c r="X41" s="16">
        <v>250.68615162026452</v>
      </c>
      <c r="Y41" s="16">
        <v>0</v>
      </c>
      <c r="Z41" s="16">
        <v>0</v>
      </c>
      <c r="AA41" s="16">
        <v>0</v>
      </c>
      <c r="AB41" s="16">
        <v>0</v>
      </c>
      <c r="AC41" s="55">
        <v>0</v>
      </c>
    </row>
    <row r="42" spans="1:29" s="1" customFormat="1" x14ac:dyDescent="0.2">
      <c r="A42" s="5"/>
      <c r="B42" s="51" t="s">
        <v>13</v>
      </c>
      <c r="C42" s="17"/>
      <c r="D42" s="52"/>
      <c r="E42" s="29"/>
      <c r="F42" s="67"/>
      <c r="G42" s="374"/>
      <c r="H42" s="44" t="s">
        <v>18</v>
      </c>
      <c r="I42" s="53">
        <v>37.0685</v>
      </c>
      <c r="J42" s="53">
        <v>36.018500000000003</v>
      </c>
      <c r="K42" s="53">
        <v>35.523499999999999</v>
      </c>
      <c r="L42" s="53">
        <v>35.328499999999998</v>
      </c>
      <c r="M42" s="53">
        <v>35.366</v>
      </c>
      <c r="N42" s="53">
        <v>35.448500000000003</v>
      </c>
      <c r="O42" s="53">
        <v>35.628500000000003</v>
      </c>
      <c r="P42" s="53">
        <v>35.771000000000008</v>
      </c>
      <c r="Q42" s="53">
        <v>36.093499999999992</v>
      </c>
      <c r="R42" s="53">
        <v>36.333499999999994</v>
      </c>
      <c r="S42" s="53">
        <v>36.625999999999998</v>
      </c>
      <c r="T42" s="53">
        <v>36.970999999999997</v>
      </c>
      <c r="U42" s="53">
        <v>37.286000000000001</v>
      </c>
      <c r="V42" s="53">
        <v>37.608500000000006</v>
      </c>
      <c r="W42" s="53">
        <v>38.013500000000001</v>
      </c>
      <c r="X42" s="53">
        <v>38.201000000000001</v>
      </c>
      <c r="Y42" s="53">
        <v>38.389773431132838</v>
      </c>
      <c r="Z42" s="53">
        <v>38.579828942075068</v>
      </c>
      <c r="AA42" s="53">
        <v>38.771175240241831</v>
      </c>
      <c r="AB42" s="53">
        <v>38.963821092185889</v>
      </c>
      <c r="AC42" s="56">
        <v>39.157775323999154</v>
      </c>
    </row>
    <row r="43" spans="1:29" s="1" customFormat="1" ht="15" x14ac:dyDescent="0.35">
      <c r="A43" s="62"/>
      <c r="B43" s="62"/>
      <c r="C43" s="62"/>
      <c r="D43" s="62"/>
      <c r="E43" s="62"/>
      <c r="F43" s="62"/>
      <c r="G43" s="5"/>
    </row>
    <row r="44" spans="1:29" s="1" customFormat="1" ht="15" x14ac:dyDescent="0.35">
      <c r="A44" s="62"/>
      <c r="B44" s="384" t="s">
        <v>50</v>
      </c>
      <c r="C44" s="385"/>
      <c r="D44" s="385"/>
      <c r="E44" s="385"/>
      <c r="F44" s="385"/>
      <c r="G44" s="386"/>
    </row>
    <row r="45" spans="1:29" s="1" customFormat="1" x14ac:dyDescent="0.2">
      <c r="A45" s="5"/>
      <c r="B45" s="399" t="s">
        <v>46</v>
      </c>
      <c r="C45" s="400"/>
      <c r="D45" s="400"/>
      <c r="E45" s="400"/>
      <c r="F45" s="394" t="s">
        <v>28</v>
      </c>
      <c r="G45" s="395"/>
      <c r="H45" s="36" t="s">
        <v>18</v>
      </c>
      <c r="I45" s="58">
        <v>73.8</v>
      </c>
      <c r="J45" s="58">
        <v>75.599999999999994</v>
      </c>
      <c r="K45" s="58">
        <v>77.8</v>
      </c>
      <c r="L45" s="58">
        <v>78.2</v>
      </c>
      <c r="M45" s="58">
        <v>79.599999999999994</v>
      </c>
      <c r="N45" s="58">
        <v>81</v>
      </c>
      <c r="O45" s="58">
        <v>82.5</v>
      </c>
      <c r="P45" s="58">
        <v>84.2</v>
      </c>
      <c r="Q45" s="58">
        <v>86.3</v>
      </c>
      <c r="R45" s="58">
        <v>86.9</v>
      </c>
      <c r="S45" s="58">
        <v>88.8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61">
        <v>0</v>
      </c>
    </row>
    <row r="46" spans="1:29" s="1" customFormat="1" x14ac:dyDescent="0.2">
      <c r="A46" s="5"/>
      <c r="B46" s="401"/>
      <c r="C46" s="402"/>
      <c r="D46" s="402"/>
      <c r="E46" s="402"/>
      <c r="F46" s="394" t="s">
        <v>29</v>
      </c>
      <c r="G46" s="395"/>
      <c r="H46" s="95" t="s">
        <v>18</v>
      </c>
      <c r="I46" s="58">
        <v>73.8</v>
      </c>
      <c r="J46" s="58">
        <v>75.599999999999994</v>
      </c>
      <c r="K46" s="58">
        <v>77.8</v>
      </c>
      <c r="L46" s="58">
        <v>78.2</v>
      </c>
      <c r="M46" s="58">
        <v>79.599999999999994</v>
      </c>
      <c r="N46" s="58">
        <v>81</v>
      </c>
      <c r="O46" s="58">
        <v>82.5</v>
      </c>
      <c r="P46" s="58">
        <v>84.2</v>
      </c>
      <c r="Q46" s="58">
        <v>86.3</v>
      </c>
      <c r="R46" s="58">
        <v>86.9</v>
      </c>
      <c r="S46" s="58">
        <v>88.8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61">
        <v>0</v>
      </c>
    </row>
    <row r="47" spans="1:29" s="1" customFormat="1" x14ac:dyDescent="0.2">
      <c r="A47" s="5"/>
      <c r="H47" s="12"/>
      <c r="M47" s="19"/>
      <c r="N47" s="19"/>
      <c r="O47" s="19"/>
      <c r="P47" s="19"/>
      <c r="Q47" s="19"/>
      <c r="R47" s="19"/>
      <c r="S47" s="19"/>
      <c r="T47" s="19"/>
    </row>
    <row r="48" spans="1:29" s="1" customFormat="1" ht="15" x14ac:dyDescent="0.35">
      <c r="A48" s="62"/>
      <c r="B48" s="403" t="s">
        <v>47</v>
      </c>
      <c r="C48" s="404"/>
      <c r="D48" s="404"/>
      <c r="E48" s="404"/>
      <c r="F48" s="404"/>
      <c r="G48" s="405"/>
    </row>
    <row r="49" spans="1:29" s="1" customFormat="1" x14ac:dyDescent="0.2">
      <c r="B49" s="399" t="s">
        <v>48</v>
      </c>
      <c r="C49" s="400"/>
      <c r="D49" s="400"/>
      <c r="E49" s="400"/>
      <c r="F49" s="394" t="s">
        <v>183</v>
      </c>
      <c r="G49" s="395"/>
      <c r="H49" s="95" t="s">
        <v>18</v>
      </c>
      <c r="I49" s="92">
        <v>38.025782540394452</v>
      </c>
      <c r="J49" s="92">
        <v>35.583309338673601</v>
      </c>
      <c r="K49" s="92">
        <v>34.271804349941036</v>
      </c>
      <c r="L49" s="92">
        <v>33.479132480970776</v>
      </c>
      <c r="M49" s="92">
        <v>33.523003301195658</v>
      </c>
      <c r="N49" s="92">
        <v>33.624897333524572</v>
      </c>
      <c r="O49" s="92">
        <v>33.856376007374713</v>
      </c>
      <c r="P49" s="92">
        <v>34.06681859742524</v>
      </c>
      <c r="Q49" s="92">
        <v>34.490384809020291</v>
      </c>
      <c r="R49" s="92">
        <v>34.815528592186794</v>
      </c>
      <c r="S49" s="92">
        <v>35.2109258767494</v>
      </c>
      <c r="T49" s="92">
        <v>35.647068780933985</v>
      </c>
      <c r="U49" s="92">
        <v>36.072955775923376</v>
      </c>
      <c r="V49" s="92">
        <v>36.463554617420527</v>
      </c>
      <c r="W49" s="92">
        <v>36.999330155680333</v>
      </c>
      <c r="X49" s="92">
        <v>37.266881601488613</v>
      </c>
      <c r="Y49" s="145">
        <v>37.681960203018562</v>
      </c>
      <c r="Z49" s="145">
        <f t="shared" ref="Z49:AC51" si="3">+Y49*(+Y49/X49)</f>
        <v>38.101661950839372</v>
      </c>
      <c r="AA49" s="145">
        <f t="shared" si="3"/>
        <v>38.526038337563648</v>
      </c>
      <c r="AB49" s="145">
        <f t="shared" si="3"/>
        <v>38.955141429328812</v>
      </c>
      <c r="AC49" s="146">
        <f t="shared" si="3"/>
        <v>39.389023872185021</v>
      </c>
    </row>
    <row r="50" spans="1:29" s="1" customFormat="1" x14ac:dyDescent="0.2">
      <c r="B50" s="401"/>
      <c r="C50" s="402"/>
      <c r="D50" s="402"/>
      <c r="E50" s="402"/>
      <c r="F50" s="394" t="s">
        <v>184</v>
      </c>
      <c r="G50" s="395"/>
      <c r="H50" s="152" t="s">
        <v>18</v>
      </c>
      <c r="I50" s="134">
        <v>39.332573432757094</v>
      </c>
      <c r="J50" s="89">
        <v>37.246273591234278</v>
      </c>
      <c r="K50" s="89">
        <v>36.345918857050577</v>
      </c>
      <c r="L50" s="89">
        <v>35.76234316957509</v>
      </c>
      <c r="M50" s="89">
        <v>36.040686320961584</v>
      </c>
      <c r="N50" s="89">
        <v>36.397087435958404</v>
      </c>
      <c r="O50" s="89">
        <v>36.957157077089079</v>
      </c>
      <c r="P50" s="89">
        <v>37.351443578592971</v>
      </c>
      <c r="Q50" s="89">
        <v>37.789696504278332</v>
      </c>
      <c r="R50" s="89">
        <v>38.107686042090506</v>
      </c>
      <c r="S50" s="89">
        <v>38.502516347142546</v>
      </c>
      <c r="T50" s="89">
        <v>38.936223016562707</v>
      </c>
      <c r="U50" s="89">
        <v>39.366810093038154</v>
      </c>
      <c r="V50" s="89">
        <v>39.752808689108534</v>
      </c>
      <c r="W50" s="89">
        <v>40.298623308791868</v>
      </c>
      <c r="X50" s="89">
        <v>40.552283860589277</v>
      </c>
      <c r="Y50" s="89">
        <v>40.972125415742553</v>
      </c>
      <c r="Z50" s="89">
        <f>+Z49*1.05</f>
        <v>40.00674504838134</v>
      </c>
      <c r="AA50" s="89">
        <f>+AA49*1.05</f>
        <v>40.452340254441829</v>
      </c>
      <c r="AB50" s="89">
        <f>+AB49*1.05</f>
        <v>40.902898500795253</v>
      </c>
      <c r="AC50" s="226">
        <f>+AC49*1.05</f>
        <v>41.358475065794273</v>
      </c>
    </row>
    <row r="51" spans="1:29" s="1" customFormat="1" x14ac:dyDescent="0.2">
      <c r="B51" s="399" t="s">
        <v>202</v>
      </c>
      <c r="C51" s="400"/>
      <c r="D51" s="400"/>
      <c r="E51" s="400"/>
      <c r="F51" s="394" t="s">
        <v>183</v>
      </c>
      <c r="G51" s="395"/>
      <c r="H51" s="95" t="s">
        <v>18</v>
      </c>
      <c r="I51" s="343">
        <v>31.643443619638131</v>
      </c>
      <c r="J51" s="344">
        <v>31.366011737486186</v>
      </c>
      <c r="K51" s="344">
        <v>31.090292651751263</v>
      </c>
      <c r="L51" s="344">
        <v>31.20995488006194</v>
      </c>
      <c r="M51" s="344">
        <v>31.622648347154257</v>
      </c>
      <c r="N51" s="344">
        <v>32.143357147594685</v>
      </c>
      <c r="O51" s="344">
        <v>32.776389005648788</v>
      </c>
      <c r="P51" s="344">
        <v>33.345086131030023</v>
      </c>
      <c r="Q51" s="344">
        <v>34.090358322119101</v>
      </c>
      <c r="R51" s="344">
        <v>34.608705237445378</v>
      </c>
      <c r="S51" s="344">
        <v>34.891150284253229</v>
      </c>
      <c r="T51" s="344">
        <v>35.18283504090892</v>
      </c>
      <c r="U51" s="344">
        <v>35.475536669742645</v>
      </c>
      <c r="V51" s="344">
        <v>35.745651832158678</v>
      </c>
      <c r="W51" s="344">
        <v>36.228280245811007</v>
      </c>
      <c r="X51" s="344">
        <v>36.390720076523593</v>
      </c>
      <c r="Y51" s="344">
        <v>36.664034334886701</v>
      </c>
      <c r="Z51" s="344">
        <f t="shared" si="3"/>
        <v>36.939401333169968</v>
      </c>
      <c r="AA51" s="344">
        <f t="shared" si="3"/>
        <v>37.216836488575581</v>
      </c>
      <c r="AB51" s="344">
        <f t="shared" si="3"/>
        <v>37.496355334097359</v>
      </c>
      <c r="AC51" s="345">
        <f t="shared" si="3"/>
        <v>37.777973519390414</v>
      </c>
    </row>
    <row r="52" spans="1:29" s="1" customFormat="1" x14ac:dyDescent="0.2">
      <c r="A52" s="5"/>
      <c r="B52" s="401"/>
      <c r="C52" s="402"/>
      <c r="D52" s="402"/>
      <c r="E52" s="402"/>
      <c r="F52" s="394" t="s">
        <v>184</v>
      </c>
      <c r="G52" s="395"/>
      <c r="H52" s="152" t="s">
        <v>18</v>
      </c>
      <c r="I52" s="346">
        <v>32.925013880911038</v>
      </c>
      <c r="J52" s="347">
        <v>32.907708547311849</v>
      </c>
      <c r="K52" s="347">
        <v>32.756686229518422</v>
      </c>
      <c r="L52" s="347">
        <v>32.949680721024308</v>
      </c>
      <c r="M52" s="347">
        <v>33.435987848612456</v>
      </c>
      <c r="N52" s="347">
        <v>34.038082345541433</v>
      </c>
      <c r="O52" s="347">
        <v>34.865728271855595</v>
      </c>
      <c r="P52" s="347">
        <v>35.507990735901615</v>
      </c>
      <c r="Q52" s="347">
        <v>36.353315953459862</v>
      </c>
      <c r="R52" s="347">
        <v>37.067439011682211</v>
      </c>
      <c r="S52" s="347">
        <v>37.389903981760341</v>
      </c>
      <c r="T52" s="347">
        <v>37.725466896576357</v>
      </c>
      <c r="U52" s="347">
        <v>38.051393372670582</v>
      </c>
      <c r="V52" s="347">
        <v>38.358766586986206</v>
      </c>
      <c r="W52" s="347">
        <v>38.89334475546886</v>
      </c>
      <c r="X52" s="347">
        <v>39.088687868482459</v>
      </c>
      <c r="Y52" s="347">
        <v>39.411755111291448</v>
      </c>
      <c r="Z52" s="347">
        <f>+Z51*1.05</f>
        <v>38.786371399828468</v>
      </c>
      <c r="AA52" s="347">
        <f>+AA51*1.05</f>
        <v>39.077678313004363</v>
      </c>
      <c r="AB52" s="347">
        <f>+AB51*1.05</f>
        <v>39.371173100802231</v>
      </c>
      <c r="AC52" s="348">
        <f>+AC51*1.05</f>
        <v>39.666872195359936</v>
      </c>
    </row>
    <row r="53" spans="1:29" s="1" customFormat="1" x14ac:dyDescent="0.2">
      <c r="A53" s="5"/>
      <c r="B53" s="5"/>
      <c r="C53" s="5"/>
      <c r="D53" s="5"/>
      <c r="E53" s="5"/>
      <c r="F53" s="5"/>
      <c r="G53" s="5"/>
    </row>
    <row r="54" spans="1:29" s="1" customFormat="1" ht="15" x14ac:dyDescent="0.35">
      <c r="A54" s="358" t="s">
        <v>366</v>
      </c>
      <c r="B54" s="358"/>
      <c r="C54" s="358"/>
      <c r="D54" s="358"/>
      <c r="E54" s="358"/>
      <c r="F54" s="358"/>
      <c r="G54" s="358"/>
    </row>
    <row r="55" spans="1:29" s="1" customFormat="1" x14ac:dyDescent="0.2">
      <c r="A55" s="5"/>
      <c r="B55" s="5"/>
      <c r="C55" s="5"/>
      <c r="D55" s="5"/>
      <c r="E55" s="5"/>
      <c r="F55" s="5"/>
      <c r="G55" s="5"/>
    </row>
    <row r="56" spans="1:29" s="1" customFormat="1" x14ac:dyDescent="0.2">
      <c r="A56" s="5"/>
      <c r="B56" s="396" t="s">
        <v>2</v>
      </c>
      <c r="C56" s="397"/>
      <c r="D56" s="397"/>
      <c r="E56" s="397"/>
      <c r="F56" s="397"/>
      <c r="G56" s="398"/>
      <c r="H56" s="36" t="s">
        <v>112</v>
      </c>
      <c r="I56" s="48">
        <v>1.8503521126760563</v>
      </c>
      <c r="J56" s="48">
        <v>1.283450704225352</v>
      </c>
      <c r="K56" s="48">
        <v>2.0017605633802815</v>
      </c>
      <c r="L56" s="48">
        <v>1.755281690140845</v>
      </c>
      <c r="M56" s="48">
        <v>2.0598591549295775</v>
      </c>
      <c r="N56" s="48">
        <v>2.1690140845070425</v>
      </c>
      <c r="O56" s="48">
        <v>2.1725352112676055</v>
      </c>
      <c r="P56" s="48">
        <v>1.505281690140845</v>
      </c>
      <c r="Q56" s="48">
        <v>2.3485915492957745</v>
      </c>
      <c r="R56" s="48">
        <v>2.0598591549295775</v>
      </c>
      <c r="S56" s="48">
        <v>2.4190140845070425</v>
      </c>
      <c r="T56" s="135">
        <f>+S56*(+S56/R56)</f>
        <v>2.840790899241604</v>
      </c>
      <c r="U56" s="135">
        <f>+T56*(+T56/S56)</f>
        <v>3.3361082868016787</v>
      </c>
      <c r="V56" s="135">
        <f>+U56*(+U56/T56)</f>
        <v>3.9177887060388947</v>
      </c>
      <c r="W56" s="135">
        <f>+V56*(+V56/U56)</f>
        <v>4.6008903265790098</v>
      </c>
      <c r="X56" s="135">
        <f>+W56*(+W56/V56)</f>
        <v>5.4030968450594523</v>
      </c>
      <c r="Y56" s="134">
        <v>0</v>
      </c>
      <c r="Z56" s="134">
        <v>0</v>
      </c>
      <c r="AA56" s="134">
        <v>0</v>
      </c>
      <c r="AB56" s="134">
        <v>0</v>
      </c>
      <c r="AC56" s="147">
        <v>0</v>
      </c>
    </row>
    <row r="57" spans="1:29" s="1" customFormat="1" x14ac:dyDescent="0.2">
      <c r="A57" s="5"/>
      <c r="B57" s="396" t="s">
        <v>53</v>
      </c>
      <c r="C57" s="397"/>
      <c r="D57" s="397"/>
      <c r="E57" s="397"/>
      <c r="F57" s="397"/>
      <c r="G57" s="398"/>
      <c r="H57" s="95" t="s">
        <v>112</v>
      </c>
      <c r="I57" s="58">
        <v>2.7117472852912141</v>
      </c>
      <c r="J57" s="58">
        <v>2.7492596248766041</v>
      </c>
      <c r="K57" s="58">
        <v>2.7867719644619942</v>
      </c>
      <c r="L57" s="58">
        <v>2.8242843040473842</v>
      </c>
      <c r="M57" s="58">
        <v>2.8627838104639682</v>
      </c>
      <c r="N57" s="58">
        <v>2.9012833168805527</v>
      </c>
      <c r="O57" s="58">
        <v>2.9407699901283317</v>
      </c>
      <c r="P57" s="58">
        <v>2.9802566633761107</v>
      </c>
      <c r="Q57" s="58">
        <v>3.0207305034550838</v>
      </c>
      <c r="R57" s="58">
        <v>3.0612043435340572</v>
      </c>
      <c r="S57" s="58">
        <v>3.1042654028436019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58">
        <v>0</v>
      </c>
      <c r="AC57" s="61">
        <v>0</v>
      </c>
    </row>
    <row r="58" spans="1:29" s="1" customFormat="1" x14ac:dyDescent="0.2">
      <c r="A58" s="5"/>
      <c r="B58" s="5"/>
      <c r="C58" s="5"/>
      <c r="D58" s="5"/>
      <c r="E58" s="5"/>
      <c r="F58" s="5"/>
      <c r="G58" s="5"/>
    </row>
    <row r="59" spans="1:29" s="1" customFormat="1" x14ac:dyDescent="0.2">
      <c r="A59" s="5"/>
      <c r="B59" s="5"/>
      <c r="C59" s="5"/>
      <c r="D59" s="5"/>
      <c r="E59" s="5"/>
      <c r="F59" s="5"/>
      <c r="G59" s="5"/>
    </row>
    <row r="60" spans="1:29" s="1" customFormat="1" ht="15" x14ac:dyDescent="0.35">
      <c r="A60" s="358" t="s">
        <v>44</v>
      </c>
      <c r="B60" s="358"/>
      <c r="C60" s="358"/>
      <c r="D60" s="358"/>
      <c r="E60" s="358"/>
      <c r="F60" s="358"/>
      <c r="G60" s="358"/>
    </row>
    <row r="61" spans="1:29" s="1" customFormat="1" ht="15" x14ac:dyDescent="0.35">
      <c r="A61" s="62"/>
      <c r="B61" s="62"/>
      <c r="C61" s="62"/>
      <c r="D61" s="62"/>
      <c r="E61" s="62"/>
      <c r="F61" s="62"/>
      <c r="G61" s="62"/>
      <c r="I61" s="121" t="s">
        <v>1</v>
      </c>
      <c r="K61" s="1" t="s">
        <v>1</v>
      </c>
    </row>
    <row r="62" spans="1:29" s="1" customFormat="1" x14ac:dyDescent="0.2">
      <c r="A62" s="6"/>
      <c r="B62" s="384" t="s">
        <v>311</v>
      </c>
      <c r="C62" s="385"/>
      <c r="D62" s="385"/>
      <c r="E62" s="385"/>
      <c r="F62" s="385"/>
      <c r="G62" s="386"/>
      <c r="I62" s="121" t="s">
        <v>1</v>
      </c>
      <c r="K62" s="1" t="s">
        <v>1</v>
      </c>
    </row>
    <row r="63" spans="1:29" s="1" customFormat="1" x14ac:dyDescent="0.2">
      <c r="A63" s="4"/>
      <c r="B63" s="68" t="s">
        <v>99</v>
      </c>
      <c r="C63" s="74"/>
      <c r="D63" s="74"/>
      <c r="E63" s="74"/>
      <c r="F63" s="74"/>
      <c r="G63" s="69"/>
      <c r="H63" s="45" t="s">
        <v>35</v>
      </c>
      <c r="I63" s="58">
        <v>4.67</v>
      </c>
      <c r="J63" s="58">
        <v>4.8099999999999996</v>
      </c>
      <c r="K63" s="58">
        <v>5.04</v>
      </c>
      <c r="L63" s="58">
        <v>5.07</v>
      </c>
      <c r="M63" s="58">
        <v>5.25</v>
      </c>
      <c r="N63" s="58">
        <v>5.32</v>
      </c>
      <c r="O63" s="58">
        <v>5.47</v>
      </c>
      <c r="P63" s="58">
        <v>5.61</v>
      </c>
      <c r="Q63" s="58">
        <v>5.86</v>
      </c>
      <c r="R63" s="58">
        <v>5.91</v>
      </c>
      <c r="S63" s="58">
        <v>6.1</v>
      </c>
      <c r="T63" s="148">
        <f t="shared" ref="T63:AC63" si="4">+S63*(+S63/R63)</f>
        <v>6.296108291032148</v>
      </c>
      <c r="U63" s="148">
        <f t="shared" si="4"/>
        <v>6.4985212479350416</v>
      </c>
      <c r="V63" s="148">
        <f t="shared" si="4"/>
        <v>6.7074415587823601</v>
      </c>
      <c r="W63" s="148">
        <f t="shared" si="4"/>
        <v>6.9230784278464279</v>
      </c>
      <c r="X63" s="148">
        <f t="shared" si="4"/>
        <v>7.1456477850868367</v>
      </c>
      <c r="Y63" s="148">
        <f t="shared" si="4"/>
        <v>7.3753725023738914</v>
      </c>
      <c r="Z63" s="148">
        <f t="shared" si="4"/>
        <v>7.6124826166634065</v>
      </c>
      <c r="AA63" s="148">
        <f t="shared" si="4"/>
        <v>7.8572155603463232</v>
      </c>
      <c r="AB63" s="148">
        <f t="shared" si="4"/>
        <v>8.1098163990038188</v>
      </c>
      <c r="AC63" s="148">
        <f t="shared" si="4"/>
        <v>8.3705380768059729</v>
      </c>
    </row>
    <row r="64" spans="1:29" s="1" customFormat="1" x14ac:dyDescent="0.2">
      <c r="A64" s="63"/>
      <c r="B64" s="72" t="s">
        <v>100</v>
      </c>
      <c r="C64" s="73"/>
      <c r="D64" s="73"/>
      <c r="E64" s="73"/>
      <c r="F64" s="73"/>
      <c r="G64" s="67"/>
      <c r="H64" s="44" t="s">
        <v>35</v>
      </c>
      <c r="I64" s="53">
        <v>3.73</v>
      </c>
      <c r="J64" s="53">
        <v>3.88</v>
      </c>
      <c r="K64" s="53">
        <v>4.04</v>
      </c>
      <c r="L64" s="53">
        <v>4.1100000000000003</v>
      </c>
      <c r="M64" s="53">
        <v>4.24</v>
      </c>
      <c r="N64" s="53">
        <v>4.3600000000000003</v>
      </c>
      <c r="O64" s="53">
        <v>4.4800000000000004</v>
      </c>
      <c r="P64" s="53">
        <v>4.63</v>
      </c>
      <c r="Q64" s="53">
        <v>4.79</v>
      </c>
      <c r="R64" s="53">
        <v>4.8499999999999996</v>
      </c>
      <c r="S64" s="53">
        <v>5</v>
      </c>
      <c r="T64" s="148">
        <f>+S64*(+S64/R64)</f>
        <v>5.1546391752577323</v>
      </c>
      <c r="U64" s="148">
        <f>+T64*(+T64/S64)</f>
        <v>5.314061005420343</v>
      </c>
      <c r="V64" s="148">
        <f t="shared" ref="V64:AC64" si="5">+U64*(+U64/T64)</f>
        <v>5.478413407649839</v>
      </c>
      <c r="W64" s="148">
        <f t="shared" si="5"/>
        <v>5.6478488738658141</v>
      </c>
      <c r="X64" s="148">
        <f t="shared" si="5"/>
        <v>5.8225246122327983</v>
      </c>
      <c r="Y64" s="148">
        <f t="shared" si="5"/>
        <v>6.0026026930235039</v>
      </c>
      <c r="Z64" s="148">
        <f t="shared" si="5"/>
        <v>6.1882501989933036</v>
      </c>
      <c r="AA64" s="148">
        <f t="shared" si="5"/>
        <v>6.3796393804054681</v>
      </c>
      <c r="AB64" s="148">
        <f t="shared" si="5"/>
        <v>6.5769478148509988</v>
      </c>
      <c r="AC64" s="148">
        <f t="shared" si="5"/>
        <v>6.7803585720113393</v>
      </c>
    </row>
    <row r="65" spans="1:246" s="1" customFormat="1" x14ac:dyDescent="0.2">
      <c r="A65" s="63"/>
      <c r="B65" s="63"/>
      <c r="C65" s="63"/>
      <c r="D65" s="63"/>
      <c r="E65" s="63"/>
      <c r="F65" s="63"/>
      <c r="G65" s="5"/>
      <c r="H65" s="12"/>
      <c r="I65" s="232">
        <f>+I64*I161/1000</f>
        <v>33.95046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</row>
    <row r="66" spans="1:246" s="1" customFormat="1" x14ac:dyDescent="0.2">
      <c r="B66" s="384" t="s">
        <v>40</v>
      </c>
      <c r="C66" s="385"/>
      <c r="D66" s="385"/>
      <c r="E66" s="385"/>
      <c r="F66" s="385"/>
      <c r="G66" s="386"/>
    </row>
    <row r="67" spans="1:246" s="1" customFormat="1" x14ac:dyDescent="0.2">
      <c r="A67" s="63"/>
      <c r="B67" s="70" t="s">
        <v>41</v>
      </c>
      <c r="C67" s="71"/>
      <c r="D67" s="71"/>
      <c r="E67" s="71"/>
      <c r="F67" s="71"/>
      <c r="G67" s="65"/>
      <c r="H67" s="45" t="s">
        <v>35</v>
      </c>
      <c r="I67" s="75">
        <v>3.4680833333333339</v>
      </c>
      <c r="J67" s="75">
        <v>2.9536666666666669</v>
      </c>
      <c r="K67" s="75">
        <v>2.7129166666666666</v>
      </c>
      <c r="L67" s="75">
        <v>2.6529166666666666</v>
      </c>
      <c r="M67" s="75">
        <v>2.6429166666666668</v>
      </c>
      <c r="N67" s="75">
        <v>2.6529166666666666</v>
      </c>
      <c r="O67" s="75">
        <v>2.6729166666666671</v>
      </c>
      <c r="P67" s="75">
        <v>2.7429166666666664</v>
      </c>
      <c r="Q67" s="75">
        <v>2.7429166666666664</v>
      </c>
      <c r="R67" s="75">
        <v>2.7929166666666667</v>
      </c>
      <c r="S67" s="75">
        <v>2.8529166666666668</v>
      </c>
      <c r="T67" s="75">
        <v>2.9229166666666671</v>
      </c>
      <c r="U67" s="75">
        <v>3.0029166666666662</v>
      </c>
      <c r="V67" s="75">
        <v>3.092916666666667</v>
      </c>
      <c r="W67" s="75">
        <v>3.1879166666666676</v>
      </c>
      <c r="X67" s="75">
        <v>3.2829166666666669</v>
      </c>
      <c r="Y67" s="75">
        <v>3.3779166666666671</v>
      </c>
      <c r="Z67" s="75">
        <v>3.4729166666666664</v>
      </c>
      <c r="AA67" s="75">
        <v>3.5679166666666671</v>
      </c>
      <c r="AB67" s="75">
        <v>3.6629166666666673</v>
      </c>
      <c r="AC67" s="76">
        <v>4.0190833333333336</v>
      </c>
    </row>
    <row r="68" spans="1:246" s="1" customFormat="1" x14ac:dyDescent="0.2">
      <c r="A68" s="63"/>
      <c r="B68" s="70" t="s">
        <v>43</v>
      </c>
      <c r="C68" s="71"/>
      <c r="D68" s="71"/>
      <c r="E68" s="71"/>
      <c r="F68" s="71"/>
      <c r="G68" s="65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86"/>
    </row>
    <row r="69" spans="1:246" s="1" customFormat="1" x14ac:dyDescent="0.2">
      <c r="A69" s="63"/>
      <c r="B69" s="77"/>
      <c r="C69" s="78" t="s">
        <v>115</v>
      </c>
      <c r="D69" s="78"/>
      <c r="E69" s="78"/>
      <c r="F69" s="78"/>
      <c r="G69" s="66"/>
      <c r="H69" s="39" t="s">
        <v>35</v>
      </c>
      <c r="I69" s="80">
        <v>0.43895833333333334</v>
      </c>
      <c r="J69" s="80">
        <v>0.43541666666666656</v>
      </c>
      <c r="K69" s="80">
        <v>0.43937500000000002</v>
      </c>
      <c r="L69" s="80">
        <v>0.44354166666666667</v>
      </c>
      <c r="M69" s="80">
        <v>0.44770833333333332</v>
      </c>
      <c r="N69" s="80">
        <v>0.450625</v>
      </c>
      <c r="O69" s="80">
        <v>0.450625</v>
      </c>
      <c r="P69" s="80">
        <v>0.450625</v>
      </c>
      <c r="Q69" s="80">
        <v>0.450625</v>
      </c>
      <c r="R69" s="80">
        <v>0.450625</v>
      </c>
      <c r="S69" s="80">
        <v>0.450625</v>
      </c>
      <c r="T69" s="80">
        <v>0.43874999999999997</v>
      </c>
      <c r="U69" s="80">
        <v>0.41333333333333333</v>
      </c>
      <c r="V69" s="80">
        <v>0.450625</v>
      </c>
      <c r="W69" s="80">
        <v>0.450625</v>
      </c>
      <c r="X69" s="80">
        <v>0.450625</v>
      </c>
      <c r="Y69" s="80">
        <v>0.450625</v>
      </c>
      <c r="Z69" s="80">
        <v>0.450625</v>
      </c>
      <c r="AA69" s="80">
        <v>0.450625</v>
      </c>
      <c r="AB69" s="80">
        <v>0.450625</v>
      </c>
      <c r="AC69" s="81">
        <v>0.450625</v>
      </c>
    </row>
    <row r="70" spans="1:246" s="1" customFormat="1" x14ac:dyDescent="0.2">
      <c r="A70" s="63"/>
      <c r="B70" s="77"/>
      <c r="C70" s="78" t="s">
        <v>116</v>
      </c>
      <c r="D70" s="78"/>
      <c r="E70" s="78"/>
      <c r="F70" s="78"/>
      <c r="G70" s="66"/>
      <c r="H70" s="39" t="s">
        <v>35</v>
      </c>
      <c r="I70" s="80">
        <v>0.10854166666666666</v>
      </c>
      <c r="J70" s="80">
        <v>0.11020833333333334</v>
      </c>
      <c r="K70" s="80">
        <v>0.11020833333333334</v>
      </c>
      <c r="L70" s="80">
        <v>0.11020833333333334</v>
      </c>
      <c r="M70" s="80">
        <v>0.11020833333333334</v>
      </c>
      <c r="N70" s="80">
        <v>0.11020833333333334</v>
      </c>
      <c r="O70" s="80">
        <v>0.11020833333333334</v>
      </c>
      <c r="P70" s="80">
        <v>0.11020833333333334</v>
      </c>
      <c r="Q70" s="80">
        <v>0.11020833333333334</v>
      </c>
      <c r="R70" s="80">
        <v>0.11020833333333334</v>
      </c>
      <c r="S70" s="80">
        <v>0.11020833333333334</v>
      </c>
      <c r="T70" s="80">
        <v>0.11020833333333334</v>
      </c>
      <c r="U70" s="80">
        <v>0.11020833333333334</v>
      </c>
      <c r="V70" s="80">
        <v>0.11020833333333334</v>
      </c>
      <c r="W70" s="80">
        <v>0.11020833333333334</v>
      </c>
      <c r="X70" s="80">
        <v>0.11020833333333334</v>
      </c>
      <c r="Y70" s="80">
        <v>0.11020833333333334</v>
      </c>
      <c r="Z70" s="80">
        <v>0.11020833333333334</v>
      </c>
      <c r="AA70" s="80">
        <v>0.11020833333333334</v>
      </c>
      <c r="AB70" s="80">
        <v>0.11020833333333334</v>
      </c>
      <c r="AC70" s="81">
        <v>0.11020833333333334</v>
      </c>
    </row>
    <row r="71" spans="1:246" s="1" customFormat="1" x14ac:dyDescent="0.2">
      <c r="A71" s="6"/>
      <c r="B71" s="49"/>
      <c r="C71" s="50" t="s">
        <v>42</v>
      </c>
      <c r="D71" s="50"/>
      <c r="E71" s="50"/>
      <c r="F71" s="50"/>
      <c r="G71" s="66"/>
      <c r="H71" s="39" t="s">
        <v>35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4">
        <v>0</v>
      </c>
      <c r="T71" s="64">
        <v>0</v>
      </c>
      <c r="U71" s="64">
        <v>0</v>
      </c>
      <c r="V71" s="64">
        <v>0</v>
      </c>
      <c r="W71" s="64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</row>
    <row r="72" spans="1:246" s="1" customFormat="1" x14ac:dyDescent="0.2">
      <c r="A72" s="6"/>
      <c r="B72" s="51"/>
      <c r="C72" s="52" t="s">
        <v>51</v>
      </c>
      <c r="D72" s="52"/>
      <c r="E72" s="52"/>
      <c r="F72" s="52"/>
      <c r="G72" s="67"/>
      <c r="H72" s="152" t="s">
        <v>35</v>
      </c>
      <c r="I72" s="18">
        <f t="shared" ref="I72:AC72" si="6">I$67+SUM(I69:I71)</f>
        <v>4.0155833333333337</v>
      </c>
      <c r="J72" s="18">
        <f t="shared" si="6"/>
        <v>3.4992916666666667</v>
      </c>
      <c r="K72" s="18">
        <f t="shared" si="6"/>
        <v>3.2625000000000002</v>
      </c>
      <c r="L72" s="18">
        <f t="shared" si="6"/>
        <v>3.2066666666666666</v>
      </c>
      <c r="M72" s="18">
        <f t="shared" si="6"/>
        <v>3.2008333333333336</v>
      </c>
      <c r="N72" s="18">
        <f t="shared" si="6"/>
        <v>3.2137500000000001</v>
      </c>
      <c r="O72" s="18">
        <f t="shared" si="6"/>
        <v>3.2337500000000006</v>
      </c>
      <c r="P72" s="18">
        <f t="shared" si="6"/>
        <v>3.30375</v>
      </c>
      <c r="Q72" s="18">
        <f t="shared" si="6"/>
        <v>3.30375</v>
      </c>
      <c r="R72" s="18">
        <f t="shared" si="6"/>
        <v>3.3537499999999998</v>
      </c>
      <c r="S72" s="18">
        <f t="shared" si="6"/>
        <v>3.4137500000000003</v>
      </c>
      <c r="T72" s="18">
        <f t="shared" si="6"/>
        <v>3.4718750000000003</v>
      </c>
      <c r="U72" s="18">
        <f t="shared" si="6"/>
        <v>3.5264583333333328</v>
      </c>
      <c r="V72" s="18">
        <f t="shared" si="6"/>
        <v>3.6537500000000005</v>
      </c>
      <c r="W72" s="18">
        <f t="shared" si="6"/>
        <v>3.7487500000000011</v>
      </c>
      <c r="X72" s="18">
        <f t="shared" si="6"/>
        <v>3.84375</v>
      </c>
      <c r="Y72" s="18">
        <f t="shared" si="6"/>
        <v>3.9387500000000006</v>
      </c>
      <c r="Z72" s="18">
        <f t="shared" si="6"/>
        <v>4.0337499999999995</v>
      </c>
      <c r="AA72" s="18">
        <f t="shared" si="6"/>
        <v>4.1287500000000001</v>
      </c>
      <c r="AB72" s="18">
        <f t="shared" si="6"/>
        <v>4.2237500000000008</v>
      </c>
      <c r="AC72" s="83">
        <f t="shared" si="6"/>
        <v>4.5799166666666666</v>
      </c>
    </row>
    <row r="73" spans="1:246" s="1" customFormat="1" x14ac:dyDescent="0.2">
      <c r="A73" s="6"/>
      <c r="B73" s="77" t="s">
        <v>39</v>
      </c>
      <c r="C73" s="78"/>
      <c r="D73" s="78"/>
      <c r="E73" s="78"/>
      <c r="F73" s="78"/>
      <c r="G73" s="66"/>
      <c r="H73" s="39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79"/>
    </row>
    <row r="74" spans="1:246" s="1" customFormat="1" x14ac:dyDescent="0.2">
      <c r="A74" s="6"/>
      <c r="B74" s="77"/>
      <c r="C74" s="78" t="s">
        <v>117</v>
      </c>
      <c r="D74" s="78"/>
      <c r="E74" s="78"/>
      <c r="F74" s="78"/>
      <c r="G74" s="66"/>
      <c r="H74" s="39" t="s">
        <v>35</v>
      </c>
      <c r="I74" s="80">
        <v>0.63833333333333353</v>
      </c>
      <c r="J74" s="80">
        <v>0.62250000000000005</v>
      </c>
      <c r="K74" s="80">
        <v>0.60458333333333336</v>
      </c>
      <c r="L74" s="80">
        <v>0.61520833333333347</v>
      </c>
      <c r="M74" s="80">
        <v>0.61937500000000001</v>
      </c>
      <c r="N74" s="80">
        <v>0.6222916666666668</v>
      </c>
      <c r="O74" s="80">
        <v>0.6222916666666668</v>
      </c>
      <c r="P74" s="80">
        <v>0.6222916666666668</v>
      </c>
      <c r="Q74" s="80">
        <v>0.6222916666666668</v>
      </c>
      <c r="R74" s="80">
        <v>0.6222916666666668</v>
      </c>
      <c r="S74" s="80">
        <v>0.6222916666666668</v>
      </c>
      <c r="T74" s="80">
        <v>0.6222916666666668</v>
      </c>
      <c r="U74" s="80">
        <v>0.6222916666666668</v>
      </c>
      <c r="V74" s="80">
        <v>0.6222916666666668</v>
      </c>
      <c r="W74" s="80">
        <v>0.6222916666666668</v>
      </c>
      <c r="X74" s="80">
        <v>0.6222916666666668</v>
      </c>
      <c r="Y74" s="80">
        <v>0.6222916666666668</v>
      </c>
      <c r="Z74" s="80">
        <v>0.6222916666666668</v>
      </c>
      <c r="AA74" s="80">
        <v>0.6222916666666668</v>
      </c>
      <c r="AB74" s="80">
        <v>0.6222916666666668</v>
      </c>
      <c r="AC74" s="81">
        <v>0.6222916666666668</v>
      </c>
    </row>
    <row r="75" spans="1:246" s="1" customFormat="1" x14ac:dyDescent="0.2">
      <c r="A75" s="6"/>
      <c r="B75" s="77"/>
      <c r="C75" s="78" t="s">
        <v>118</v>
      </c>
      <c r="D75" s="78"/>
      <c r="E75" s="78"/>
      <c r="F75" s="78"/>
      <c r="G75" s="66"/>
      <c r="H75" s="39" t="s">
        <v>35</v>
      </c>
      <c r="I75" s="80">
        <v>3.875E-2</v>
      </c>
      <c r="J75" s="80">
        <v>3.875E-2</v>
      </c>
      <c r="K75" s="80">
        <v>3.875E-2</v>
      </c>
      <c r="L75" s="80">
        <v>3.875E-2</v>
      </c>
      <c r="M75" s="80">
        <v>3.875E-2</v>
      </c>
      <c r="N75" s="80">
        <v>3.875E-2</v>
      </c>
      <c r="O75" s="80">
        <v>3.875E-2</v>
      </c>
      <c r="P75" s="80">
        <v>3.875E-2</v>
      </c>
      <c r="Q75" s="80">
        <v>3.875E-2</v>
      </c>
      <c r="R75" s="80">
        <v>3.875E-2</v>
      </c>
      <c r="S75" s="80">
        <v>3.875E-2</v>
      </c>
      <c r="T75" s="80">
        <v>3.875E-2</v>
      </c>
      <c r="U75" s="80">
        <v>3.875E-2</v>
      </c>
      <c r="V75" s="80">
        <v>3.875E-2</v>
      </c>
      <c r="W75" s="80">
        <v>3.875E-2</v>
      </c>
      <c r="X75" s="80">
        <v>3.875E-2</v>
      </c>
      <c r="Y75" s="80">
        <v>3.875E-2</v>
      </c>
      <c r="Z75" s="80">
        <v>3.875E-2</v>
      </c>
      <c r="AA75" s="80">
        <v>3.875E-2</v>
      </c>
      <c r="AB75" s="80">
        <v>3.875E-2</v>
      </c>
      <c r="AC75" s="81">
        <v>3.875E-2</v>
      </c>
    </row>
    <row r="76" spans="1:246" s="1" customFormat="1" x14ac:dyDescent="0.2">
      <c r="A76" s="6"/>
      <c r="B76" s="49"/>
      <c r="C76" s="50" t="s">
        <v>42</v>
      </c>
      <c r="D76" s="50"/>
      <c r="E76" s="50"/>
      <c r="F76" s="50"/>
      <c r="G76" s="66"/>
      <c r="H76" s="39" t="s">
        <v>35</v>
      </c>
      <c r="I76" s="64">
        <v>0.3</v>
      </c>
      <c r="J76" s="64">
        <v>0.3</v>
      </c>
      <c r="K76" s="64">
        <v>0.3</v>
      </c>
      <c r="L76" s="64">
        <v>0.3</v>
      </c>
      <c r="M76" s="64">
        <v>0.3</v>
      </c>
      <c r="N76" s="64">
        <v>0.3</v>
      </c>
      <c r="O76" s="64">
        <v>0.3</v>
      </c>
      <c r="P76" s="64">
        <v>0.3</v>
      </c>
      <c r="Q76" s="64">
        <v>0.3</v>
      </c>
      <c r="R76" s="64">
        <v>0.3</v>
      </c>
      <c r="S76" s="64">
        <v>0.3</v>
      </c>
      <c r="T76" s="64">
        <v>0.3</v>
      </c>
      <c r="U76" s="64">
        <v>0.3</v>
      </c>
      <c r="V76" s="64">
        <v>0.3</v>
      </c>
      <c r="W76" s="64">
        <v>0.3</v>
      </c>
      <c r="X76" s="64">
        <v>0.3</v>
      </c>
      <c r="Y76" s="64">
        <v>0.3</v>
      </c>
      <c r="Z76" s="64">
        <v>0.3</v>
      </c>
      <c r="AA76" s="64">
        <v>0.3</v>
      </c>
      <c r="AB76" s="64">
        <v>0.3</v>
      </c>
      <c r="AC76" s="82">
        <v>0.3</v>
      </c>
    </row>
    <row r="77" spans="1:246" s="1" customFormat="1" x14ac:dyDescent="0.2">
      <c r="A77" s="6"/>
      <c r="B77" s="51"/>
      <c r="C77" s="52" t="s">
        <v>52</v>
      </c>
      <c r="D77" s="52"/>
      <c r="E77" s="52"/>
      <c r="F77" s="52"/>
      <c r="G77" s="67"/>
      <c r="H77" s="152" t="s">
        <v>35</v>
      </c>
      <c r="I77" s="18">
        <f t="shared" ref="I77:AC77" si="7">I$67+SUM(I74:I76)</f>
        <v>4.4451666666666672</v>
      </c>
      <c r="J77" s="18">
        <f t="shared" si="7"/>
        <v>3.9149166666666666</v>
      </c>
      <c r="K77" s="18">
        <f t="shared" si="7"/>
        <v>3.65625</v>
      </c>
      <c r="L77" s="18">
        <f t="shared" si="7"/>
        <v>3.6068750000000001</v>
      </c>
      <c r="M77" s="18">
        <f t="shared" si="7"/>
        <v>3.6010416666666667</v>
      </c>
      <c r="N77" s="18">
        <f t="shared" si="7"/>
        <v>3.6139583333333336</v>
      </c>
      <c r="O77" s="18">
        <f t="shared" si="7"/>
        <v>3.6339583333333341</v>
      </c>
      <c r="P77" s="18">
        <f t="shared" si="7"/>
        <v>3.7039583333333335</v>
      </c>
      <c r="Q77" s="18">
        <f t="shared" si="7"/>
        <v>3.7039583333333335</v>
      </c>
      <c r="R77" s="18">
        <f t="shared" si="7"/>
        <v>3.7539583333333333</v>
      </c>
      <c r="S77" s="18">
        <f t="shared" si="7"/>
        <v>3.8139583333333338</v>
      </c>
      <c r="T77" s="18">
        <f t="shared" si="7"/>
        <v>3.8839583333333341</v>
      </c>
      <c r="U77" s="18">
        <f t="shared" si="7"/>
        <v>3.9639583333333333</v>
      </c>
      <c r="V77" s="18">
        <f t="shared" si="7"/>
        <v>4.053958333333334</v>
      </c>
      <c r="W77" s="18">
        <f t="shared" si="7"/>
        <v>4.1489583333333346</v>
      </c>
      <c r="X77" s="18">
        <f t="shared" si="7"/>
        <v>4.2439583333333335</v>
      </c>
      <c r="Y77" s="18">
        <f t="shared" si="7"/>
        <v>4.3389583333333341</v>
      </c>
      <c r="Z77" s="18">
        <f t="shared" si="7"/>
        <v>4.433958333333333</v>
      </c>
      <c r="AA77" s="18">
        <f t="shared" si="7"/>
        <v>4.5289583333333336</v>
      </c>
      <c r="AB77" s="18">
        <f t="shared" si="7"/>
        <v>4.6239583333333343</v>
      </c>
      <c r="AC77" s="83">
        <f t="shared" si="7"/>
        <v>4.9801250000000001</v>
      </c>
    </row>
    <row r="78" spans="1:246" s="1" customFormat="1" x14ac:dyDescent="0.2">
      <c r="A78" s="6"/>
      <c r="B78" s="6"/>
      <c r="C78" s="6"/>
      <c r="D78" s="6"/>
      <c r="E78" s="6"/>
      <c r="F78" s="6"/>
      <c r="G78" s="5"/>
    </row>
    <row r="79" spans="1:246" s="1" customFormat="1" x14ac:dyDescent="0.2">
      <c r="A79" s="6"/>
      <c r="B79" s="130" t="s">
        <v>363</v>
      </c>
      <c r="C79" s="335"/>
      <c r="D79" s="335"/>
      <c r="E79" s="335"/>
      <c r="F79" s="335"/>
      <c r="G79" s="69"/>
    </row>
    <row r="80" spans="1:246" s="1" customFormat="1" x14ac:dyDescent="0.2">
      <c r="B80" s="336" t="s">
        <v>2</v>
      </c>
      <c r="C80" s="37"/>
      <c r="D80" s="37"/>
      <c r="E80" s="37"/>
      <c r="F80" s="37"/>
      <c r="G80" s="337"/>
      <c r="I80" s="338">
        <v>3.56</v>
      </c>
      <c r="J80" s="339">
        <v>3.56</v>
      </c>
      <c r="K80" s="339">
        <v>3.56</v>
      </c>
      <c r="L80" s="339">
        <v>3.56</v>
      </c>
      <c r="M80" s="339">
        <v>3.56</v>
      </c>
      <c r="N80" s="339">
        <v>3.56</v>
      </c>
      <c r="O80" s="339">
        <v>3.56</v>
      </c>
      <c r="P80" s="339">
        <v>3.56</v>
      </c>
      <c r="Q80" s="339">
        <v>3.56</v>
      </c>
      <c r="R80" s="339">
        <v>3.56</v>
      </c>
      <c r="S80" s="339">
        <v>3.56</v>
      </c>
      <c r="T80" s="339">
        <v>3.56</v>
      </c>
      <c r="U80" s="339">
        <v>3.56</v>
      </c>
      <c r="V80" s="339"/>
      <c r="W80" s="339"/>
      <c r="X80" s="339"/>
      <c r="Y80" s="339"/>
      <c r="Z80" s="339"/>
      <c r="AA80" s="339"/>
      <c r="AB80" s="339"/>
      <c r="AC80" s="340"/>
    </row>
    <row r="81" spans="1:29" s="1" customFormat="1" x14ac:dyDescent="0.2">
      <c r="A81" s="6"/>
      <c r="B81" s="341" t="s">
        <v>53</v>
      </c>
      <c r="C81" s="335"/>
      <c r="D81" s="335"/>
      <c r="E81" s="335"/>
      <c r="F81" s="335"/>
      <c r="G81" s="69"/>
      <c r="I81" s="338">
        <v>3.82</v>
      </c>
      <c r="J81" s="339">
        <v>3.82</v>
      </c>
      <c r="K81" s="339">
        <v>3.82</v>
      </c>
      <c r="L81" s="339">
        <v>3.82</v>
      </c>
      <c r="M81" s="339">
        <v>3.82</v>
      </c>
      <c r="N81" s="339">
        <v>3.82</v>
      </c>
      <c r="O81" s="339">
        <v>3.82</v>
      </c>
      <c r="P81" s="339">
        <v>3.82</v>
      </c>
      <c r="Q81" s="339">
        <v>3.82</v>
      </c>
      <c r="R81" s="339">
        <v>3.82</v>
      </c>
      <c r="S81" s="339">
        <v>3.82</v>
      </c>
      <c r="T81" s="339">
        <v>3.82</v>
      </c>
      <c r="U81" s="339">
        <v>3.82</v>
      </c>
      <c r="V81" s="339"/>
      <c r="W81" s="339"/>
      <c r="X81" s="339"/>
      <c r="Y81" s="339"/>
      <c r="Z81" s="339"/>
      <c r="AA81" s="339"/>
      <c r="AB81" s="339"/>
      <c r="AC81" s="340"/>
    </row>
    <row r="82" spans="1:29" s="1" customFormat="1" x14ac:dyDescent="0.2">
      <c r="A82" s="6"/>
      <c r="B82" s="50"/>
      <c r="C82" s="50"/>
      <c r="D82" s="50"/>
      <c r="E82" s="50"/>
      <c r="F82" s="50"/>
      <c r="G82" s="27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s="26" customFormat="1" ht="18" x14ac:dyDescent="0.25">
      <c r="A83" s="94" t="s">
        <v>2</v>
      </c>
      <c r="B83" s="5"/>
      <c r="C83" s="5"/>
      <c r="D83" s="5"/>
      <c r="E83" s="5"/>
      <c r="F83" s="5"/>
      <c r="G83" s="5"/>
      <c r="H83" s="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</row>
    <row r="84" spans="1:29" s="1" customFormat="1" x14ac:dyDescent="0.2">
      <c r="A84" s="5"/>
      <c r="B84" s="5"/>
      <c r="C84" s="5"/>
      <c r="D84" s="5"/>
      <c r="E84" s="5"/>
      <c r="F84" s="5"/>
      <c r="G84" s="5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</row>
    <row r="85" spans="1:29" s="1" customFormat="1" ht="15" x14ac:dyDescent="0.35">
      <c r="A85" s="5"/>
      <c r="B85" s="358" t="s">
        <v>67</v>
      </c>
      <c r="C85" s="358"/>
      <c r="D85" s="358"/>
      <c r="E85" s="358"/>
      <c r="F85" s="358"/>
      <c r="G85" s="358"/>
    </row>
    <row r="86" spans="1:29" s="1" customFormat="1" x14ac:dyDescent="0.2">
      <c r="A86" s="5"/>
      <c r="B86" s="5"/>
      <c r="C86" s="5"/>
      <c r="D86" s="5"/>
      <c r="E86" s="5"/>
      <c r="F86" s="5"/>
      <c r="G86" s="5"/>
    </row>
    <row r="87" spans="1:29" s="1" customFormat="1" x14ac:dyDescent="0.2">
      <c r="A87" s="5"/>
      <c r="B87" s="5" t="s">
        <v>87</v>
      </c>
      <c r="C87" s="5"/>
      <c r="D87" s="5"/>
      <c r="E87" s="5"/>
      <c r="F87" s="5"/>
      <c r="G87" s="5"/>
      <c r="H87" s="12" t="s">
        <v>6</v>
      </c>
      <c r="I87" s="8">
        <v>290</v>
      </c>
      <c r="J87" s="8">
        <f>I87</f>
        <v>290</v>
      </c>
      <c r="K87" s="8">
        <v>290</v>
      </c>
      <c r="L87" s="8">
        <v>290</v>
      </c>
      <c r="M87" s="8">
        <v>290</v>
      </c>
      <c r="N87" s="8">
        <v>290</v>
      </c>
      <c r="O87" s="8">
        <v>290</v>
      </c>
      <c r="P87" s="8">
        <v>290</v>
      </c>
      <c r="Q87" s="8">
        <v>290</v>
      </c>
      <c r="R87" s="8">
        <v>290</v>
      </c>
      <c r="S87" s="8">
        <v>264.8</v>
      </c>
      <c r="T87" s="119">
        <f>290-84</f>
        <v>206</v>
      </c>
      <c r="U87" s="119">
        <f>290-84</f>
        <v>206</v>
      </c>
      <c r="V87" s="119">
        <f>290-84</f>
        <v>206</v>
      </c>
      <c r="W87" s="119">
        <f>290-84</f>
        <v>206</v>
      </c>
      <c r="X87" s="119">
        <f>290-84</f>
        <v>206</v>
      </c>
      <c r="Y87" s="119">
        <f>290-265</f>
        <v>25</v>
      </c>
      <c r="Z87" s="119">
        <f>290-265</f>
        <v>25</v>
      </c>
      <c r="AA87" s="119">
        <f>290-265</f>
        <v>25</v>
      </c>
      <c r="AB87" s="119">
        <f>290-265</f>
        <v>25</v>
      </c>
      <c r="AC87" s="119">
        <f>290-265</f>
        <v>25</v>
      </c>
    </row>
    <row r="88" spans="1:29" s="1" customFormat="1" x14ac:dyDescent="0.2">
      <c r="A88" s="5"/>
      <c r="B88" s="5"/>
      <c r="C88" s="5"/>
      <c r="D88" s="5"/>
      <c r="E88" s="5"/>
      <c r="F88" s="5"/>
      <c r="G88" s="5"/>
      <c r="H88" s="1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s="1" customFormat="1" x14ac:dyDescent="0.2">
      <c r="A89" s="5"/>
      <c r="B89" s="5" t="s">
        <v>19</v>
      </c>
      <c r="C89" s="5"/>
      <c r="D89" s="5"/>
      <c r="E89" s="5"/>
      <c r="F89" s="5"/>
      <c r="G89" s="5"/>
      <c r="H89" s="12" t="s">
        <v>20</v>
      </c>
      <c r="I89" s="8">
        <v>8325</v>
      </c>
      <c r="J89" s="8">
        <v>8380</v>
      </c>
      <c r="K89" s="8">
        <v>8229</v>
      </c>
      <c r="L89" s="8">
        <v>8283</v>
      </c>
      <c r="M89" s="8">
        <v>8339</v>
      </c>
      <c r="N89" s="8">
        <v>8270</v>
      </c>
      <c r="O89" s="8">
        <v>8325</v>
      </c>
      <c r="P89" s="8">
        <v>8380</v>
      </c>
      <c r="Q89" s="8">
        <v>8229</v>
      </c>
      <c r="R89" s="8">
        <v>8283</v>
      </c>
      <c r="S89" s="8">
        <v>8339</v>
      </c>
      <c r="T89" s="14">
        <f>N89+950</f>
        <v>9220</v>
      </c>
      <c r="U89" s="14">
        <f t="shared" ref="U89:AC89" si="8">O89+950</f>
        <v>9275</v>
      </c>
      <c r="V89" s="14">
        <f t="shared" si="8"/>
        <v>9330</v>
      </c>
      <c r="W89" s="14">
        <f t="shared" si="8"/>
        <v>9179</v>
      </c>
      <c r="X89" s="14">
        <f t="shared" si="8"/>
        <v>9233</v>
      </c>
      <c r="Y89" s="14">
        <f t="shared" si="8"/>
        <v>9289</v>
      </c>
      <c r="Z89" s="14">
        <f t="shared" si="8"/>
        <v>10170</v>
      </c>
      <c r="AA89" s="14">
        <f t="shared" si="8"/>
        <v>10225</v>
      </c>
      <c r="AB89" s="14">
        <f t="shared" si="8"/>
        <v>10280</v>
      </c>
      <c r="AC89" s="14">
        <f t="shared" si="8"/>
        <v>10129</v>
      </c>
    </row>
    <row r="90" spans="1:29" s="1" customFormat="1" x14ac:dyDescent="0.2">
      <c r="A90" s="5"/>
      <c r="B90" s="5"/>
      <c r="C90" s="5"/>
      <c r="D90" s="5"/>
      <c r="E90" s="5"/>
      <c r="F90" s="5"/>
      <c r="G90" s="5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s="19" customFormat="1" x14ac:dyDescent="0.2">
      <c r="A91" s="5"/>
      <c r="B91" s="5" t="s">
        <v>304</v>
      </c>
      <c r="C91" s="5"/>
      <c r="D91" s="5"/>
      <c r="E91" s="5"/>
      <c r="F91" s="5"/>
      <c r="G91" s="5"/>
      <c r="H91" s="12"/>
      <c r="I91" s="298">
        <v>0.95650000000000002</v>
      </c>
      <c r="J91" s="298">
        <v>0.89149999999999996</v>
      </c>
      <c r="K91" s="298">
        <v>0.96150000000000002</v>
      </c>
      <c r="L91" s="298">
        <v>0.93149999999999999</v>
      </c>
      <c r="M91" s="298">
        <v>0.95650000000000002</v>
      </c>
      <c r="N91" s="298">
        <v>0.96150000000000002</v>
      </c>
      <c r="O91" s="298">
        <v>0.95650000000000002</v>
      </c>
      <c r="P91" s="298">
        <v>0.89149999999999996</v>
      </c>
      <c r="Q91" s="298">
        <v>0.96150000000000002</v>
      </c>
      <c r="R91" s="298">
        <v>0.93149999999999999</v>
      </c>
      <c r="S91" s="298">
        <v>0.95650000000000002</v>
      </c>
      <c r="T91" s="299">
        <v>0.96150000000000002</v>
      </c>
      <c r="U91" s="299">
        <v>0.95650000000000002</v>
      </c>
      <c r="V91" s="299">
        <v>0.89149999999999996</v>
      </c>
      <c r="W91" s="299">
        <v>0.96150000000000002</v>
      </c>
      <c r="X91" s="299">
        <v>0.93149999999999999</v>
      </c>
      <c r="Y91" s="299">
        <v>0.95650000000000002</v>
      </c>
      <c r="Z91" s="299">
        <v>0.96150000000000002</v>
      </c>
      <c r="AA91" s="299">
        <v>0.95650000000000002</v>
      </c>
      <c r="AB91" s="299">
        <v>0.89149999999999996</v>
      </c>
      <c r="AC91" s="299">
        <v>0.96150000000000002</v>
      </c>
    </row>
    <row r="92" spans="1:29" s="1" customFormat="1" x14ac:dyDescent="0.2">
      <c r="A92" s="5"/>
    </row>
    <row r="93" spans="1:29" s="1" customFormat="1" x14ac:dyDescent="0.2">
      <c r="A93" s="5"/>
      <c r="B93" s="5" t="s">
        <v>8</v>
      </c>
      <c r="C93" s="5"/>
      <c r="D93" s="5"/>
      <c r="E93" s="5"/>
      <c r="F93" s="5"/>
      <c r="G93" s="5"/>
    </row>
    <row r="94" spans="1:29" s="1" customFormat="1" x14ac:dyDescent="0.2">
      <c r="A94" s="5"/>
      <c r="B94" s="5"/>
      <c r="C94" s="6" t="s">
        <v>9</v>
      </c>
      <c r="D94" s="6"/>
      <c r="E94" s="5"/>
      <c r="F94" s="5"/>
      <c r="G94" s="5"/>
      <c r="H94" s="12" t="s">
        <v>7</v>
      </c>
      <c r="I94" s="8">
        <v>1127000</v>
      </c>
      <c r="J94" s="8">
        <v>1051000</v>
      </c>
      <c r="K94" s="8">
        <v>1133000</v>
      </c>
      <c r="L94" s="8">
        <v>1098000</v>
      </c>
      <c r="M94" s="8">
        <v>1127000</v>
      </c>
      <c r="N94" s="8">
        <v>1133000</v>
      </c>
      <c r="O94" s="8">
        <v>1127000</v>
      </c>
      <c r="P94" s="8">
        <v>1051000</v>
      </c>
      <c r="Q94" s="8">
        <v>1133000</v>
      </c>
      <c r="R94" s="8">
        <v>1098000</v>
      </c>
      <c r="S94" s="8">
        <v>1127000</v>
      </c>
      <c r="T94" s="14">
        <v>1133000</v>
      </c>
      <c r="U94" s="14">
        <v>1127000</v>
      </c>
      <c r="V94" s="14">
        <v>1051000</v>
      </c>
      <c r="W94" s="14">
        <v>1133000</v>
      </c>
      <c r="X94" s="14">
        <f>1098000*9/12</f>
        <v>823500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</row>
    <row r="95" spans="1:29" s="1" customFormat="1" x14ac:dyDescent="0.2">
      <c r="A95" s="5"/>
      <c r="B95" s="5"/>
      <c r="C95" s="6" t="s">
        <v>10</v>
      </c>
      <c r="D95" s="6"/>
      <c r="E95" s="5"/>
      <c r="F95" s="5"/>
      <c r="G95" s="5"/>
      <c r="H95" s="12" t="s">
        <v>7</v>
      </c>
      <c r="I95" s="8">
        <v>701000</v>
      </c>
      <c r="J95" s="8">
        <v>654000</v>
      </c>
      <c r="K95" s="8">
        <v>705000</v>
      </c>
      <c r="L95" s="8">
        <v>683000</v>
      </c>
      <c r="M95" s="8">
        <v>701000</v>
      </c>
      <c r="N95" s="8">
        <v>705000</v>
      </c>
      <c r="O95" s="8">
        <v>701000</v>
      </c>
      <c r="P95" s="8">
        <v>654000</v>
      </c>
      <c r="Q95" s="8">
        <v>705000</v>
      </c>
      <c r="R95" s="8">
        <v>683000</v>
      </c>
      <c r="S95" s="8">
        <v>498000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</row>
    <row r="96" spans="1:29" s="1" customFormat="1" x14ac:dyDescent="0.2">
      <c r="A96" s="5"/>
      <c r="B96" s="5"/>
      <c r="C96" s="6" t="s">
        <v>11</v>
      </c>
      <c r="D96" s="6"/>
      <c r="E96" s="5"/>
      <c r="F96" s="5"/>
      <c r="G96" s="5"/>
      <c r="H96" s="12" t="s">
        <v>7</v>
      </c>
      <c r="I96" s="8">
        <v>207000</v>
      </c>
      <c r="J96" s="8">
        <v>193000</v>
      </c>
      <c r="K96" s="8">
        <v>208000</v>
      </c>
      <c r="L96" s="8">
        <v>202000</v>
      </c>
      <c r="M96" s="8">
        <v>207000</v>
      </c>
      <c r="N96" s="8">
        <v>208000</v>
      </c>
      <c r="O96" s="8">
        <v>207000</v>
      </c>
      <c r="P96" s="8">
        <v>193000</v>
      </c>
      <c r="Q96" s="8">
        <v>208000</v>
      </c>
      <c r="R96" s="8">
        <v>202000</v>
      </c>
      <c r="S96" s="8">
        <v>207000</v>
      </c>
      <c r="T96" s="14">
        <v>208000</v>
      </c>
      <c r="U96" s="14">
        <v>207000</v>
      </c>
      <c r="V96" s="14">
        <v>193000</v>
      </c>
      <c r="W96" s="14">
        <v>208000</v>
      </c>
      <c r="X96" s="14">
        <f>202000*9/12</f>
        <v>151500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</row>
    <row r="97" spans="1:246" s="1" customFormat="1" x14ac:dyDescent="0.2">
      <c r="A97" s="5"/>
      <c r="B97" s="5"/>
      <c r="C97" s="6" t="s">
        <v>12</v>
      </c>
      <c r="D97" s="6"/>
      <c r="E97" s="5"/>
      <c r="F97" s="5"/>
      <c r="G97" s="5"/>
      <c r="H97" s="12" t="s">
        <v>7</v>
      </c>
      <c r="I97" s="8">
        <v>174000</v>
      </c>
      <c r="J97" s="8">
        <v>162000</v>
      </c>
      <c r="K97" s="8">
        <v>175000</v>
      </c>
      <c r="L97" s="8">
        <v>170000</v>
      </c>
      <c r="M97" s="8">
        <v>174000</v>
      </c>
      <c r="N97" s="8">
        <v>175000</v>
      </c>
      <c r="O97" s="8">
        <v>174000</v>
      </c>
      <c r="P97" s="8">
        <v>162000</v>
      </c>
      <c r="Q97" s="8">
        <v>175000</v>
      </c>
      <c r="R97" s="8">
        <v>170000</v>
      </c>
      <c r="S97" s="8">
        <v>174000</v>
      </c>
      <c r="T97" s="14">
        <v>175000</v>
      </c>
      <c r="U97" s="14">
        <v>174000</v>
      </c>
      <c r="V97" s="14">
        <v>162000</v>
      </c>
      <c r="W97" s="14">
        <v>175000</v>
      </c>
      <c r="X97" s="14">
        <f>170000*9/12</f>
        <v>127500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</row>
    <row r="98" spans="1:246" s="1" customFormat="1" x14ac:dyDescent="0.2">
      <c r="A98" s="5"/>
      <c r="B98" s="5"/>
      <c r="C98" s="6" t="s">
        <v>13</v>
      </c>
      <c r="D98" s="6"/>
      <c r="E98" s="5"/>
      <c r="F98" s="5"/>
      <c r="G98" s="5"/>
      <c r="H98" s="12" t="s">
        <v>7</v>
      </c>
      <c r="I98" s="9">
        <v>207000</v>
      </c>
      <c r="J98" s="9">
        <v>193000</v>
      </c>
      <c r="K98" s="9">
        <v>208000</v>
      </c>
      <c r="L98" s="9">
        <v>202000</v>
      </c>
      <c r="M98" s="9">
        <v>207000</v>
      </c>
      <c r="N98" s="9">
        <v>208000</v>
      </c>
      <c r="O98" s="9">
        <v>207000</v>
      </c>
      <c r="P98" s="9">
        <v>193000</v>
      </c>
      <c r="Q98" s="9">
        <v>208000</v>
      </c>
      <c r="R98" s="9">
        <v>202000</v>
      </c>
      <c r="S98" s="9">
        <v>207000</v>
      </c>
      <c r="T98" s="15">
        <v>208000</v>
      </c>
      <c r="U98" s="15">
        <v>207000</v>
      </c>
      <c r="V98" s="15">
        <v>193000</v>
      </c>
      <c r="W98" s="15">
        <v>208000</v>
      </c>
      <c r="X98" s="15">
        <v>202000</v>
      </c>
      <c r="Y98" s="15">
        <v>207000</v>
      </c>
      <c r="Z98" s="15">
        <v>207000</v>
      </c>
      <c r="AA98" s="15">
        <v>207000</v>
      </c>
      <c r="AB98" s="15">
        <v>207000</v>
      </c>
      <c r="AC98" s="15">
        <f>207000*9/12</f>
        <v>155250</v>
      </c>
    </row>
    <row r="99" spans="1:246" s="1" customFormat="1" x14ac:dyDescent="0.2">
      <c r="A99" s="5"/>
      <c r="B99" s="5"/>
      <c r="C99" s="5" t="s">
        <v>3</v>
      </c>
      <c r="D99" s="5"/>
      <c r="E99" s="5"/>
      <c r="F99" s="5"/>
      <c r="G99" s="5"/>
      <c r="H99" s="12" t="s">
        <v>7</v>
      </c>
      <c r="I99" s="87">
        <f t="shared" ref="I99:AC99" si="9">SUM(I94:I98)</f>
        <v>2416000</v>
      </c>
      <c r="J99" s="87">
        <f t="shared" si="9"/>
        <v>2253000</v>
      </c>
      <c r="K99" s="87">
        <f t="shared" si="9"/>
        <v>2429000</v>
      </c>
      <c r="L99" s="87">
        <f t="shared" si="9"/>
        <v>2355000</v>
      </c>
      <c r="M99" s="87">
        <f t="shared" si="9"/>
        <v>2416000</v>
      </c>
      <c r="N99" s="87">
        <f t="shared" si="9"/>
        <v>2429000</v>
      </c>
      <c r="O99" s="87">
        <f t="shared" si="9"/>
        <v>2416000</v>
      </c>
      <c r="P99" s="87">
        <f t="shared" si="9"/>
        <v>2253000</v>
      </c>
      <c r="Q99" s="87">
        <f t="shared" si="9"/>
        <v>2429000</v>
      </c>
      <c r="R99" s="87">
        <f t="shared" si="9"/>
        <v>2355000</v>
      </c>
      <c r="S99" s="87">
        <f t="shared" si="9"/>
        <v>2213000</v>
      </c>
      <c r="T99" s="87">
        <f t="shared" si="9"/>
        <v>1724000</v>
      </c>
      <c r="U99" s="87">
        <f t="shared" si="9"/>
        <v>1715000</v>
      </c>
      <c r="V99" s="87">
        <f t="shared" si="9"/>
        <v>1599000</v>
      </c>
      <c r="W99" s="87">
        <f t="shared" si="9"/>
        <v>1724000</v>
      </c>
      <c r="X99" s="87">
        <f t="shared" si="9"/>
        <v>1304500</v>
      </c>
      <c r="Y99" s="87">
        <f t="shared" si="9"/>
        <v>207000</v>
      </c>
      <c r="Z99" s="87">
        <f t="shared" si="9"/>
        <v>207000</v>
      </c>
      <c r="AA99" s="87">
        <f t="shared" si="9"/>
        <v>207000</v>
      </c>
      <c r="AB99" s="87">
        <f t="shared" si="9"/>
        <v>207000</v>
      </c>
      <c r="AC99" s="87">
        <f t="shared" si="9"/>
        <v>155250</v>
      </c>
    </row>
    <row r="100" spans="1:246" s="1" customFormat="1" x14ac:dyDescent="0.2">
      <c r="A100" s="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</row>
    <row r="101" spans="1:246" s="1" customFormat="1" x14ac:dyDescent="0.2">
      <c r="A101" s="5"/>
      <c r="B101" s="5" t="s">
        <v>335</v>
      </c>
      <c r="C101" s="5"/>
      <c r="D101" s="5"/>
      <c r="E101" s="5"/>
      <c r="F101" s="5"/>
      <c r="G101" s="5"/>
      <c r="H101" s="12" t="s">
        <v>6</v>
      </c>
      <c r="I101" s="119">
        <v>10</v>
      </c>
      <c r="J101" s="119">
        <v>10</v>
      </c>
      <c r="K101" s="119">
        <v>10</v>
      </c>
      <c r="L101" s="119">
        <v>10</v>
      </c>
      <c r="M101" s="119">
        <v>10</v>
      </c>
      <c r="N101" s="119">
        <v>10</v>
      </c>
      <c r="O101" s="119">
        <v>10</v>
      </c>
      <c r="P101" s="119">
        <v>10</v>
      </c>
      <c r="Q101" s="119">
        <v>10</v>
      </c>
      <c r="R101" s="119">
        <v>10</v>
      </c>
      <c r="S101" s="119">
        <v>10</v>
      </c>
      <c r="T101" s="119">
        <v>10</v>
      </c>
      <c r="U101" s="119">
        <v>10</v>
      </c>
      <c r="V101" s="119">
        <v>10</v>
      </c>
      <c r="W101" s="119">
        <v>10</v>
      </c>
      <c r="X101" s="119">
        <v>10</v>
      </c>
      <c r="Y101" s="119">
        <v>10</v>
      </c>
      <c r="Z101" s="119">
        <v>10</v>
      </c>
      <c r="AA101" s="119">
        <v>10</v>
      </c>
      <c r="AB101" s="119">
        <v>10</v>
      </c>
      <c r="AC101" s="119">
        <v>10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</row>
    <row r="102" spans="1:246" s="1" customFormat="1" x14ac:dyDescent="0.2">
      <c r="A102" s="5"/>
      <c r="B102" s="5" t="s">
        <v>336</v>
      </c>
      <c r="C102" s="5"/>
      <c r="D102" s="5"/>
      <c r="E102" s="5" t="s">
        <v>207</v>
      </c>
      <c r="F102" s="5">
        <f>F166</f>
        <v>0</v>
      </c>
      <c r="G102" s="5"/>
      <c r="H102" s="12" t="s">
        <v>7</v>
      </c>
      <c r="I102" s="119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>
        <v>0</v>
      </c>
      <c r="V102" s="119">
        <v>0</v>
      </c>
      <c r="W102" s="119">
        <v>0</v>
      </c>
      <c r="X102" s="119">
        <v>0</v>
      </c>
      <c r="Y102" s="119">
        <v>0</v>
      </c>
      <c r="Z102" s="119">
        <v>0</v>
      </c>
      <c r="AA102" s="119">
        <v>0</v>
      </c>
      <c r="AB102" s="119">
        <v>0</v>
      </c>
      <c r="AC102" s="119">
        <v>0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</row>
    <row r="103" spans="1:246" s="1" customFormat="1" x14ac:dyDescent="0.2">
      <c r="A103" s="5"/>
      <c r="B103" s="5" t="s">
        <v>337</v>
      </c>
      <c r="C103" s="5"/>
      <c r="D103" s="5"/>
      <c r="E103" s="5"/>
      <c r="F103" s="5"/>
      <c r="G103" s="5"/>
      <c r="H103" s="12" t="s">
        <v>18</v>
      </c>
      <c r="I103" s="89">
        <v>0</v>
      </c>
      <c r="J103" s="89">
        <v>0</v>
      </c>
      <c r="K103" s="89">
        <v>0</v>
      </c>
      <c r="L103" s="89">
        <v>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0</v>
      </c>
      <c r="U103" s="89">
        <v>0</v>
      </c>
      <c r="V103" s="89">
        <v>0</v>
      </c>
      <c r="W103" s="89">
        <v>0</v>
      </c>
      <c r="X103" s="89">
        <v>0</v>
      </c>
      <c r="Y103" s="89">
        <v>0</v>
      </c>
      <c r="Z103" s="89">
        <v>0</v>
      </c>
      <c r="AA103" s="89">
        <v>0</v>
      </c>
      <c r="AB103" s="89">
        <v>0</v>
      </c>
      <c r="AC103" s="89">
        <v>0</v>
      </c>
    </row>
    <row r="104" spans="1:246" s="1" customFormat="1" x14ac:dyDescent="0.2">
      <c r="A104" s="5"/>
      <c r="B104" s="5"/>
      <c r="C104" s="5"/>
      <c r="D104" s="5"/>
      <c r="E104" s="5"/>
      <c r="F104" s="5"/>
      <c r="G104" s="5"/>
    </row>
    <row r="105" spans="1:246" s="1" customFormat="1" x14ac:dyDescent="0.2">
      <c r="A105" s="5"/>
      <c r="B105" s="5" t="s">
        <v>94</v>
      </c>
      <c r="C105" s="5"/>
      <c r="D105" s="5"/>
      <c r="E105" s="5"/>
      <c r="F105" s="5"/>
      <c r="G105" s="5"/>
      <c r="H105" s="12" t="s">
        <v>7</v>
      </c>
      <c r="I105" s="7">
        <f>+I99+I101</f>
        <v>2416010</v>
      </c>
      <c r="J105" s="7">
        <f t="shared" ref="J105:AC105" si="10">+J99+J102</f>
        <v>2253000</v>
      </c>
      <c r="K105" s="7">
        <f t="shared" si="10"/>
        <v>2429000</v>
      </c>
      <c r="L105" s="7">
        <f t="shared" si="10"/>
        <v>2355000</v>
      </c>
      <c r="M105" s="7">
        <f t="shared" si="10"/>
        <v>2416000</v>
      </c>
      <c r="N105" s="7">
        <f t="shared" si="10"/>
        <v>2429000</v>
      </c>
      <c r="O105" s="7">
        <f t="shared" si="10"/>
        <v>2416000</v>
      </c>
      <c r="P105" s="7">
        <f t="shared" si="10"/>
        <v>2253000</v>
      </c>
      <c r="Q105" s="7">
        <f t="shared" si="10"/>
        <v>2429000</v>
      </c>
      <c r="R105" s="7">
        <f t="shared" si="10"/>
        <v>2355000</v>
      </c>
      <c r="S105" s="7">
        <f t="shared" si="10"/>
        <v>2213000</v>
      </c>
      <c r="T105" s="7">
        <f t="shared" si="10"/>
        <v>1724000</v>
      </c>
      <c r="U105" s="7">
        <f t="shared" si="10"/>
        <v>1715000</v>
      </c>
      <c r="V105" s="7">
        <f t="shared" si="10"/>
        <v>1599000</v>
      </c>
      <c r="W105" s="7">
        <f t="shared" si="10"/>
        <v>1724000</v>
      </c>
      <c r="X105" s="7">
        <f t="shared" si="10"/>
        <v>1304500</v>
      </c>
      <c r="Y105" s="7">
        <f t="shared" si="10"/>
        <v>207000</v>
      </c>
      <c r="Z105" s="7">
        <f t="shared" si="10"/>
        <v>207000</v>
      </c>
      <c r="AA105" s="7">
        <f t="shared" si="10"/>
        <v>207000</v>
      </c>
      <c r="AB105" s="7">
        <f t="shared" si="10"/>
        <v>207000</v>
      </c>
      <c r="AC105" s="7">
        <f t="shared" si="10"/>
        <v>155250</v>
      </c>
    </row>
    <row r="106" spans="1:246" s="1" customFormat="1" x14ac:dyDescent="0.2">
      <c r="A106" s="5"/>
      <c r="B106" s="5"/>
      <c r="C106" s="5"/>
      <c r="D106" s="5"/>
      <c r="E106" s="5"/>
      <c r="F106" s="5"/>
      <c r="G106" s="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46" s="1" customFormat="1" x14ac:dyDescent="0.2">
      <c r="A107" s="5"/>
      <c r="B107" s="5" t="s">
        <v>14</v>
      </c>
      <c r="C107" s="5"/>
      <c r="D107" s="5"/>
      <c r="E107" s="5"/>
      <c r="F107" s="5"/>
      <c r="G107" s="5"/>
      <c r="I107" s="11">
        <f t="shared" ref="I107:AC107" si="11">+I105/((+I87+I101)*I25)</f>
        <v>0.9193340943683409</v>
      </c>
      <c r="J107" s="11">
        <f t="shared" si="11"/>
        <v>0.85730593607305938</v>
      </c>
      <c r="K107" s="11">
        <f t="shared" si="11"/>
        <v>0.92427701674277019</v>
      </c>
      <c r="L107" s="11">
        <f t="shared" si="11"/>
        <v>0.89367030965391625</v>
      </c>
      <c r="M107" s="11">
        <f t="shared" si="11"/>
        <v>0.91933028919330284</v>
      </c>
      <c r="N107" s="11">
        <f t="shared" si="11"/>
        <v>0.92427701674277019</v>
      </c>
      <c r="O107" s="11">
        <f t="shared" si="11"/>
        <v>0.91933028919330284</v>
      </c>
      <c r="P107" s="11">
        <f t="shared" si="11"/>
        <v>0.85496357012750457</v>
      </c>
      <c r="Q107" s="11">
        <f t="shared" si="11"/>
        <v>0.92427701674277019</v>
      </c>
      <c r="R107" s="11">
        <f t="shared" si="11"/>
        <v>0.89611872146118721</v>
      </c>
      <c r="S107" s="11">
        <f t="shared" si="11"/>
        <v>0.91930702611446768</v>
      </c>
      <c r="T107" s="11">
        <f t="shared" si="11"/>
        <v>0.90863860217229986</v>
      </c>
      <c r="U107" s="11">
        <f t="shared" si="11"/>
        <v>0.9063715542026044</v>
      </c>
      <c r="V107" s="11">
        <f t="shared" si="11"/>
        <v>0.84506595636732618</v>
      </c>
      <c r="W107" s="11">
        <f t="shared" si="11"/>
        <v>0.91112802300016915</v>
      </c>
      <c r="X107" s="11">
        <f t="shared" si="11"/>
        <v>0.68754005599406331</v>
      </c>
      <c r="Y107" s="11">
        <f t="shared" si="11"/>
        <v>0.67514677103718201</v>
      </c>
      <c r="Z107" s="11">
        <f t="shared" si="11"/>
        <v>0.67514677103718201</v>
      </c>
      <c r="AA107" s="11">
        <f t="shared" si="11"/>
        <v>0.67514677103718201</v>
      </c>
      <c r="AB107" s="11">
        <f t="shared" si="11"/>
        <v>0.67330210772833721</v>
      </c>
      <c r="AC107" s="11">
        <f t="shared" si="11"/>
        <v>0.50636007827788654</v>
      </c>
    </row>
    <row r="108" spans="1:246" s="1" customFormat="1" x14ac:dyDescent="0.2">
      <c r="A108" s="5"/>
      <c r="B108" s="5"/>
      <c r="C108" s="5"/>
      <c r="D108" s="5"/>
      <c r="E108" s="5"/>
      <c r="F108" s="5"/>
      <c r="G108" s="5"/>
    </row>
    <row r="109" spans="1:246" s="1" customFormat="1" x14ac:dyDescent="0.2">
      <c r="A109" s="5"/>
      <c r="B109" s="5" t="s">
        <v>92</v>
      </c>
      <c r="C109" s="5"/>
      <c r="D109" s="5"/>
      <c r="E109" s="5"/>
      <c r="F109" s="5"/>
      <c r="G109" s="5"/>
    </row>
    <row r="110" spans="1:246" s="1" customFormat="1" x14ac:dyDescent="0.2">
      <c r="A110" s="5"/>
      <c r="B110" s="5"/>
      <c r="C110" s="5" t="s">
        <v>307</v>
      </c>
      <c r="D110" s="5"/>
      <c r="E110" s="5"/>
      <c r="F110" s="10">
        <f>L18</f>
        <v>1</v>
      </c>
      <c r="G110" s="5"/>
      <c r="I110" s="10">
        <v>20724000</v>
      </c>
      <c r="J110" s="10">
        <v>20551000</v>
      </c>
      <c r="K110" s="10">
        <v>19332000</v>
      </c>
      <c r="L110" s="10">
        <v>20416000</v>
      </c>
      <c r="M110" s="10">
        <v>19933000</v>
      </c>
      <c r="N110" s="10">
        <v>20585000</v>
      </c>
      <c r="O110" s="10">
        <v>20518000</v>
      </c>
      <c r="P110" s="10">
        <v>20551000</v>
      </c>
      <c r="Q110" s="10">
        <v>19332000</v>
      </c>
      <c r="R110" s="10">
        <v>20416000</v>
      </c>
      <c r="S110" s="10">
        <v>19933000</v>
      </c>
      <c r="T110" s="10">
        <f>T111</f>
        <v>16041307.24512</v>
      </c>
      <c r="U110" s="10">
        <f t="shared" ref="U110:AC110" si="12">U111</f>
        <v>16009221.711000001</v>
      </c>
      <c r="V110" s="10">
        <f t="shared" si="12"/>
        <v>15009779.689200001</v>
      </c>
      <c r="W110" s="10">
        <f t="shared" si="12"/>
        <v>15926340.074760001</v>
      </c>
      <c r="X110" s="10">
        <f t="shared" si="12"/>
        <v>11458728</v>
      </c>
      <c r="Y110" s="10">
        <f t="shared" si="12"/>
        <v>1945799.3415000001</v>
      </c>
      <c r="Z110" s="10">
        <f t="shared" si="12"/>
        <v>2141481.645</v>
      </c>
      <c r="AA110" s="10">
        <f t="shared" si="12"/>
        <v>2141866.5375000001</v>
      </c>
      <c r="AB110" s="10">
        <f t="shared" si="12"/>
        <v>2012550.5519999999</v>
      </c>
      <c r="AC110" s="10">
        <f t="shared" si="12"/>
        <v>2132848.3365000002</v>
      </c>
      <c r="AD110" s="10" t="s">
        <v>1</v>
      </c>
    </row>
    <row r="111" spans="1:246" s="1" customFormat="1" x14ac:dyDescent="0.2">
      <c r="A111" s="5"/>
      <c r="B111" s="5"/>
      <c r="C111" s="5" t="s">
        <v>93</v>
      </c>
      <c r="D111" s="5"/>
      <c r="E111" s="5"/>
      <c r="F111" s="5" t="s">
        <v>1</v>
      </c>
      <c r="G111" s="5"/>
      <c r="H111" s="12" t="s">
        <v>34</v>
      </c>
      <c r="I111" s="10">
        <f>(I87*I25*I91*I89)/1000</f>
        <v>20228855.895</v>
      </c>
      <c r="J111" s="10">
        <f>J99*J89/1000</f>
        <v>18880140</v>
      </c>
      <c r="K111" s="10">
        <f t="shared" ref="K111:AC111" si="13">(K87*K25*K91*K89)/1000</f>
        <v>20100110.963400003</v>
      </c>
      <c r="L111" s="10">
        <f t="shared" si="13"/>
        <v>19654447.752719998</v>
      </c>
      <c r="M111" s="10">
        <f t="shared" si="13"/>
        <v>20262874.391400002</v>
      </c>
      <c r="N111" s="10">
        <f t="shared" si="13"/>
        <v>20200257.342</v>
      </c>
      <c r="O111" s="10">
        <f t="shared" si="13"/>
        <v>20228855.895</v>
      </c>
      <c r="P111" s="10">
        <f t="shared" si="13"/>
        <v>19030740.667199999</v>
      </c>
      <c r="Q111" s="10">
        <f t="shared" si="13"/>
        <v>20100110.963400003</v>
      </c>
      <c r="R111" s="10">
        <f t="shared" si="13"/>
        <v>19600747.075799998</v>
      </c>
      <c r="S111" s="10">
        <f t="shared" si="13"/>
        <v>18502100.478767999</v>
      </c>
      <c r="T111" s="10">
        <f t="shared" si="13"/>
        <v>16041307.24512</v>
      </c>
      <c r="U111" s="10">
        <f t="shared" si="13"/>
        <v>16009221.711000001</v>
      </c>
      <c r="V111" s="10">
        <f t="shared" si="13"/>
        <v>15009779.689200001</v>
      </c>
      <c r="W111" s="10">
        <f t="shared" si="13"/>
        <v>15926340.074760001</v>
      </c>
      <c r="X111" s="10">
        <f>(X25*X99)/1000</f>
        <v>11458728</v>
      </c>
      <c r="Y111" s="10">
        <f t="shared" si="13"/>
        <v>1945799.3415000001</v>
      </c>
      <c r="Z111" s="10">
        <f t="shared" si="13"/>
        <v>2141481.645</v>
      </c>
      <c r="AA111" s="10">
        <f t="shared" si="13"/>
        <v>2141866.5375000001</v>
      </c>
      <c r="AB111" s="10">
        <f t="shared" si="13"/>
        <v>2012550.5519999999</v>
      </c>
      <c r="AC111" s="10">
        <f t="shared" si="13"/>
        <v>2132848.3365000002</v>
      </c>
    </row>
    <row r="112" spans="1:246" s="1" customFormat="1" x14ac:dyDescent="0.2">
      <c r="A112" s="5"/>
      <c r="B112" s="5"/>
      <c r="C112" s="5" t="s">
        <v>88</v>
      </c>
      <c r="D112" s="5"/>
      <c r="E112" s="5"/>
      <c r="F112" s="5"/>
      <c r="G112" s="5"/>
      <c r="H112" s="12" t="s">
        <v>34</v>
      </c>
      <c r="I112" s="34">
        <f t="shared" ref="I112:AC112" si="14">+I102*1000*I89/1000000</f>
        <v>0</v>
      </c>
      <c r="J112" s="34">
        <f t="shared" si="14"/>
        <v>0</v>
      </c>
      <c r="K112" s="34">
        <f t="shared" si="14"/>
        <v>0</v>
      </c>
      <c r="L112" s="34">
        <f t="shared" si="14"/>
        <v>0</v>
      </c>
      <c r="M112" s="34">
        <f t="shared" si="14"/>
        <v>0</v>
      </c>
      <c r="N112" s="34">
        <f t="shared" si="14"/>
        <v>0</v>
      </c>
      <c r="O112" s="34">
        <f t="shared" si="14"/>
        <v>0</v>
      </c>
      <c r="P112" s="34">
        <f t="shared" si="14"/>
        <v>0</v>
      </c>
      <c r="Q112" s="34">
        <f t="shared" si="14"/>
        <v>0</v>
      </c>
      <c r="R112" s="34">
        <f t="shared" si="14"/>
        <v>0</v>
      </c>
      <c r="S112" s="34">
        <f t="shared" si="14"/>
        <v>0</v>
      </c>
      <c r="T112" s="34">
        <f t="shared" si="14"/>
        <v>0</v>
      </c>
      <c r="U112" s="34">
        <f t="shared" si="14"/>
        <v>0</v>
      </c>
      <c r="V112" s="34">
        <f t="shared" si="14"/>
        <v>0</v>
      </c>
      <c r="W112" s="34">
        <f t="shared" si="14"/>
        <v>0</v>
      </c>
      <c r="X112" s="34">
        <f t="shared" si="14"/>
        <v>0</v>
      </c>
      <c r="Y112" s="34">
        <f t="shared" si="14"/>
        <v>0</v>
      </c>
      <c r="Z112" s="34">
        <f t="shared" si="14"/>
        <v>0</v>
      </c>
      <c r="AA112" s="34">
        <f t="shared" si="14"/>
        <v>0</v>
      </c>
      <c r="AB112" s="34">
        <f t="shared" si="14"/>
        <v>0</v>
      </c>
      <c r="AC112" s="34">
        <f t="shared" si="14"/>
        <v>0</v>
      </c>
    </row>
    <row r="113" spans="1:256" s="1" customFormat="1" x14ac:dyDescent="0.2">
      <c r="A113" s="5"/>
      <c r="B113" s="5"/>
      <c r="C113" s="5" t="s">
        <v>3</v>
      </c>
      <c r="D113" s="5"/>
      <c r="E113" s="5"/>
      <c r="F113" s="5"/>
      <c r="G113" s="5"/>
      <c r="H113" s="12" t="s">
        <v>34</v>
      </c>
      <c r="I113" s="10">
        <f>IF($F$110=1,I110,I111)</f>
        <v>20724000</v>
      </c>
      <c r="J113" s="10">
        <f t="shared" ref="J113:AC113" si="15">IF($F$110=1,J110,J111)</f>
        <v>20551000</v>
      </c>
      <c r="K113" s="10">
        <f t="shared" si="15"/>
        <v>19332000</v>
      </c>
      <c r="L113" s="10">
        <f t="shared" si="15"/>
        <v>20416000</v>
      </c>
      <c r="M113" s="10">
        <f t="shared" si="15"/>
        <v>19933000</v>
      </c>
      <c r="N113" s="10">
        <f t="shared" si="15"/>
        <v>20585000</v>
      </c>
      <c r="O113" s="10">
        <f t="shared" si="15"/>
        <v>20518000</v>
      </c>
      <c r="P113" s="10">
        <f t="shared" si="15"/>
        <v>20551000</v>
      </c>
      <c r="Q113" s="10">
        <f t="shared" si="15"/>
        <v>19332000</v>
      </c>
      <c r="R113" s="10">
        <f t="shared" si="15"/>
        <v>20416000</v>
      </c>
      <c r="S113" s="10">
        <f t="shared" si="15"/>
        <v>19933000</v>
      </c>
      <c r="T113" s="10">
        <f t="shared" si="15"/>
        <v>16041307.24512</v>
      </c>
      <c r="U113" s="10">
        <f t="shared" si="15"/>
        <v>16009221.711000001</v>
      </c>
      <c r="V113" s="10">
        <f t="shared" si="15"/>
        <v>15009779.689200001</v>
      </c>
      <c r="W113" s="10">
        <f t="shared" si="15"/>
        <v>15926340.074760001</v>
      </c>
      <c r="X113" s="10">
        <f t="shared" si="15"/>
        <v>11458728</v>
      </c>
      <c r="Y113" s="10">
        <f t="shared" si="15"/>
        <v>1945799.3415000001</v>
      </c>
      <c r="Z113" s="10">
        <f t="shared" si="15"/>
        <v>2141481.645</v>
      </c>
      <c r="AA113" s="10">
        <f t="shared" si="15"/>
        <v>2141866.5375000001</v>
      </c>
      <c r="AB113" s="10">
        <f t="shared" si="15"/>
        <v>2012550.5519999999</v>
      </c>
      <c r="AC113" s="10">
        <f t="shared" si="15"/>
        <v>2132848.3365000002</v>
      </c>
    </row>
    <row r="114" spans="1:256" s="1" customFormat="1" x14ac:dyDescent="0.2">
      <c r="A114" s="5"/>
      <c r="B114" s="5"/>
      <c r="C114" s="5"/>
      <c r="D114" s="5"/>
      <c r="E114" s="5"/>
      <c r="F114" s="5"/>
      <c r="G114" s="5"/>
      <c r="H114" s="12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56" s="1" customFormat="1" x14ac:dyDescent="0.2">
      <c r="A115" s="5"/>
      <c r="B115" s="5" t="s">
        <v>89</v>
      </c>
      <c r="C115" s="5"/>
      <c r="D115" s="5"/>
      <c r="E115" s="5"/>
      <c r="F115" s="5"/>
      <c r="G115" s="5"/>
      <c r="H115" s="12" t="s">
        <v>101</v>
      </c>
      <c r="I115" s="10">
        <f>+I113/(+I$25/24)</f>
        <v>56778.082191780821</v>
      </c>
      <c r="J115" s="10">
        <f t="shared" ref="J115:AC115" si="16">+J113/(+J25/24)</f>
        <v>56304.109589041094</v>
      </c>
      <c r="K115" s="10">
        <f t="shared" si="16"/>
        <v>52964.383561643837</v>
      </c>
      <c r="L115" s="10">
        <f t="shared" si="16"/>
        <v>55781.420765027324</v>
      </c>
      <c r="M115" s="10">
        <f t="shared" si="16"/>
        <v>54610.95890410959</v>
      </c>
      <c r="N115" s="10">
        <f t="shared" si="16"/>
        <v>56397.260273972606</v>
      </c>
      <c r="O115" s="10">
        <f t="shared" si="16"/>
        <v>56213.698630136983</v>
      </c>
      <c r="P115" s="10">
        <f t="shared" si="16"/>
        <v>56150.273224043718</v>
      </c>
      <c r="Q115" s="10">
        <f t="shared" si="16"/>
        <v>52964.383561643837</v>
      </c>
      <c r="R115" s="10">
        <f t="shared" si="16"/>
        <v>55934.246575342462</v>
      </c>
      <c r="S115" s="10">
        <f t="shared" si="16"/>
        <v>54610.95890410959</v>
      </c>
      <c r="T115" s="10">
        <f t="shared" si="16"/>
        <v>43828.708319999998</v>
      </c>
      <c r="U115" s="10">
        <f t="shared" si="16"/>
        <v>43860.881400000006</v>
      </c>
      <c r="V115" s="10">
        <f t="shared" si="16"/>
        <v>41122.684079999999</v>
      </c>
      <c r="W115" s="10">
        <f t="shared" si="16"/>
        <v>43633.808424000003</v>
      </c>
      <c r="X115" s="10">
        <f t="shared" si="16"/>
        <v>31308</v>
      </c>
      <c r="Y115" s="10">
        <f t="shared" si="16"/>
        <v>5330.9571000000005</v>
      </c>
      <c r="Z115" s="10">
        <f t="shared" si="16"/>
        <v>5867.0730000000003</v>
      </c>
      <c r="AA115" s="10">
        <f t="shared" si="16"/>
        <v>5868.1275000000005</v>
      </c>
      <c r="AB115" s="10">
        <f t="shared" si="16"/>
        <v>5498.7719999999999</v>
      </c>
      <c r="AC115" s="10">
        <f t="shared" si="16"/>
        <v>5843.4201000000003</v>
      </c>
    </row>
    <row r="116" spans="1:256" s="1" customFormat="1" x14ac:dyDescent="0.2">
      <c r="A116" s="5"/>
      <c r="B116" s="5"/>
      <c r="C116" s="5"/>
      <c r="D116" s="5"/>
      <c r="E116" s="5"/>
      <c r="F116" s="5"/>
      <c r="G116" s="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56" s="1" customFormat="1" x14ac:dyDescent="0.2">
      <c r="A117" s="5"/>
      <c r="B117" s="5" t="s">
        <v>54</v>
      </c>
      <c r="C117" s="5"/>
      <c r="D117" s="5"/>
      <c r="E117" s="5"/>
      <c r="F117" s="5"/>
      <c r="G117" s="5"/>
      <c r="H117" s="12" t="s">
        <v>18</v>
      </c>
      <c r="I117" s="89">
        <f>I180</f>
        <v>1.08</v>
      </c>
      <c r="J117" s="89">
        <f t="shared" ref="J117:AC117" si="17">J180</f>
        <v>1.112428984111179</v>
      </c>
      <c r="K117" s="89">
        <f t="shared" si="17"/>
        <v>1.1447165529040142</v>
      </c>
      <c r="L117" s="89">
        <f t="shared" si="17"/>
        <v>1.1773675235001133</v>
      </c>
      <c r="M117" s="89">
        <f t="shared" si="17"/>
        <v>1.2103597390503025</v>
      </c>
      <c r="N117" s="89">
        <f t="shared" si="17"/>
        <v>1.2433059560123763</v>
      </c>
      <c r="O117" s="89">
        <f t="shared" si="17"/>
        <v>1.2765259310625194</v>
      </c>
      <c r="P117" s="89">
        <f t="shared" si="17"/>
        <v>1.3099938482798648</v>
      </c>
      <c r="Q117" s="89">
        <f t="shared" si="17"/>
        <v>1.3438140977779449</v>
      </c>
      <c r="R117" s="89">
        <f t="shared" si="17"/>
        <v>1.3779688203466063</v>
      </c>
      <c r="S117" s="89">
        <f t="shared" si="17"/>
        <v>1.4127154555748569</v>
      </c>
      <c r="T117" s="89">
        <f t="shared" si="17"/>
        <v>1.4480551245430775</v>
      </c>
      <c r="U117" s="89">
        <f t="shared" si="17"/>
        <v>1.4847141534884876</v>
      </c>
      <c r="V117" s="89">
        <f t="shared" si="17"/>
        <v>1.5228963867775922</v>
      </c>
      <c r="W117" s="89">
        <f t="shared" si="17"/>
        <v>1.5626710167045075</v>
      </c>
      <c r="X117" s="89">
        <f t="shared" si="17"/>
        <v>1.6044241281856115</v>
      </c>
      <c r="Y117" s="89">
        <f t="shared" si="17"/>
        <v>1.6479360469147362</v>
      </c>
      <c r="Z117" s="89">
        <f t="shared" si="17"/>
        <v>1.6931235066336392</v>
      </c>
      <c r="AA117" s="89">
        <f t="shared" si="17"/>
        <v>1.7409076612947212</v>
      </c>
      <c r="AB117" s="89">
        <f t="shared" si="17"/>
        <v>1.7914364381235073</v>
      </c>
      <c r="AC117" s="89">
        <f t="shared" si="17"/>
        <v>1.8461255776955552</v>
      </c>
    </row>
    <row r="118" spans="1:256" s="1" customFormat="1" x14ac:dyDescent="0.2">
      <c r="A118" s="5"/>
      <c r="B118" s="5"/>
      <c r="C118" s="5"/>
      <c r="D118" s="5"/>
      <c r="E118" s="5"/>
      <c r="F118" s="5"/>
      <c r="G118" s="5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2">
      <c r="A119" s="5"/>
      <c r="B119" s="5" t="s">
        <v>109</v>
      </c>
      <c r="C119" s="5"/>
      <c r="D119" s="5"/>
      <c r="E119" s="5"/>
      <c r="F119" s="5"/>
      <c r="G119" s="5"/>
      <c r="H119" s="12" t="s">
        <v>110</v>
      </c>
      <c r="I119" s="133">
        <v>568</v>
      </c>
      <c r="J119" s="133">
        <v>568</v>
      </c>
      <c r="K119" s="133">
        <v>568</v>
      </c>
      <c r="L119" s="133">
        <v>568</v>
      </c>
      <c r="M119" s="133">
        <v>568</v>
      </c>
      <c r="N119" s="133">
        <v>568</v>
      </c>
      <c r="O119" s="133">
        <v>568</v>
      </c>
      <c r="P119" s="133">
        <v>568</v>
      </c>
      <c r="Q119" s="133">
        <v>568</v>
      </c>
      <c r="R119" s="133">
        <v>568</v>
      </c>
      <c r="S119" s="133">
        <v>568</v>
      </c>
      <c r="T119" s="133">
        <v>568</v>
      </c>
      <c r="U119" s="133">
        <v>568</v>
      </c>
      <c r="V119" s="133">
        <v>568</v>
      </c>
      <c r="W119" s="133">
        <v>568</v>
      </c>
      <c r="X119" s="133">
        <v>568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</row>
    <row r="120" spans="1:256" s="1" customFormat="1" x14ac:dyDescent="0.2">
      <c r="A120" s="5"/>
      <c r="B120" s="5"/>
      <c r="C120" s="5"/>
      <c r="D120" s="5"/>
      <c r="E120" s="5"/>
      <c r="F120" s="5"/>
      <c r="G120" s="5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56" s="1" customFormat="1" ht="15" x14ac:dyDescent="0.35">
      <c r="A121" s="5"/>
      <c r="B121" s="358" t="s">
        <v>4</v>
      </c>
      <c r="C121" s="358"/>
      <c r="D121" s="358"/>
      <c r="E121" s="358"/>
      <c r="F121" s="358"/>
      <c r="G121" s="358"/>
    </row>
    <row r="122" spans="1:256" s="1" customFormat="1" x14ac:dyDescent="0.2">
      <c r="A122" s="5"/>
      <c r="B122" s="5"/>
      <c r="C122" s="6"/>
      <c r="D122" s="6"/>
      <c r="E122" s="5"/>
      <c r="F122" s="5"/>
      <c r="G122" s="5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</row>
    <row r="123" spans="1:256" s="1" customFormat="1" x14ac:dyDescent="0.2">
      <c r="A123" s="5"/>
      <c r="B123" s="5" t="s">
        <v>102</v>
      </c>
      <c r="C123" s="5"/>
      <c r="D123" s="5"/>
      <c r="E123" s="5"/>
      <c r="F123" s="359" t="s">
        <v>28</v>
      </c>
      <c r="G123" s="360"/>
    </row>
    <row r="124" spans="1:256" s="1" customFormat="1" x14ac:dyDescent="0.2">
      <c r="A124" s="5"/>
      <c r="B124" s="5"/>
      <c r="C124" s="6" t="s">
        <v>9</v>
      </c>
      <c r="D124" s="5"/>
      <c r="E124" s="5"/>
      <c r="F124" s="5"/>
      <c r="G124" s="5"/>
      <c r="H124" s="12" t="s">
        <v>31</v>
      </c>
      <c r="I124" s="22">
        <f t="shared" ref="I124:AC124" si="18">IF(+$F$123="Table 1",+I94*I33,IF(+$F$123="Table 2",+I94*I38,"Input Error"))/1000</f>
        <v>73255</v>
      </c>
      <c r="J124" s="22">
        <f t="shared" si="18"/>
        <v>68315</v>
      </c>
      <c r="K124" s="22">
        <f t="shared" si="18"/>
        <v>73645</v>
      </c>
      <c r="L124" s="22">
        <f t="shared" si="18"/>
        <v>71370</v>
      </c>
      <c r="M124" s="22">
        <f t="shared" si="18"/>
        <v>73255</v>
      </c>
      <c r="N124" s="22">
        <f t="shared" si="18"/>
        <v>73645</v>
      </c>
      <c r="O124" s="22">
        <f t="shared" si="18"/>
        <v>73255</v>
      </c>
      <c r="P124" s="22">
        <f t="shared" si="18"/>
        <v>68315</v>
      </c>
      <c r="Q124" s="22">
        <f t="shared" si="18"/>
        <v>73645</v>
      </c>
      <c r="R124" s="22">
        <f t="shared" si="18"/>
        <v>71370</v>
      </c>
      <c r="S124" s="22">
        <f t="shared" si="18"/>
        <v>73255</v>
      </c>
      <c r="T124" s="22">
        <f t="shared" si="18"/>
        <v>73645</v>
      </c>
      <c r="U124" s="22">
        <f t="shared" si="18"/>
        <v>73255</v>
      </c>
      <c r="V124" s="22">
        <f t="shared" si="18"/>
        <v>68315</v>
      </c>
      <c r="W124" s="22">
        <f t="shared" si="18"/>
        <v>73645</v>
      </c>
      <c r="X124" s="22">
        <f t="shared" si="18"/>
        <v>53527.5</v>
      </c>
      <c r="Y124" s="22">
        <f t="shared" si="18"/>
        <v>0</v>
      </c>
      <c r="Z124" s="22">
        <f t="shared" si="18"/>
        <v>0</v>
      </c>
      <c r="AA124" s="22">
        <f t="shared" si="18"/>
        <v>0</v>
      </c>
      <c r="AB124" s="22">
        <f t="shared" si="18"/>
        <v>0</v>
      </c>
      <c r="AC124" s="22">
        <f t="shared" si="18"/>
        <v>0</v>
      </c>
    </row>
    <row r="125" spans="1:256" s="1" customFormat="1" x14ac:dyDescent="0.2">
      <c r="A125" s="5"/>
      <c r="B125" s="5"/>
      <c r="C125" s="6" t="s">
        <v>10</v>
      </c>
      <c r="D125" s="5"/>
      <c r="E125" s="5"/>
      <c r="F125" s="5"/>
      <c r="G125" s="5"/>
      <c r="H125" s="12" t="s">
        <v>31</v>
      </c>
      <c r="I125" s="22">
        <f t="shared" ref="I125:AC125" si="19">IF(+$F$123="Table 1",+I95*I34,IF(+$F$123="Table 2",+I95*I39,"Input Error"))/1000</f>
        <v>60496.3</v>
      </c>
      <c r="J125" s="22">
        <f t="shared" si="19"/>
        <v>60625.8</v>
      </c>
      <c r="K125" s="22">
        <f t="shared" si="19"/>
        <v>70288.5</v>
      </c>
      <c r="L125" s="22">
        <f t="shared" si="19"/>
        <v>73217.600000000006</v>
      </c>
      <c r="M125" s="22">
        <f t="shared" si="19"/>
        <v>80755.199999999997</v>
      </c>
      <c r="N125" s="22">
        <f t="shared" si="19"/>
        <v>87349.5</v>
      </c>
      <c r="O125" s="22">
        <f t="shared" si="19"/>
        <v>93303.1</v>
      </c>
      <c r="P125" s="22">
        <f t="shared" si="19"/>
        <v>93587.4</v>
      </c>
      <c r="Q125" s="22">
        <f t="shared" si="19"/>
        <v>108499.5</v>
      </c>
      <c r="R125" s="22">
        <f t="shared" si="19"/>
        <v>112968.2</v>
      </c>
      <c r="S125" s="22">
        <f t="shared" si="19"/>
        <v>88544.4</v>
      </c>
      <c r="T125" s="22">
        <f t="shared" si="19"/>
        <v>0</v>
      </c>
      <c r="U125" s="22">
        <f t="shared" si="19"/>
        <v>0</v>
      </c>
      <c r="V125" s="22">
        <f t="shared" si="19"/>
        <v>0</v>
      </c>
      <c r="W125" s="22">
        <f t="shared" si="19"/>
        <v>0</v>
      </c>
      <c r="X125" s="22">
        <f t="shared" si="19"/>
        <v>0</v>
      </c>
      <c r="Y125" s="22">
        <f t="shared" si="19"/>
        <v>0</v>
      </c>
      <c r="Z125" s="22">
        <f t="shared" si="19"/>
        <v>0</v>
      </c>
      <c r="AA125" s="22">
        <f t="shared" si="19"/>
        <v>0</v>
      </c>
      <c r="AB125" s="22">
        <f t="shared" si="19"/>
        <v>0</v>
      </c>
      <c r="AC125" s="22">
        <f t="shared" si="19"/>
        <v>0</v>
      </c>
    </row>
    <row r="126" spans="1:256" s="1" customFormat="1" x14ac:dyDescent="0.2">
      <c r="A126" s="5"/>
      <c r="B126" s="5"/>
      <c r="C126" s="6" t="s">
        <v>11</v>
      </c>
      <c r="D126" s="5"/>
      <c r="E126" s="5"/>
      <c r="F126" s="5"/>
      <c r="G126" s="5"/>
      <c r="H126" s="12" t="s">
        <v>31</v>
      </c>
      <c r="I126" s="22">
        <f t="shared" ref="I126:AC126" si="20">IF(+$F$123="Table 1",+I96*I35,IF(+$F$123="Table 2",+I96*I40,"Input Error"))/1000</f>
        <v>10929.6</v>
      </c>
      <c r="J126" s="22">
        <f t="shared" si="20"/>
        <v>9881.6</v>
      </c>
      <c r="K126" s="22">
        <f t="shared" si="20"/>
        <v>11502.4</v>
      </c>
      <c r="L126" s="22">
        <f t="shared" si="20"/>
        <v>11150.4</v>
      </c>
      <c r="M126" s="22">
        <f t="shared" si="20"/>
        <v>11881.8</v>
      </c>
      <c r="N126" s="22">
        <f t="shared" si="20"/>
        <v>12230.4</v>
      </c>
      <c r="O126" s="22">
        <f t="shared" si="20"/>
        <v>12399.3</v>
      </c>
      <c r="P126" s="22">
        <f t="shared" si="20"/>
        <v>11271.2</v>
      </c>
      <c r="Q126" s="22">
        <f t="shared" si="20"/>
        <v>13041.6</v>
      </c>
      <c r="R126" s="22">
        <f t="shared" si="20"/>
        <v>12685.6</v>
      </c>
      <c r="S126" s="22">
        <f t="shared" si="20"/>
        <v>13392.9</v>
      </c>
      <c r="T126" s="22">
        <f t="shared" si="20"/>
        <v>13864.756687898092</v>
      </c>
      <c r="U126" s="22">
        <f t="shared" si="20"/>
        <v>14215.557619223908</v>
      </c>
      <c r="V126" s="22">
        <f t="shared" si="20"/>
        <v>13655.11935344248</v>
      </c>
      <c r="W126" s="22">
        <f t="shared" si="20"/>
        <v>15161.639402238172</v>
      </c>
      <c r="X126" s="22">
        <f t="shared" si="20"/>
        <v>11377.323271581692</v>
      </c>
      <c r="Y126" s="22">
        <f t="shared" si="20"/>
        <v>0</v>
      </c>
      <c r="Z126" s="22">
        <f t="shared" si="20"/>
        <v>0</v>
      </c>
      <c r="AA126" s="22">
        <f t="shared" si="20"/>
        <v>0</v>
      </c>
      <c r="AB126" s="22">
        <f t="shared" si="20"/>
        <v>0</v>
      </c>
      <c r="AC126" s="22">
        <f t="shared" si="20"/>
        <v>0</v>
      </c>
    </row>
    <row r="127" spans="1:256" s="1" customFormat="1" x14ac:dyDescent="0.2">
      <c r="A127" s="5"/>
      <c r="B127" s="5"/>
      <c r="C127" s="6" t="s">
        <v>12</v>
      </c>
      <c r="D127" s="5"/>
      <c r="E127" s="5"/>
      <c r="F127" s="5"/>
      <c r="G127" s="5"/>
      <c r="H127" s="12" t="s">
        <v>31</v>
      </c>
      <c r="I127" s="22">
        <f t="shared" ref="I127:AC127" si="21">IF(+$F$123="Table 1",+I97*I36,IF(+$F$123="Table 2",+I97*I41,"Input Error"))/1000</f>
        <v>15016.2</v>
      </c>
      <c r="J127" s="22">
        <f t="shared" si="21"/>
        <v>15017.4</v>
      </c>
      <c r="K127" s="22">
        <f t="shared" si="21"/>
        <v>17447.5</v>
      </c>
      <c r="L127" s="22">
        <f t="shared" si="21"/>
        <v>18224</v>
      </c>
      <c r="M127" s="22">
        <f t="shared" si="21"/>
        <v>20044.8</v>
      </c>
      <c r="N127" s="22">
        <f t="shared" si="21"/>
        <v>21682.5</v>
      </c>
      <c r="O127" s="22">
        <f t="shared" si="21"/>
        <v>23159.4</v>
      </c>
      <c r="P127" s="22">
        <f t="shared" si="21"/>
        <v>23182.2</v>
      </c>
      <c r="Q127" s="22">
        <f t="shared" si="21"/>
        <v>26932.5</v>
      </c>
      <c r="R127" s="22">
        <f t="shared" si="21"/>
        <v>28118</v>
      </c>
      <c r="S127" s="22">
        <f t="shared" si="21"/>
        <v>30937.200000000004</v>
      </c>
      <c r="T127" s="22">
        <f t="shared" si="21"/>
        <v>33447.684401451028</v>
      </c>
      <c r="U127" s="22">
        <f t="shared" si="21"/>
        <v>35749.791047316314</v>
      </c>
      <c r="V127" s="22">
        <f t="shared" si="21"/>
        <v>35779.603657121021</v>
      </c>
      <c r="W127" s="22">
        <f t="shared" si="21"/>
        <v>41548.448497145728</v>
      </c>
      <c r="X127" s="22">
        <f t="shared" si="21"/>
        <v>32540.423327208326</v>
      </c>
      <c r="Y127" s="22">
        <f t="shared" si="21"/>
        <v>0</v>
      </c>
      <c r="Z127" s="22">
        <f t="shared" si="21"/>
        <v>0</v>
      </c>
      <c r="AA127" s="22">
        <f t="shared" si="21"/>
        <v>0</v>
      </c>
      <c r="AB127" s="22">
        <f t="shared" si="21"/>
        <v>0</v>
      </c>
      <c r="AC127" s="22">
        <f t="shared" si="21"/>
        <v>0</v>
      </c>
    </row>
    <row r="128" spans="1:256" s="1" customFormat="1" x14ac:dyDescent="0.2">
      <c r="A128" s="5"/>
      <c r="B128" s="5"/>
      <c r="C128" s="6" t="s">
        <v>13</v>
      </c>
      <c r="D128" s="5"/>
      <c r="E128" s="5"/>
      <c r="F128" s="5"/>
      <c r="G128" s="5"/>
      <c r="H128" s="12" t="s">
        <v>31</v>
      </c>
      <c r="I128" s="120">
        <f t="shared" ref="I128:AC128" si="22">IF(+$F$123="Table 1",+I98*I37,IF(+$F$123="Table 2",+I98*I42,"Input Error"))/1000</f>
        <v>6437.7</v>
      </c>
      <c r="J128" s="120">
        <f t="shared" si="22"/>
        <v>6465.5</v>
      </c>
      <c r="K128" s="120">
        <f t="shared" si="22"/>
        <v>7363.2</v>
      </c>
      <c r="L128" s="120">
        <f t="shared" si="22"/>
        <v>7595.2</v>
      </c>
      <c r="M128" s="120">
        <f t="shared" si="22"/>
        <v>8217.9000000000015</v>
      </c>
      <c r="N128" s="120">
        <f t="shared" si="22"/>
        <v>8465.6</v>
      </c>
      <c r="O128" s="120">
        <f t="shared" si="22"/>
        <v>8631.9</v>
      </c>
      <c r="P128" s="120">
        <f t="shared" si="22"/>
        <v>8241.1</v>
      </c>
      <c r="Q128" s="120">
        <f t="shared" si="22"/>
        <v>9193.6</v>
      </c>
      <c r="R128" s="120">
        <f t="shared" si="22"/>
        <v>9251.6</v>
      </c>
      <c r="S128" s="120">
        <f t="shared" si="22"/>
        <v>9646.2000000000007</v>
      </c>
      <c r="T128" s="120">
        <f t="shared" si="22"/>
        <v>9862.106550218341</v>
      </c>
      <c r="U128" s="120">
        <f t="shared" si="22"/>
        <v>9986.1282546099446</v>
      </c>
      <c r="V128" s="120">
        <f t="shared" si="22"/>
        <v>9473.3709149537917</v>
      </c>
      <c r="W128" s="120">
        <f t="shared" si="22"/>
        <v>10387.977646046576</v>
      </c>
      <c r="X128" s="120">
        <f t="shared" si="22"/>
        <v>10264.539718861861</v>
      </c>
      <c r="Y128" s="120">
        <f t="shared" si="22"/>
        <v>10702.34370661132</v>
      </c>
      <c r="Z128" s="120">
        <f t="shared" si="22"/>
        <v>10889.284208036846</v>
      </c>
      <c r="AA128" s="120">
        <f t="shared" si="22"/>
        <v>11079.490045731814</v>
      </c>
      <c r="AB128" s="120">
        <f t="shared" si="22"/>
        <v>11273.018256137611</v>
      </c>
      <c r="AC128" s="120">
        <f t="shared" si="22"/>
        <v>8602.4451539740076</v>
      </c>
    </row>
    <row r="129" spans="1:29" s="1" customFormat="1" x14ac:dyDescent="0.2">
      <c r="A129" s="5"/>
      <c r="B129" s="5"/>
      <c r="C129" s="6"/>
      <c r="D129" s="5"/>
      <c r="E129" s="5"/>
      <c r="F129" s="5"/>
      <c r="G129" s="5"/>
      <c r="H129" s="12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</row>
    <row r="130" spans="1:29" s="1" customFormat="1" x14ac:dyDescent="0.2">
      <c r="A130" s="5"/>
      <c r="B130" s="6" t="s">
        <v>91</v>
      </c>
      <c r="D130" s="5"/>
      <c r="E130" s="5" t="s">
        <v>362</v>
      </c>
      <c r="F130" s="5">
        <v>1</v>
      </c>
      <c r="G130" s="5"/>
      <c r="H130" s="12" t="s">
        <v>31</v>
      </c>
      <c r="I130" s="120">
        <f>IF($F$130=1,Merchant!E20,Merchant!E14)</f>
        <v>736.052150347669</v>
      </c>
      <c r="J130" s="120">
        <f>IF($F$130=1,Merchant!F20,Merchant!F14)</f>
        <v>664.03176591384181</v>
      </c>
      <c r="K130" s="120">
        <f>IF($F$130=1,Merchant!G20,Merchant!G14)</f>
        <v>624.50856513585188</v>
      </c>
      <c r="L130" s="120">
        <f>IF($F$130=1,Merchant!H20,Merchant!H14)</f>
        <v>604.34376878990793</v>
      </c>
      <c r="M130" s="120">
        <f>IF($F$130=1,Merchant!I20,Merchant!I14)</f>
        <v>613.32054410030344</v>
      </c>
      <c r="N130" s="120">
        <f>IF($F$130=1,Merchant!J20,Merchant!J14)</f>
        <v>643.77345548983089</v>
      </c>
      <c r="O130" s="120">
        <f>IF($F$130=1,Merchant!K20,Merchant!K14)</f>
        <v>654.06207382720754</v>
      </c>
      <c r="P130" s="120">
        <f>IF($F$130=1,Merchant!L20,Merchant!L14)</f>
        <v>657.84753515371438</v>
      </c>
      <c r="Q130" s="120">
        <f>IF($F$130=1,Merchant!M20,Merchant!M14)</f>
        <v>674.8416162206662</v>
      </c>
      <c r="R130" s="120">
        <f>IF($F$130=1,Merchant!N20,Merchant!N14)</f>
        <v>679.79047839903524</v>
      </c>
      <c r="S130" s="120">
        <f>IF($F$130=1,Merchant!O20,Merchant!O14)</f>
        <v>686.56138448178331</v>
      </c>
      <c r="T130" s="120">
        <f>IF($F$130=1,Merchant!P20,Merchant!P14)</f>
        <v>6544.5397915673684</v>
      </c>
      <c r="U130" s="120">
        <f>IF($F$130=1,Merchant!Q20,Merchant!Q14)</f>
        <v>6567.330404410277</v>
      </c>
      <c r="V130" s="120">
        <f>IF($F$130=1,Merchant!R20,Merchant!R14)</f>
        <v>6548.6143792726152</v>
      </c>
      <c r="W130" s="120">
        <f>IF($F$130=1,Merchant!S20,Merchant!S14)</f>
        <v>6657.119328458396</v>
      </c>
      <c r="X130" s="120">
        <f>IF($F$130=1,Merchant!T20,Merchant!T14)</f>
        <v>6591.3315534554022</v>
      </c>
      <c r="Y130" s="120">
        <f>IF($F$130=1,Merchant!U20,Merchant!U14)</f>
        <v>17469.207877751858</v>
      </c>
      <c r="Z130" s="120">
        <f>Y130*(1+Z27)</f>
        <v>17792.388223490267</v>
      </c>
      <c r="AA130" s="120">
        <f>Z130*(1+AA27)</f>
        <v>18137.560555025979</v>
      </c>
      <c r="AB130" s="120">
        <f>AA130*(1+AB27)</f>
        <v>18505.753034293008</v>
      </c>
      <c r="AC130" s="120">
        <f>AB130*(1+AC27)</f>
        <v>18898.074998620021</v>
      </c>
    </row>
    <row r="131" spans="1:29" s="1" customFormat="1" x14ac:dyDescent="0.2">
      <c r="A131" s="5"/>
      <c r="B131" s="6"/>
      <c r="D131" s="5"/>
      <c r="E131" s="5"/>
      <c r="F131" s="5"/>
      <c r="G131" s="5"/>
      <c r="H131" s="12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</row>
    <row r="132" spans="1:29" s="1" customFormat="1" x14ac:dyDescent="0.2">
      <c r="A132" s="5"/>
      <c r="B132" s="6" t="s">
        <v>111</v>
      </c>
      <c r="D132" s="5"/>
      <c r="E132" s="5"/>
      <c r="F132" s="5"/>
      <c r="G132" s="5"/>
      <c r="H132" s="12" t="s">
        <v>31</v>
      </c>
      <c r="I132" s="120">
        <f t="shared" ref="I132:AC132" si="23">+I56*I119</f>
        <v>1051</v>
      </c>
      <c r="J132" s="120">
        <f t="shared" si="23"/>
        <v>729</v>
      </c>
      <c r="K132" s="120">
        <f t="shared" si="23"/>
        <v>1137</v>
      </c>
      <c r="L132" s="120">
        <f t="shared" si="23"/>
        <v>997</v>
      </c>
      <c r="M132" s="120">
        <f t="shared" si="23"/>
        <v>1170</v>
      </c>
      <c r="N132" s="120">
        <f t="shared" si="23"/>
        <v>1232.0000000000002</v>
      </c>
      <c r="O132" s="120">
        <f t="shared" si="23"/>
        <v>1234</v>
      </c>
      <c r="P132" s="120">
        <f t="shared" si="23"/>
        <v>855</v>
      </c>
      <c r="Q132" s="120">
        <f t="shared" si="23"/>
        <v>1334</v>
      </c>
      <c r="R132" s="120">
        <f t="shared" si="23"/>
        <v>1170</v>
      </c>
      <c r="S132" s="120">
        <f t="shared" si="23"/>
        <v>1374.0000000000002</v>
      </c>
      <c r="T132" s="120">
        <f t="shared" si="23"/>
        <v>1613.5692307692311</v>
      </c>
      <c r="U132" s="120">
        <f t="shared" si="23"/>
        <v>1894.9095069033535</v>
      </c>
      <c r="V132" s="120">
        <f t="shared" si="23"/>
        <v>2225.303985030092</v>
      </c>
      <c r="W132" s="120">
        <f t="shared" si="23"/>
        <v>2613.3057054968776</v>
      </c>
      <c r="X132" s="120">
        <f t="shared" si="23"/>
        <v>3068.9590079937689</v>
      </c>
      <c r="Y132" s="120">
        <f t="shared" si="23"/>
        <v>0</v>
      </c>
      <c r="Z132" s="120">
        <f t="shared" si="23"/>
        <v>0</v>
      </c>
      <c r="AA132" s="120">
        <f t="shared" si="23"/>
        <v>0</v>
      </c>
      <c r="AB132" s="120">
        <f t="shared" si="23"/>
        <v>0</v>
      </c>
      <c r="AC132" s="120">
        <f t="shared" si="23"/>
        <v>0</v>
      </c>
    </row>
    <row r="133" spans="1:29" s="1" customFormat="1" x14ac:dyDescent="0.2">
      <c r="A133" s="5"/>
      <c r="B133" s="6"/>
      <c r="D133" s="5"/>
      <c r="E133" s="5"/>
      <c r="F133" s="5"/>
      <c r="G133" s="5"/>
      <c r="H133" s="12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 spans="1:29" s="1" customFormat="1" x14ac:dyDescent="0.2">
      <c r="A134" s="5"/>
      <c r="B134" s="5" t="s">
        <v>3</v>
      </c>
      <c r="D134" s="5"/>
      <c r="E134" s="5"/>
      <c r="F134" s="5"/>
      <c r="G134" s="5"/>
      <c r="H134" s="12" t="s">
        <v>31</v>
      </c>
      <c r="I134" s="87">
        <f t="shared" ref="I134:X134" si="24">SUM(I124:I133)</f>
        <v>167921.85215034769</v>
      </c>
      <c r="J134" s="87">
        <f t="shared" si="24"/>
        <v>161698.33176591384</v>
      </c>
      <c r="K134" s="87">
        <f t="shared" si="24"/>
        <v>182008.10856513586</v>
      </c>
      <c r="L134" s="87">
        <f t="shared" si="24"/>
        <v>183158.54376878991</v>
      </c>
      <c r="M134" s="87">
        <f t="shared" si="24"/>
        <v>195938.02054410029</v>
      </c>
      <c r="N134" s="87">
        <f t="shared" si="24"/>
        <v>205248.77345548983</v>
      </c>
      <c r="O134" s="87">
        <f t="shared" si="24"/>
        <v>212636.76207382718</v>
      </c>
      <c r="P134" s="87">
        <f t="shared" si="24"/>
        <v>206109.74753515373</v>
      </c>
      <c r="Q134" s="87">
        <f t="shared" si="24"/>
        <v>233321.04161622067</v>
      </c>
      <c r="R134" s="87">
        <f t="shared" si="24"/>
        <v>236243.19047839905</v>
      </c>
      <c r="S134" s="87">
        <f t="shared" si="24"/>
        <v>217836.2613844818</v>
      </c>
      <c r="T134" s="87">
        <f t="shared" si="24"/>
        <v>138977.65666190407</v>
      </c>
      <c r="U134" s="87">
        <f t="shared" si="24"/>
        <v>141668.7168324638</v>
      </c>
      <c r="V134" s="87">
        <f t="shared" si="24"/>
        <v>135997.01228982001</v>
      </c>
      <c r="W134" s="87">
        <f t="shared" si="24"/>
        <v>150013.49057938572</v>
      </c>
      <c r="X134" s="87">
        <f t="shared" si="24"/>
        <v>117370.07687910105</v>
      </c>
      <c r="Y134" s="87">
        <f>SUM(Y124:Y133)</f>
        <v>28171.55158436318</v>
      </c>
      <c r="Z134" s="87">
        <f>SUM(Z124:Z133)</f>
        <v>28681.672431527113</v>
      </c>
      <c r="AA134" s="87">
        <f>SUM(AA124:AA133)</f>
        <v>29217.050600757793</v>
      </c>
      <c r="AB134" s="87">
        <f>SUM(AB124:AB133)</f>
        <v>29778.771290430617</v>
      </c>
      <c r="AC134" s="87">
        <f>SUM(AC124:AC133)</f>
        <v>27500.520152594028</v>
      </c>
    </row>
    <row r="135" spans="1:29" s="1" customFormat="1" x14ac:dyDescent="0.2">
      <c r="A135" s="5"/>
      <c r="B135" s="5"/>
      <c r="C135" s="5"/>
      <c r="D135" s="5"/>
      <c r="E135" s="5"/>
      <c r="F135" s="5"/>
      <c r="G135" s="5"/>
      <c r="H135" s="12"/>
    </row>
    <row r="136" spans="1:29" s="1" customFormat="1" ht="15" x14ac:dyDescent="0.35">
      <c r="A136" s="5"/>
      <c r="B136" s="358" t="s">
        <v>38</v>
      </c>
      <c r="C136" s="358"/>
      <c r="D136" s="358"/>
      <c r="E136" s="358"/>
      <c r="F136" s="358"/>
      <c r="G136" s="358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29" s="1" customFormat="1" x14ac:dyDescent="0.2">
      <c r="A137" s="5"/>
      <c r="B137" s="5"/>
      <c r="C137" s="5"/>
      <c r="D137" s="5"/>
      <c r="E137" s="5"/>
      <c r="F137" s="5"/>
      <c r="G137" s="5"/>
      <c r="H137" s="12"/>
      <c r="I137" s="10">
        <v>98750</v>
      </c>
      <c r="J137" s="10">
        <v>97386</v>
      </c>
      <c r="K137" s="10">
        <v>103558</v>
      </c>
      <c r="L137" s="10">
        <v>104558</v>
      </c>
      <c r="M137" s="10">
        <v>109607</v>
      </c>
      <c r="N137" s="10">
        <v>112259</v>
      </c>
      <c r="O137" s="10">
        <v>115195</v>
      </c>
      <c r="P137" s="10">
        <v>113241</v>
      </c>
      <c r="Q137" s="10">
        <v>120665</v>
      </c>
      <c r="R137" s="10">
        <v>121557</v>
      </c>
      <c r="S137" s="10">
        <v>127608</v>
      </c>
      <c r="T137" s="10">
        <f>T138</f>
        <v>100997.8075449941</v>
      </c>
      <c r="U137" s="10">
        <f t="shared" ref="U137:AC137" si="25">U138</f>
        <v>104036.26745183648</v>
      </c>
      <c r="V137" s="10">
        <f t="shared" si="25"/>
        <v>100677.22007550746</v>
      </c>
      <c r="W137" s="10">
        <f t="shared" si="25"/>
        <v>110259.30140611704</v>
      </c>
      <c r="X137" s="10">
        <f t="shared" si="25"/>
        <v>81880.034353112525</v>
      </c>
      <c r="Y137" s="10">
        <f t="shared" si="25"/>
        <v>14350.994958436326</v>
      </c>
      <c r="Z137" s="10">
        <f t="shared" si="25"/>
        <v>16301.991796466256</v>
      </c>
      <c r="AA137" s="10">
        <f t="shared" si="25"/>
        <v>16829.107086630102</v>
      </c>
      <c r="AB137" s="10">
        <f t="shared" si="25"/>
        <v>16321.415470433787</v>
      </c>
      <c r="AC137" s="10">
        <f t="shared" si="25"/>
        <v>17853.088212725532</v>
      </c>
    </row>
    <row r="138" spans="1:29" s="1" customFormat="1" x14ac:dyDescent="0.2">
      <c r="A138" s="5"/>
      <c r="B138" s="5" t="s">
        <v>36</v>
      </c>
      <c r="C138" s="5"/>
      <c r="D138" s="5"/>
      <c r="E138" s="5"/>
      <c r="F138" s="5"/>
      <c r="G138" s="5"/>
      <c r="H138" s="12" t="s">
        <v>31</v>
      </c>
      <c r="I138" s="10">
        <f t="shared" ref="I138:AC138" si="26">IF(+I63&gt;0,+I63*I113/1000,+I72*I113/1000)</f>
        <v>96781.08</v>
      </c>
      <c r="J138" s="10">
        <f t="shared" si="26"/>
        <v>98850.309999999983</v>
      </c>
      <c r="K138" s="10">
        <f t="shared" si="26"/>
        <v>97433.279999999999</v>
      </c>
      <c r="L138" s="10">
        <f t="shared" si="26"/>
        <v>103509.12</v>
      </c>
      <c r="M138" s="10">
        <f t="shared" si="26"/>
        <v>104648.25</v>
      </c>
      <c r="N138" s="10">
        <f t="shared" si="26"/>
        <v>109512.2</v>
      </c>
      <c r="O138" s="10">
        <f t="shared" si="26"/>
        <v>112233.46</v>
      </c>
      <c r="P138" s="10">
        <f t="shared" si="26"/>
        <v>115291.11</v>
      </c>
      <c r="Q138" s="10">
        <f t="shared" si="26"/>
        <v>113285.52</v>
      </c>
      <c r="R138" s="10">
        <f t="shared" si="26"/>
        <v>120658.56</v>
      </c>
      <c r="S138" s="10">
        <f t="shared" si="26"/>
        <v>121591.3</v>
      </c>
      <c r="T138" s="10">
        <f t="shared" si="26"/>
        <v>100997.8075449941</v>
      </c>
      <c r="U138" s="10">
        <f t="shared" si="26"/>
        <v>104036.26745183648</v>
      </c>
      <c r="V138" s="10">
        <f t="shared" si="26"/>
        <v>100677.22007550746</v>
      </c>
      <c r="W138" s="10">
        <f t="shared" si="26"/>
        <v>110259.30140611704</v>
      </c>
      <c r="X138" s="10">
        <f t="shared" si="26"/>
        <v>81880.034353112525</v>
      </c>
      <c r="Y138" s="10">
        <f t="shared" si="26"/>
        <v>14350.994958436326</v>
      </c>
      <c r="Z138" s="10">
        <f t="shared" si="26"/>
        <v>16301.991796466256</v>
      </c>
      <c r="AA138" s="10">
        <f t="shared" si="26"/>
        <v>16829.107086630102</v>
      </c>
      <c r="AB138" s="10">
        <f t="shared" si="26"/>
        <v>16321.415470433787</v>
      </c>
      <c r="AC138" s="10">
        <f t="shared" si="26"/>
        <v>17853.088212725532</v>
      </c>
    </row>
    <row r="139" spans="1:29" s="1" customFormat="1" x14ac:dyDescent="0.2">
      <c r="A139" s="5"/>
      <c r="B139" s="5" t="s">
        <v>54</v>
      </c>
      <c r="C139" s="5"/>
      <c r="D139" s="5"/>
      <c r="E139" s="5"/>
      <c r="F139" s="5"/>
      <c r="G139" s="5"/>
      <c r="H139" s="12" t="s">
        <v>31</v>
      </c>
      <c r="I139" s="10">
        <f t="shared" ref="I139:AC139" si="27">+I105*I117/1000</f>
        <v>2609.2908000000002</v>
      </c>
      <c r="J139" s="10">
        <f t="shared" si="27"/>
        <v>2506.3025012024859</v>
      </c>
      <c r="K139" s="10">
        <f t="shared" si="27"/>
        <v>2780.5165070038502</v>
      </c>
      <c r="L139" s="10">
        <f t="shared" si="27"/>
        <v>2772.7005178427667</v>
      </c>
      <c r="M139" s="10">
        <f t="shared" si="27"/>
        <v>2924.2291295455307</v>
      </c>
      <c r="N139" s="10">
        <f t="shared" si="27"/>
        <v>3019.990167154062</v>
      </c>
      <c r="O139" s="10">
        <f t="shared" si="27"/>
        <v>3084.086649447047</v>
      </c>
      <c r="P139" s="10">
        <f t="shared" si="27"/>
        <v>2951.416140174535</v>
      </c>
      <c r="Q139" s="10">
        <f t="shared" si="27"/>
        <v>3264.1244435026283</v>
      </c>
      <c r="R139" s="10">
        <f t="shared" si="27"/>
        <v>3245.1165719162582</v>
      </c>
      <c r="S139" s="10">
        <f t="shared" si="27"/>
        <v>3126.3393031871583</v>
      </c>
      <c r="T139" s="10">
        <f t="shared" si="27"/>
        <v>2496.4470347122656</v>
      </c>
      <c r="U139" s="10">
        <f t="shared" si="27"/>
        <v>2546.2847732327564</v>
      </c>
      <c r="V139" s="10">
        <f t="shared" si="27"/>
        <v>2435.1113224573701</v>
      </c>
      <c r="W139" s="10">
        <f t="shared" si="27"/>
        <v>2694.044832798571</v>
      </c>
      <c r="X139" s="10">
        <f t="shared" si="27"/>
        <v>2092.9712752181304</v>
      </c>
      <c r="Y139" s="10">
        <f t="shared" si="27"/>
        <v>341.12276171135039</v>
      </c>
      <c r="Z139" s="10">
        <f t="shared" si="27"/>
        <v>350.47656587316328</v>
      </c>
      <c r="AA139" s="10">
        <f t="shared" si="27"/>
        <v>360.36788588800732</v>
      </c>
      <c r="AB139" s="10">
        <f t="shared" si="27"/>
        <v>370.827342691566</v>
      </c>
      <c r="AC139" s="10">
        <f t="shared" si="27"/>
        <v>286.61099593723497</v>
      </c>
    </row>
    <row r="140" spans="1:29" s="1" customFormat="1" x14ac:dyDescent="0.2">
      <c r="A140" s="5"/>
      <c r="B140" s="5" t="s">
        <v>55</v>
      </c>
      <c r="C140" s="5"/>
      <c r="D140" s="5"/>
      <c r="E140" s="5"/>
      <c r="F140" s="5"/>
      <c r="G140" s="5"/>
      <c r="H140" s="12" t="s">
        <v>31</v>
      </c>
      <c r="I140" s="8">
        <f>10089-I139</f>
        <v>7479.7091999999993</v>
      </c>
      <c r="J140" s="10">
        <f>3122-J139</f>
        <v>615.69749879751407</v>
      </c>
      <c r="K140" s="10">
        <f>7987-K139</f>
        <v>5206.4834929961498</v>
      </c>
      <c r="L140" s="10">
        <f>4264-L139</f>
        <v>1491.2994821572333</v>
      </c>
      <c r="M140" s="10">
        <f>3833-M139</f>
        <v>908.77087045446933</v>
      </c>
      <c r="N140" s="10">
        <f>6174-N139</f>
        <v>3154.009832845938</v>
      </c>
      <c r="O140" s="10">
        <f>8149-O139</f>
        <v>5064.9133505529535</v>
      </c>
      <c r="P140" s="10">
        <f>3646-P139</f>
        <v>694.58385982546497</v>
      </c>
      <c r="Q140" s="10">
        <f>8516-Q139</f>
        <v>5251.8755564973717</v>
      </c>
      <c r="R140" s="10">
        <f>3601-R139</f>
        <v>355.88342808374182</v>
      </c>
      <c r="S140" s="10">
        <f>5085-S139</f>
        <v>1958.6606968128417</v>
      </c>
      <c r="T140" s="10">
        <v>909.04492528190713</v>
      </c>
      <c r="U140" s="10">
        <v>3154.3522021809677</v>
      </c>
      <c r="V140" s="10">
        <v>5065.3202536211393</v>
      </c>
      <c r="W140" s="10">
        <v>695.02493093184012</v>
      </c>
      <c r="X140" s="10">
        <v>5252.4177813626557</v>
      </c>
      <c r="Y140" s="10">
        <v>356.47393064504831</v>
      </c>
      <c r="Z140" s="10">
        <f>+Y140*(1+Z$28)</f>
        <v>366.24867367104122</v>
      </c>
      <c r="AA140" s="10">
        <f>+Z140*(1+AA$28)</f>
        <v>376.5851217792536</v>
      </c>
      <c r="AB140" s="10">
        <f>+AA140*(1+AB$28)</f>
        <v>387.51527390534261</v>
      </c>
      <c r="AC140" s="10">
        <f>+AB140*(1+AC$28)</f>
        <v>399.34537652573403</v>
      </c>
    </row>
    <row r="141" spans="1:29" s="1" customFormat="1" x14ac:dyDescent="0.2">
      <c r="A141" s="5"/>
      <c r="B141" s="5" t="s">
        <v>306</v>
      </c>
      <c r="C141" s="5"/>
      <c r="D141" s="5"/>
      <c r="E141" s="5"/>
      <c r="F141" s="5"/>
      <c r="G141" s="5"/>
      <c r="H141" s="12" t="s">
        <v>31</v>
      </c>
      <c r="I141" s="8">
        <v>495</v>
      </c>
      <c r="J141" s="10">
        <v>883</v>
      </c>
      <c r="K141" s="10">
        <f t="shared" ref="K141:AC141" si="28">J141*(1+K28)</f>
        <v>908.62853328282586</v>
      </c>
      <c r="L141" s="10">
        <f t="shared" si="28"/>
        <v>934.54551984839179</v>
      </c>
      <c r="M141" s="10">
        <f t="shared" si="28"/>
        <v>960.73337250857162</v>
      </c>
      <c r="N141" s="10">
        <f t="shared" si="28"/>
        <v>986.88471339686669</v>
      </c>
      <c r="O141" s="10">
        <f t="shared" si="28"/>
        <v>1013.2533521039149</v>
      </c>
      <c r="P141" s="10">
        <f t="shared" si="28"/>
        <v>1039.8187970222059</v>
      </c>
      <c r="Q141" s="10">
        <f t="shared" si="28"/>
        <v>1066.6639086952582</v>
      </c>
      <c r="R141" s="10">
        <f t="shared" si="28"/>
        <v>1093.7745112225957</v>
      </c>
      <c r="S141" s="10">
        <f t="shared" si="28"/>
        <v>1121.3549494750739</v>
      </c>
      <c r="T141" s="10">
        <f t="shared" si="28"/>
        <v>1149.4061133198127</v>
      </c>
      <c r="U141" s="10">
        <f t="shared" si="28"/>
        <v>1178.5045304063294</v>
      </c>
      <c r="V141" s="10">
        <f t="shared" si="28"/>
        <v>1208.8120039402174</v>
      </c>
      <c r="W141" s="10">
        <f t="shared" si="28"/>
        <v>1240.3834558954427</v>
      </c>
      <c r="X141" s="10">
        <f t="shared" si="28"/>
        <v>1273.5253444693656</v>
      </c>
      <c r="Y141" s="10">
        <f t="shared" si="28"/>
        <v>1308.063301306687</v>
      </c>
      <c r="Z141" s="10">
        <f t="shared" si="28"/>
        <v>1343.9312331043034</v>
      </c>
      <c r="AA141" s="10">
        <f t="shared" si="28"/>
        <v>1381.8603136733857</v>
      </c>
      <c r="AB141" s="10">
        <f t="shared" si="28"/>
        <v>1421.9679615116581</v>
      </c>
      <c r="AC141" s="10">
        <f t="shared" si="28"/>
        <v>1465.377932783399</v>
      </c>
    </row>
    <row r="142" spans="1:29" s="1" customFormat="1" x14ac:dyDescent="0.2">
      <c r="A142" s="5"/>
      <c r="B142" s="5" t="s">
        <v>56</v>
      </c>
      <c r="C142" s="5"/>
      <c r="D142" s="5"/>
      <c r="E142" s="5"/>
      <c r="F142" s="5"/>
      <c r="G142" s="5"/>
      <c r="H142" s="12" t="s">
        <v>31</v>
      </c>
      <c r="I142" s="8">
        <v>964</v>
      </c>
      <c r="J142" s="10">
        <f>+I142*(1+J$28)</f>
        <v>992.9458710029412</v>
      </c>
      <c r="K142" s="10">
        <f t="shared" ref="K142:AC142" si="29">+J142*(1+K$28)</f>
        <v>1021.7655157402496</v>
      </c>
      <c r="L142" s="10">
        <f t="shared" si="29"/>
        <v>1050.9095302352862</v>
      </c>
      <c r="M142" s="10">
        <f t="shared" si="29"/>
        <v>1080.3581374486032</v>
      </c>
      <c r="N142" s="10">
        <f t="shared" si="29"/>
        <v>1109.7656866628988</v>
      </c>
      <c r="O142" s="10">
        <f t="shared" si="29"/>
        <v>1139.4175903187672</v>
      </c>
      <c r="P142" s="10">
        <f t="shared" si="29"/>
        <v>1169.2908053164717</v>
      </c>
      <c r="Q142" s="10">
        <f t="shared" si="29"/>
        <v>1199.4785094980914</v>
      </c>
      <c r="R142" s="10">
        <f t="shared" si="29"/>
        <v>1229.9647618649335</v>
      </c>
      <c r="S142" s="10">
        <f t="shared" si="29"/>
        <v>1260.9793510871868</v>
      </c>
      <c r="T142" s="10">
        <f t="shared" si="29"/>
        <v>1292.523277832895</v>
      </c>
      <c r="U142" s="10">
        <f t="shared" si="29"/>
        <v>1325.2448555212056</v>
      </c>
      <c r="V142" s="10">
        <f t="shared" si="29"/>
        <v>1359.3260341237028</v>
      </c>
      <c r="W142" s="10">
        <f t="shared" si="29"/>
        <v>1394.828574169579</v>
      </c>
      <c r="X142" s="10">
        <f t="shared" si="29"/>
        <v>1432.0970921953053</v>
      </c>
      <c r="Y142" s="10">
        <f t="shared" si="29"/>
        <v>1470.9355085424129</v>
      </c>
      <c r="Z142" s="10">
        <f t="shared" si="29"/>
        <v>1511.269500365582</v>
      </c>
      <c r="AA142" s="10">
        <f t="shared" si="29"/>
        <v>1553.9212828593625</v>
      </c>
      <c r="AB142" s="10">
        <f t="shared" si="29"/>
        <v>1599.0228947695011</v>
      </c>
      <c r="AC142" s="10">
        <f t="shared" si="29"/>
        <v>1647.8380156467733</v>
      </c>
    </row>
    <row r="143" spans="1:29" s="1" customFormat="1" x14ac:dyDescent="0.2">
      <c r="A143" s="5"/>
      <c r="B143" s="5" t="s">
        <v>57</v>
      </c>
      <c r="C143" s="5"/>
      <c r="D143" s="5"/>
      <c r="E143" s="5"/>
      <c r="F143" s="5"/>
      <c r="G143" s="5"/>
      <c r="H143" s="12" t="s">
        <v>31</v>
      </c>
      <c r="I143" s="8">
        <v>706</v>
      </c>
      <c r="J143" s="10">
        <f>+I143*(1+J$28)</f>
        <v>727.19894702082627</v>
      </c>
      <c r="K143" s="10">
        <f t="shared" ref="K143:AC143" si="30">+J143*(1+K$28)</f>
        <v>748.30545032429075</v>
      </c>
      <c r="L143" s="10">
        <f t="shared" si="30"/>
        <v>769.64951073248153</v>
      </c>
      <c r="M143" s="10">
        <f t="shared" si="30"/>
        <v>791.21664423103118</v>
      </c>
      <c r="N143" s="10">
        <f t="shared" si="30"/>
        <v>812.75370828216467</v>
      </c>
      <c r="O143" s="10">
        <f t="shared" si="30"/>
        <v>834.46972900938783</v>
      </c>
      <c r="P143" s="10">
        <f t="shared" si="30"/>
        <v>856.34783044961546</v>
      </c>
      <c r="Q143" s="10">
        <f t="shared" si="30"/>
        <v>878.45625280669378</v>
      </c>
      <c r="R143" s="10">
        <f t="shared" si="30"/>
        <v>900.78332144880017</v>
      </c>
      <c r="S143" s="10">
        <f t="shared" si="30"/>
        <v>923.49732558874916</v>
      </c>
      <c r="T143" s="10">
        <f t="shared" si="30"/>
        <v>946.59899808093792</v>
      </c>
      <c r="U143" s="10">
        <f t="shared" si="30"/>
        <v>970.56314107673381</v>
      </c>
      <c r="V143" s="10">
        <f t="shared" si="30"/>
        <v>995.52300839350039</v>
      </c>
      <c r="W143" s="10">
        <f t="shared" si="30"/>
        <v>1021.523831290169</v>
      </c>
      <c r="X143" s="10">
        <f t="shared" si="30"/>
        <v>1048.8179949065204</v>
      </c>
      <c r="Y143" s="10">
        <f t="shared" si="30"/>
        <v>1077.2618973350038</v>
      </c>
      <c r="Z143" s="10">
        <f t="shared" si="30"/>
        <v>1106.8011071142128</v>
      </c>
      <c r="AA143" s="10">
        <f t="shared" si="30"/>
        <v>1138.0377859945127</v>
      </c>
      <c r="AB143" s="10">
        <f t="shared" si="30"/>
        <v>1171.0686345511081</v>
      </c>
      <c r="AC143" s="10">
        <f t="shared" si="30"/>
        <v>1206.8191276417244</v>
      </c>
    </row>
    <row r="144" spans="1:29" s="1" customFormat="1" x14ac:dyDescent="0.2">
      <c r="A144" s="5"/>
      <c r="B144" s="5" t="s">
        <v>58</v>
      </c>
      <c r="C144" s="5"/>
      <c r="D144" s="5"/>
      <c r="E144" s="5"/>
      <c r="F144" s="5"/>
      <c r="G144" s="5"/>
      <c r="H144" s="12" t="s">
        <v>31</v>
      </c>
      <c r="I144" s="8">
        <v>3936</v>
      </c>
      <c r="J144" s="10">
        <f>+I144*(1+J$28)</f>
        <v>4054.1856309829636</v>
      </c>
      <c r="K144" s="10">
        <f t="shared" ref="K144:AC144" si="31">+J144*(1+K$28)</f>
        <v>4171.8558816946297</v>
      </c>
      <c r="L144" s="10">
        <f t="shared" si="31"/>
        <v>4290.8505300893021</v>
      </c>
      <c r="M144" s="10">
        <f t="shared" si="31"/>
        <v>4411.0888267611026</v>
      </c>
      <c r="N144" s="10">
        <f t="shared" si="31"/>
        <v>4531.1594841339938</v>
      </c>
      <c r="O144" s="10">
        <f t="shared" si="31"/>
        <v>4652.2278376500708</v>
      </c>
      <c r="P144" s="10">
        <f t="shared" si="31"/>
        <v>4774.1998026199517</v>
      </c>
      <c r="Q144" s="10">
        <f t="shared" si="31"/>
        <v>4897.4558230129551</v>
      </c>
      <c r="R144" s="10">
        <f t="shared" si="31"/>
        <v>5021.9308119298539</v>
      </c>
      <c r="S144" s="10">
        <f t="shared" si="31"/>
        <v>5148.5629936505893</v>
      </c>
      <c r="T144" s="10">
        <f t="shared" si="31"/>
        <v>5277.3564538903265</v>
      </c>
      <c r="U144" s="10">
        <f t="shared" si="31"/>
        <v>5410.9582482691549</v>
      </c>
      <c r="V144" s="10">
        <f t="shared" si="31"/>
        <v>5550.1112762561143</v>
      </c>
      <c r="W144" s="10">
        <f t="shared" si="31"/>
        <v>5695.0677053230938</v>
      </c>
      <c r="X144" s="10">
        <f t="shared" si="31"/>
        <v>5847.234600498673</v>
      </c>
      <c r="Y144" s="10">
        <f t="shared" si="31"/>
        <v>6005.8113709781492</v>
      </c>
      <c r="Z144" s="10">
        <f t="shared" si="31"/>
        <v>6170.4945575092624</v>
      </c>
      <c r="AA144" s="10">
        <f t="shared" si="31"/>
        <v>6344.6412544963168</v>
      </c>
      <c r="AB144" s="10">
        <f t="shared" si="31"/>
        <v>6528.7905744945601</v>
      </c>
      <c r="AC144" s="10">
        <f t="shared" si="31"/>
        <v>6728.1021053793565</v>
      </c>
    </row>
    <row r="145" spans="1:29" s="1" customFormat="1" x14ac:dyDescent="0.2">
      <c r="A145" s="5"/>
      <c r="B145" s="5" t="s">
        <v>59</v>
      </c>
      <c r="C145" s="5"/>
      <c r="D145" s="5"/>
      <c r="E145" s="5"/>
      <c r="F145" s="5"/>
      <c r="G145" s="5"/>
      <c r="H145" s="12" t="s">
        <v>31</v>
      </c>
      <c r="I145" s="8">
        <v>2201</v>
      </c>
      <c r="J145" s="10">
        <f>+I145*(1+J$28)</f>
        <v>2267.0890685450972</v>
      </c>
      <c r="K145" s="10">
        <f t="shared" ref="K145:AC145" si="32">+J145*(1+K$28)</f>
        <v>2332.889937909014</v>
      </c>
      <c r="L145" s="10">
        <f t="shared" si="32"/>
        <v>2399.4314066886568</v>
      </c>
      <c r="M145" s="10">
        <f t="shared" si="32"/>
        <v>2466.6683200460334</v>
      </c>
      <c r="N145" s="10">
        <f t="shared" si="32"/>
        <v>2533.8114899844823</v>
      </c>
      <c r="O145" s="10">
        <f t="shared" si="32"/>
        <v>2601.5125687672275</v>
      </c>
      <c r="P145" s="10">
        <f t="shared" si="32"/>
        <v>2669.7189445036879</v>
      </c>
      <c r="Q145" s="10">
        <f t="shared" si="32"/>
        <v>2738.6433603789419</v>
      </c>
      <c r="R145" s="10">
        <f t="shared" si="32"/>
        <v>2808.249419984149</v>
      </c>
      <c r="S145" s="10">
        <f t="shared" si="32"/>
        <v>2879.061775666908</v>
      </c>
      <c r="T145" s="10">
        <f t="shared" si="32"/>
        <v>2951.0827121475131</v>
      </c>
      <c r="U145" s="10">
        <f t="shared" si="32"/>
        <v>3025.7924553964463</v>
      </c>
      <c r="V145" s="10">
        <f t="shared" si="32"/>
        <v>3103.6064326828532</v>
      </c>
      <c r="W145" s="10">
        <f t="shared" si="32"/>
        <v>3184.6656553394646</v>
      </c>
      <c r="X145" s="10">
        <f t="shared" si="32"/>
        <v>3269.7569501264184</v>
      </c>
      <c r="Y145" s="10">
        <f t="shared" si="32"/>
        <v>3358.4326289438291</v>
      </c>
      <c r="Z145" s="10">
        <f t="shared" si="32"/>
        <v>3450.5229982413343</v>
      </c>
      <c r="AA145" s="10">
        <f t="shared" si="32"/>
        <v>3547.9053356571135</v>
      </c>
      <c r="AB145" s="10">
        <f t="shared" si="32"/>
        <v>3650.8811113980009</v>
      </c>
      <c r="AC145" s="10">
        <f t="shared" si="32"/>
        <v>3762.3355523221467</v>
      </c>
    </row>
    <row r="146" spans="1:29" s="1" customFormat="1" x14ac:dyDescent="0.2">
      <c r="A146" s="5"/>
      <c r="B146" s="5" t="s">
        <v>61</v>
      </c>
      <c r="C146" s="5"/>
      <c r="D146" s="5"/>
      <c r="E146" s="5"/>
      <c r="F146" s="5"/>
      <c r="G146" s="5"/>
      <c r="H146" s="12" t="s">
        <v>31</v>
      </c>
      <c r="I146" s="8">
        <v>489</v>
      </c>
      <c r="J146" s="10">
        <f>+I146*(1+J$28)</f>
        <v>503.6831233614505</v>
      </c>
      <c r="K146" s="10">
        <f t="shared" ref="K146:AC146" si="33">+J146*(1+K$28)</f>
        <v>518.30221700931759</v>
      </c>
      <c r="L146" s="10">
        <f t="shared" si="33"/>
        <v>533.08585091810698</v>
      </c>
      <c r="M146" s="10">
        <f t="shared" si="33"/>
        <v>548.02399295888711</v>
      </c>
      <c r="N146" s="10">
        <f t="shared" si="33"/>
        <v>562.94130786115943</v>
      </c>
      <c r="O146" s="10">
        <f t="shared" si="33"/>
        <v>577.98257434219647</v>
      </c>
      <c r="P146" s="10">
        <f t="shared" si="33"/>
        <v>593.13610352671674</v>
      </c>
      <c r="Q146" s="10">
        <f t="shared" si="33"/>
        <v>608.44916093834752</v>
      </c>
      <c r="R146" s="10">
        <f t="shared" si="33"/>
        <v>623.91366032360247</v>
      </c>
      <c r="S146" s="10">
        <f t="shared" si="33"/>
        <v>639.64616460750483</v>
      </c>
      <c r="T146" s="10">
        <f t="shared" si="33"/>
        <v>655.64718139033812</v>
      </c>
      <c r="U146" s="10">
        <f t="shared" si="33"/>
        <v>672.2455750517322</v>
      </c>
      <c r="V146" s="10">
        <f t="shared" si="33"/>
        <v>689.5336417909657</v>
      </c>
      <c r="W146" s="10">
        <f t="shared" si="33"/>
        <v>707.54271034120791</v>
      </c>
      <c r="X146" s="10">
        <f t="shared" si="33"/>
        <v>726.44759137293011</v>
      </c>
      <c r="Y146" s="10">
        <f t="shared" si="33"/>
        <v>746.14882124195049</v>
      </c>
      <c r="Z146" s="10">
        <f t="shared" si="33"/>
        <v>766.60869883689827</v>
      </c>
      <c r="AA146" s="10">
        <f t="shared" si="33"/>
        <v>788.24430219733256</v>
      </c>
      <c r="AB146" s="10">
        <f t="shared" si="33"/>
        <v>811.12260948369965</v>
      </c>
      <c r="AC146" s="10">
        <f t="shared" si="33"/>
        <v>835.88463656771023</v>
      </c>
    </row>
    <row r="147" spans="1:29" s="1" customFormat="1" x14ac:dyDescent="0.2">
      <c r="A147" s="5"/>
      <c r="B147" s="5" t="s">
        <v>64</v>
      </c>
      <c r="C147" s="5"/>
      <c r="D147" s="5"/>
      <c r="E147" s="5"/>
      <c r="F147" s="5"/>
      <c r="G147" s="96" t="s">
        <v>63</v>
      </c>
      <c r="H147" s="12" t="s">
        <v>31</v>
      </c>
      <c r="I147" s="8">
        <v>-575</v>
      </c>
      <c r="J147" s="8">
        <v>-753</v>
      </c>
      <c r="K147" s="8">
        <v>-941</v>
      </c>
      <c r="L147" s="8">
        <v>-1133</v>
      </c>
      <c r="M147" s="8">
        <v>-1155</v>
      </c>
      <c r="N147" s="8">
        <v>-1185</v>
      </c>
      <c r="O147" s="8">
        <v>-1215</v>
      </c>
      <c r="P147" s="8">
        <v>-622</v>
      </c>
      <c r="Q147" s="8">
        <v>-886</v>
      </c>
      <c r="R147" s="8">
        <v>-1099</v>
      </c>
      <c r="S147" s="8">
        <v>-1325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</row>
    <row r="148" spans="1:29" s="1" customFormat="1" x14ac:dyDescent="0.2">
      <c r="A148" s="5"/>
      <c r="B148" s="5" t="s">
        <v>62</v>
      </c>
      <c r="C148" s="5"/>
      <c r="D148" s="5"/>
      <c r="E148" s="5"/>
      <c r="F148" s="5"/>
      <c r="G148" s="5"/>
      <c r="H148" s="12" t="s">
        <v>31</v>
      </c>
      <c r="I148" s="8">
        <v>1036</v>
      </c>
      <c r="J148" s="10">
        <v>2190</v>
      </c>
      <c r="K148" s="10">
        <v>2413</v>
      </c>
      <c r="L148" s="10">
        <v>2309</v>
      </c>
      <c r="M148" s="10">
        <v>2352</v>
      </c>
      <c r="N148" s="10">
        <v>2327</v>
      </c>
      <c r="O148" s="10">
        <v>2322</v>
      </c>
      <c r="P148" s="10">
        <v>2145</v>
      </c>
      <c r="Q148" s="10">
        <v>2381</v>
      </c>
      <c r="R148" s="10">
        <v>2248</v>
      </c>
      <c r="S148" s="10">
        <v>2347</v>
      </c>
      <c r="T148" s="10">
        <f t="shared" ref="T148:AC148" si="34">S148*(1+T28)</f>
        <v>2405.7111882588297</v>
      </c>
      <c r="U148" s="10">
        <f t="shared" si="34"/>
        <v>2466.6142813731235</v>
      </c>
      <c r="V148" s="10">
        <f t="shared" si="34"/>
        <v>2530.0479340424527</v>
      </c>
      <c r="W148" s="10">
        <f t="shared" si="34"/>
        <v>2596.1270981586858</v>
      </c>
      <c r="X148" s="10">
        <f t="shared" si="34"/>
        <v>2665.4931918468701</v>
      </c>
      <c r="Y148" s="10">
        <f t="shared" si="34"/>
        <v>2737.7812615032612</v>
      </c>
      <c r="Z148" s="10">
        <f t="shared" si="34"/>
        <v>2812.8529736033529</v>
      </c>
      <c r="AA148" s="10">
        <f t="shared" si="34"/>
        <v>2892.2386776012777</v>
      </c>
      <c r="AB148" s="10">
        <f t="shared" si="34"/>
        <v>2976.1841308411194</v>
      </c>
      <c r="AC148" s="10">
        <f t="shared" si="34"/>
        <v>3067.0413590742219</v>
      </c>
    </row>
    <row r="149" spans="1:29" s="1" customFormat="1" x14ac:dyDescent="0.2">
      <c r="A149" s="5"/>
      <c r="B149" s="5" t="s">
        <v>3</v>
      </c>
      <c r="C149" s="5"/>
      <c r="D149" s="5"/>
      <c r="E149" s="5"/>
      <c r="F149" s="5"/>
      <c r="G149" s="5"/>
      <c r="H149" s="12" t="s">
        <v>31</v>
      </c>
      <c r="I149" s="209">
        <f>IF(+$G147="Y",SUM(I138:I148),SUM(I138:I148)-I147)-I138+I137</f>
        <v>118091</v>
      </c>
      <c r="J149" s="209">
        <f t="shared" ref="J149:AC149" si="35">IF(+$G147="Y",SUM(J138:J148),SUM(J138:J148)-J147)-J138+J137</f>
        <v>111373.10264091328</v>
      </c>
      <c r="K149" s="209">
        <f t="shared" si="35"/>
        <v>122718.74753596033</v>
      </c>
      <c r="L149" s="209">
        <f t="shared" si="35"/>
        <v>119976.47234851224</v>
      </c>
      <c r="M149" s="209">
        <f t="shared" si="35"/>
        <v>124895.08929395424</v>
      </c>
      <c r="N149" s="209">
        <f t="shared" si="35"/>
        <v>130112.31639032156</v>
      </c>
      <c r="O149" s="209">
        <f t="shared" si="35"/>
        <v>135269.86365219159</v>
      </c>
      <c r="P149" s="209">
        <f t="shared" si="35"/>
        <v>129512.51228343866</v>
      </c>
      <c r="Q149" s="209">
        <f t="shared" si="35"/>
        <v>142065.14701533032</v>
      </c>
      <c r="R149" s="209">
        <f t="shared" si="35"/>
        <v>137985.61648677394</v>
      </c>
      <c r="S149" s="209">
        <f t="shared" si="35"/>
        <v>145688.10256007599</v>
      </c>
      <c r="T149" s="209">
        <f t="shared" si="35"/>
        <v>119081.62542990893</v>
      </c>
      <c r="U149" s="209">
        <f t="shared" si="35"/>
        <v>124786.82751434491</v>
      </c>
      <c r="V149" s="209">
        <f t="shared" si="35"/>
        <v>123614.61198281577</v>
      </c>
      <c r="W149" s="209">
        <f t="shared" si="35"/>
        <v>129488.51020036508</v>
      </c>
      <c r="X149" s="209">
        <f t="shared" si="35"/>
        <v>105488.79617510941</v>
      </c>
      <c r="Y149" s="209">
        <f t="shared" si="35"/>
        <v>31753.026440644018</v>
      </c>
      <c r="Z149" s="209">
        <f t="shared" si="35"/>
        <v>34181.198104785413</v>
      </c>
      <c r="AA149" s="209">
        <f t="shared" si="35"/>
        <v>35212.909046776665</v>
      </c>
      <c r="AB149" s="209">
        <f t="shared" si="35"/>
        <v>35238.796004080345</v>
      </c>
      <c r="AC149" s="209">
        <f t="shared" si="35"/>
        <v>37252.443314603828</v>
      </c>
    </row>
    <row r="150" spans="1:29" s="1" customFormat="1" x14ac:dyDescent="0.2">
      <c r="A150" s="5"/>
      <c r="B150" s="5"/>
      <c r="C150" s="5"/>
      <c r="D150" s="5"/>
      <c r="E150" s="5"/>
      <c r="F150" s="5"/>
      <c r="G150" s="5"/>
      <c r="H150" s="12"/>
      <c r="I150" s="93">
        <v>118091</v>
      </c>
      <c r="J150" s="93">
        <v>111359</v>
      </c>
      <c r="K150" s="93">
        <v>122679</v>
      </c>
      <c r="L150" s="93">
        <v>119907</v>
      </c>
      <c r="M150" s="93">
        <v>124799</v>
      </c>
      <c r="N150" s="93">
        <v>129992</v>
      </c>
      <c r="O150" s="93">
        <v>135124</v>
      </c>
      <c r="P150" s="93">
        <v>129339</v>
      </c>
      <c r="Q150" s="93">
        <v>141863</v>
      </c>
      <c r="R150" s="93">
        <v>137752</v>
      </c>
      <c r="S150" s="93">
        <v>145434</v>
      </c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spans="1:29" s="1" customFormat="1" ht="13.5" thickBot="1" x14ac:dyDescent="0.25">
      <c r="A151" s="5"/>
      <c r="B151" s="13" t="s">
        <v>65</v>
      </c>
      <c r="C151" s="5"/>
      <c r="D151" s="5"/>
      <c r="E151" s="5"/>
      <c r="F151" s="5"/>
      <c r="G151" s="5"/>
      <c r="H151" s="12" t="s">
        <v>31</v>
      </c>
      <c r="I151" s="211">
        <f t="shared" ref="I151:AC151" si="36">+I134-I149</f>
        <v>49830.852150347695</v>
      </c>
      <c r="J151" s="211">
        <f t="shared" si="36"/>
        <v>50325.229125000566</v>
      </c>
      <c r="K151" s="211">
        <f t="shared" si="36"/>
        <v>59289.361029175532</v>
      </c>
      <c r="L151" s="211">
        <f t="shared" si="36"/>
        <v>63182.071420277673</v>
      </c>
      <c r="M151" s="211">
        <f t="shared" si="36"/>
        <v>71042.931250146052</v>
      </c>
      <c r="N151" s="211">
        <f t="shared" si="36"/>
        <v>75136.457065168273</v>
      </c>
      <c r="O151" s="211">
        <f t="shared" si="36"/>
        <v>77366.898421635589</v>
      </c>
      <c r="P151" s="211">
        <f t="shared" si="36"/>
        <v>76597.235251715072</v>
      </c>
      <c r="Q151" s="211">
        <f t="shared" si="36"/>
        <v>91255.894600890344</v>
      </c>
      <c r="R151" s="211">
        <f t="shared" si="36"/>
        <v>98257.573991625104</v>
      </c>
      <c r="S151" s="211">
        <f t="shared" si="36"/>
        <v>72148.158824405808</v>
      </c>
      <c r="T151" s="211">
        <f t="shared" si="36"/>
        <v>19896.031231995134</v>
      </c>
      <c r="U151" s="211">
        <f t="shared" si="36"/>
        <v>16881.889318118891</v>
      </c>
      <c r="V151" s="211">
        <f t="shared" si="36"/>
        <v>12382.400307004238</v>
      </c>
      <c r="W151" s="211">
        <f t="shared" si="36"/>
        <v>20524.980379020635</v>
      </c>
      <c r="X151" s="211">
        <f t="shared" si="36"/>
        <v>11881.280703991637</v>
      </c>
      <c r="Y151" s="211">
        <f t="shared" si="36"/>
        <v>-3581.4748562808381</v>
      </c>
      <c r="Z151" s="211">
        <f t="shared" si="36"/>
        <v>-5499.5256732583002</v>
      </c>
      <c r="AA151" s="211">
        <f t="shared" si="36"/>
        <v>-5995.8584460188722</v>
      </c>
      <c r="AB151" s="211">
        <f t="shared" si="36"/>
        <v>-5460.0247136497273</v>
      </c>
      <c r="AC151" s="211">
        <f t="shared" si="36"/>
        <v>-9751.9231620097999</v>
      </c>
    </row>
    <row r="152" spans="1:29" s="1" customFormat="1" ht="13.5" thickTop="1" x14ac:dyDescent="0.2">
      <c r="A152" s="5"/>
      <c r="B152" s="13"/>
      <c r="C152" s="5"/>
      <c r="D152" s="5"/>
      <c r="E152" s="5"/>
      <c r="F152" s="5"/>
      <c r="G152" s="5"/>
      <c r="H152" s="1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spans="1:29" s="1" customFormat="1" x14ac:dyDescent="0.2">
      <c r="A153" s="5"/>
      <c r="B153" s="5" t="s">
        <v>302</v>
      </c>
      <c r="C153" s="5"/>
      <c r="D153" s="5"/>
      <c r="E153" s="5"/>
      <c r="F153" s="5"/>
      <c r="G153" s="5"/>
      <c r="H153" s="12"/>
      <c r="I153" s="21">
        <v>50125</v>
      </c>
      <c r="J153" s="21">
        <v>50634</v>
      </c>
      <c r="K153" s="21">
        <v>60441</v>
      </c>
      <c r="L153" s="21">
        <v>64302</v>
      </c>
      <c r="M153" s="21">
        <v>72335</v>
      </c>
      <c r="N153" s="21">
        <v>76994</v>
      </c>
      <c r="O153" s="21">
        <v>79325</v>
      </c>
      <c r="P153" s="21">
        <v>78158</v>
      </c>
      <c r="Q153" s="21">
        <v>94562</v>
      </c>
      <c r="R153" s="21">
        <v>101273</v>
      </c>
      <c r="S153" s="21">
        <v>87533</v>
      </c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s="1" customFormat="1" x14ac:dyDescent="0.2">
      <c r="A154" s="5"/>
      <c r="B154" s="5" t="s">
        <v>303</v>
      </c>
      <c r="C154" s="5"/>
      <c r="D154" s="5"/>
      <c r="E154" s="5"/>
      <c r="F154" s="5"/>
      <c r="G154" s="5"/>
      <c r="H154" s="12"/>
      <c r="I154" s="21">
        <f>56770-17578</f>
        <v>39192</v>
      </c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s="1" customFormat="1" ht="18" x14ac:dyDescent="0.25">
      <c r="A155" s="94" t="s">
        <v>53</v>
      </c>
      <c r="B155" s="5"/>
      <c r="C155" s="5"/>
      <c r="D155" s="5"/>
      <c r="E155" s="5"/>
      <c r="F155" s="5"/>
      <c r="G155" s="5"/>
    </row>
    <row r="156" spans="1:29" s="1" customFormat="1" x14ac:dyDescent="0.2">
      <c r="A156" s="5"/>
      <c r="B156" s="5"/>
      <c r="C156" s="5"/>
      <c r="D156" s="5"/>
      <c r="E156" s="5"/>
      <c r="F156" s="5"/>
      <c r="G156" s="5"/>
    </row>
    <row r="157" spans="1:29" s="1" customFormat="1" ht="15" x14ac:dyDescent="0.35">
      <c r="A157" s="5"/>
      <c r="B157" s="358" t="s">
        <v>67</v>
      </c>
      <c r="C157" s="358"/>
      <c r="D157" s="358"/>
      <c r="E157" s="358"/>
      <c r="F157" s="358"/>
      <c r="G157" s="358"/>
    </row>
    <row r="158" spans="1:29" s="1" customFormat="1" x14ac:dyDescent="0.2">
      <c r="A158" s="5"/>
      <c r="B158" s="5"/>
      <c r="C158" s="5"/>
      <c r="D158" s="5"/>
      <c r="E158" s="5"/>
      <c r="F158" s="5"/>
      <c r="G158" s="5"/>
    </row>
    <row r="159" spans="1:29" s="1" customFormat="1" x14ac:dyDescent="0.2">
      <c r="A159" s="5"/>
      <c r="B159" s="5" t="s">
        <v>87</v>
      </c>
      <c r="C159" s="5"/>
      <c r="D159" s="5"/>
      <c r="E159" s="5"/>
      <c r="F159" s="5"/>
      <c r="G159" s="5"/>
      <c r="H159" s="12" t="s">
        <v>6</v>
      </c>
      <c r="I159" s="8">
        <v>250</v>
      </c>
      <c r="J159" s="8">
        <v>250</v>
      </c>
      <c r="K159" s="8">
        <v>250</v>
      </c>
      <c r="L159" s="8">
        <v>250</v>
      </c>
      <c r="M159" s="8">
        <v>250</v>
      </c>
      <c r="N159" s="8">
        <v>250</v>
      </c>
      <c r="O159" s="8">
        <v>250</v>
      </c>
      <c r="P159" s="8">
        <v>250</v>
      </c>
      <c r="Q159" s="8">
        <v>250</v>
      </c>
      <c r="R159" s="8">
        <v>250</v>
      </c>
      <c r="S159" s="8">
        <v>250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</row>
    <row r="160" spans="1:29" s="1" customFormat="1" x14ac:dyDescent="0.2">
      <c r="A160" s="5"/>
      <c r="B160" s="5"/>
      <c r="C160" s="5"/>
      <c r="D160" s="5"/>
      <c r="E160" s="5"/>
      <c r="F160" s="5"/>
      <c r="G160" s="5"/>
      <c r="H160" s="1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s="1" customFormat="1" x14ac:dyDescent="0.2">
      <c r="A161" s="5"/>
      <c r="B161" s="5" t="s">
        <v>19</v>
      </c>
      <c r="C161" s="5"/>
      <c r="D161" s="5"/>
      <c r="E161" s="5"/>
      <c r="F161" s="5"/>
      <c r="G161" s="5"/>
      <c r="H161" s="12" t="s">
        <v>20</v>
      </c>
      <c r="I161" s="8">
        <v>9102</v>
      </c>
      <c r="J161" s="8">
        <v>9163</v>
      </c>
      <c r="K161" s="8">
        <v>9224</v>
      </c>
      <c r="L161" s="8">
        <v>9057</v>
      </c>
      <c r="M161" s="8">
        <v>9117</v>
      </c>
      <c r="N161" s="8">
        <v>9178</v>
      </c>
      <c r="O161" s="8">
        <v>9102</v>
      </c>
      <c r="P161" s="8">
        <v>9163</v>
      </c>
      <c r="Q161" s="8">
        <v>9224</v>
      </c>
      <c r="R161" s="8">
        <v>9057</v>
      </c>
      <c r="S161" s="8">
        <v>9117</v>
      </c>
      <c r="T161" s="8">
        <v>9178</v>
      </c>
      <c r="U161" s="8">
        <v>9102</v>
      </c>
      <c r="V161" s="8">
        <v>9163</v>
      </c>
      <c r="W161" s="8">
        <v>9224</v>
      </c>
      <c r="X161" s="8">
        <v>9057</v>
      </c>
      <c r="Y161" s="8">
        <v>9117</v>
      </c>
      <c r="Z161" s="8">
        <v>9178</v>
      </c>
      <c r="AA161" s="8">
        <v>9102</v>
      </c>
      <c r="AB161" s="8">
        <v>9163</v>
      </c>
      <c r="AC161" s="8">
        <v>9224</v>
      </c>
    </row>
    <row r="162" spans="1:29" s="1" customFormat="1" x14ac:dyDescent="0.2">
      <c r="A162" s="5"/>
    </row>
    <row r="163" spans="1:29" s="1" customFormat="1" x14ac:dyDescent="0.2">
      <c r="A163" s="5"/>
      <c r="B163" s="5" t="s">
        <v>37</v>
      </c>
      <c r="C163" s="5"/>
      <c r="D163" s="5"/>
      <c r="E163" s="5"/>
      <c r="F163" s="5"/>
      <c r="G163" s="5"/>
      <c r="H163" s="12" t="s">
        <v>7</v>
      </c>
      <c r="I163" s="57">
        <v>2021000</v>
      </c>
      <c r="J163" s="57">
        <v>1955000</v>
      </c>
      <c r="K163" s="57">
        <v>1866000</v>
      </c>
      <c r="L163" s="57">
        <v>2021000</v>
      </c>
      <c r="M163" s="57">
        <v>2010000</v>
      </c>
      <c r="N163" s="57">
        <v>2010000</v>
      </c>
      <c r="O163" s="57">
        <v>2021000</v>
      </c>
      <c r="P163" s="57">
        <v>1955000</v>
      </c>
      <c r="Q163" s="57">
        <v>1866000</v>
      </c>
      <c r="R163" s="57">
        <v>2021000</v>
      </c>
      <c r="S163" s="57">
        <v>1279000</v>
      </c>
      <c r="T163" s="57">
        <v>0</v>
      </c>
      <c r="U163" s="57">
        <v>0</v>
      </c>
      <c r="V163" s="57">
        <v>0</v>
      </c>
      <c r="W163" s="57">
        <v>0</v>
      </c>
      <c r="X163" s="57">
        <v>0</v>
      </c>
      <c r="Y163" s="57">
        <v>0</v>
      </c>
      <c r="Z163" s="57">
        <v>0</v>
      </c>
      <c r="AA163" s="57">
        <v>0</v>
      </c>
      <c r="AB163" s="57">
        <v>0</v>
      </c>
      <c r="AC163" s="57">
        <v>0</v>
      </c>
    </row>
    <row r="164" spans="1:29" s="1" customFormat="1" x14ac:dyDescent="0.2">
      <c r="A164" s="5"/>
    </row>
    <row r="165" spans="1:29" s="1" customFormat="1" x14ac:dyDescent="0.2">
      <c r="A165" s="5"/>
      <c r="B165" s="5" t="s">
        <v>145</v>
      </c>
      <c r="C165" s="5"/>
      <c r="D165" s="5"/>
      <c r="E165" s="5"/>
      <c r="F165" s="5"/>
      <c r="G165" s="5"/>
      <c r="H165" s="12" t="s">
        <v>6</v>
      </c>
      <c r="I165" s="119">
        <v>40</v>
      </c>
      <c r="J165" s="119">
        <v>40</v>
      </c>
      <c r="K165" s="119">
        <v>40</v>
      </c>
      <c r="L165" s="119">
        <v>40</v>
      </c>
      <c r="M165" s="119">
        <v>40</v>
      </c>
      <c r="N165" s="119">
        <v>40</v>
      </c>
      <c r="O165" s="119">
        <v>40</v>
      </c>
      <c r="P165" s="119">
        <v>40</v>
      </c>
      <c r="Q165" s="119">
        <v>40</v>
      </c>
      <c r="R165" s="119">
        <v>40</v>
      </c>
      <c r="S165" s="119">
        <v>40</v>
      </c>
      <c r="T165" s="119">
        <v>290</v>
      </c>
      <c r="U165" s="119">
        <v>290</v>
      </c>
      <c r="V165" s="119">
        <v>290</v>
      </c>
      <c r="W165" s="119">
        <v>290</v>
      </c>
      <c r="X165" s="119">
        <v>290</v>
      </c>
      <c r="Y165" s="119">
        <v>290</v>
      </c>
      <c r="Z165" s="119">
        <v>290</v>
      </c>
      <c r="AA165" s="119">
        <v>290</v>
      </c>
      <c r="AB165" s="119">
        <v>290</v>
      </c>
      <c r="AC165" s="119">
        <v>290</v>
      </c>
    </row>
    <row r="166" spans="1:29" s="1" customFormat="1" x14ac:dyDescent="0.2">
      <c r="A166" s="5"/>
      <c r="B166" s="5" t="s">
        <v>88</v>
      </c>
      <c r="C166" s="5"/>
      <c r="D166" s="5"/>
      <c r="E166" s="5" t="s">
        <v>207</v>
      </c>
      <c r="F166" s="10">
        <v>0</v>
      </c>
      <c r="G166" s="5"/>
      <c r="H166" s="12" t="s">
        <v>7</v>
      </c>
      <c r="I166" s="244">
        <f t="shared" ref="I166:AC166" si="37">IF($F$166=1,I25*I165,0)</f>
        <v>0</v>
      </c>
      <c r="J166" s="244">
        <f t="shared" si="37"/>
        <v>0</v>
      </c>
      <c r="K166" s="244">
        <f t="shared" si="37"/>
        <v>0</v>
      </c>
      <c r="L166" s="244">
        <f t="shared" si="37"/>
        <v>0</v>
      </c>
      <c r="M166" s="244">
        <f t="shared" si="37"/>
        <v>0</v>
      </c>
      <c r="N166" s="244">
        <f t="shared" si="37"/>
        <v>0</v>
      </c>
      <c r="O166" s="244">
        <f t="shared" si="37"/>
        <v>0</v>
      </c>
      <c r="P166" s="244">
        <f t="shared" si="37"/>
        <v>0</v>
      </c>
      <c r="Q166" s="244">
        <f t="shared" si="37"/>
        <v>0</v>
      </c>
      <c r="R166" s="244">
        <f t="shared" si="37"/>
        <v>0</v>
      </c>
      <c r="S166" s="244">
        <f t="shared" si="37"/>
        <v>0</v>
      </c>
      <c r="T166" s="244">
        <f t="shared" si="37"/>
        <v>0</v>
      </c>
      <c r="U166" s="244">
        <f t="shared" si="37"/>
        <v>0</v>
      </c>
      <c r="V166" s="244">
        <f t="shared" si="37"/>
        <v>0</v>
      </c>
      <c r="W166" s="244">
        <f t="shared" si="37"/>
        <v>0</v>
      </c>
      <c r="X166" s="244">
        <f t="shared" si="37"/>
        <v>0</v>
      </c>
      <c r="Y166" s="244">
        <f t="shared" si="37"/>
        <v>0</v>
      </c>
      <c r="Z166" s="244">
        <f t="shared" si="37"/>
        <v>0</v>
      </c>
      <c r="AA166" s="244">
        <f t="shared" si="37"/>
        <v>0</v>
      </c>
      <c r="AB166" s="244">
        <f t="shared" si="37"/>
        <v>0</v>
      </c>
      <c r="AC166" s="244">
        <f t="shared" si="37"/>
        <v>0</v>
      </c>
    </row>
    <row r="167" spans="1:29" s="1" customFormat="1" x14ac:dyDescent="0.2">
      <c r="A167" s="5"/>
      <c r="B167" s="5" t="s">
        <v>90</v>
      </c>
      <c r="C167" s="5"/>
      <c r="D167" s="5"/>
      <c r="F167" s="5"/>
      <c r="G167" s="5"/>
      <c r="H167" s="12" t="s">
        <v>18</v>
      </c>
      <c r="I167" s="89">
        <v>35</v>
      </c>
      <c r="J167" s="89">
        <v>35</v>
      </c>
      <c r="K167" s="89">
        <v>35</v>
      </c>
      <c r="L167" s="89">
        <v>35</v>
      </c>
      <c r="M167" s="89">
        <v>35</v>
      </c>
      <c r="N167" s="89">
        <v>35</v>
      </c>
      <c r="O167" s="89">
        <v>35</v>
      </c>
      <c r="P167" s="89">
        <v>35</v>
      </c>
      <c r="Q167" s="89">
        <v>35</v>
      </c>
      <c r="R167" s="89">
        <v>35</v>
      </c>
      <c r="S167" s="89">
        <v>35</v>
      </c>
      <c r="T167" s="89">
        <v>35</v>
      </c>
      <c r="U167" s="89">
        <v>35</v>
      </c>
      <c r="V167" s="89">
        <v>35</v>
      </c>
      <c r="W167" s="89">
        <v>35</v>
      </c>
      <c r="X167" s="89">
        <v>35</v>
      </c>
      <c r="Y167" s="89">
        <v>35</v>
      </c>
      <c r="Z167" s="89">
        <v>35</v>
      </c>
      <c r="AA167" s="89">
        <v>35</v>
      </c>
      <c r="AB167" s="89">
        <v>35</v>
      </c>
      <c r="AC167" s="89">
        <v>35</v>
      </c>
    </row>
    <row r="168" spans="1:29" s="1" customFormat="1" x14ac:dyDescent="0.2">
      <c r="A168" s="5"/>
      <c r="B168" s="5"/>
      <c r="C168" s="5"/>
      <c r="D168" s="5"/>
      <c r="E168" s="5"/>
      <c r="F168" s="5"/>
      <c r="G168" s="5"/>
    </row>
    <row r="169" spans="1:29" s="1" customFormat="1" x14ac:dyDescent="0.2">
      <c r="A169" s="5"/>
      <c r="B169" s="5" t="s">
        <v>94</v>
      </c>
      <c r="C169" s="5"/>
      <c r="D169" s="5"/>
      <c r="E169" s="5"/>
      <c r="F169" s="5"/>
      <c r="G169" s="5"/>
      <c r="H169" s="12" t="s">
        <v>7</v>
      </c>
      <c r="I169" s="7">
        <f t="shared" ref="I169:AC169" si="38">+I163+I166</f>
        <v>2021000</v>
      </c>
      <c r="J169" s="7">
        <f t="shared" si="38"/>
        <v>1955000</v>
      </c>
      <c r="K169" s="7">
        <f t="shared" si="38"/>
        <v>1866000</v>
      </c>
      <c r="L169" s="7">
        <f t="shared" si="38"/>
        <v>2021000</v>
      </c>
      <c r="M169" s="7">
        <f t="shared" si="38"/>
        <v>2010000</v>
      </c>
      <c r="N169" s="7">
        <f t="shared" si="38"/>
        <v>2010000</v>
      </c>
      <c r="O169" s="7">
        <f t="shared" si="38"/>
        <v>2021000</v>
      </c>
      <c r="P169" s="7">
        <f t="shared" si="38"/>
        <v>1955000</v>
      </c>
      <c r="Q169" s="7">
        <f t="shared" si="38"/>
        <v>1866000</v>
      </c>
      <c r="R169" s="7">
        <f t="shared" si="38"/>
        <v>2021000</v>
      </c>
      <c r="S169" s="7">
        <f t="shared" si="38"/>
        <v>1279000</v>
      </c>
      <c r="T169" s="7">
        <f t="shared" si="38"/>
        <v>0</v>
      </c>
      <c r="U169" s="7">
        <f t="shared" si="38"/>
        <v>0</v>
      </c>
      <c r="V169" s="7">
        <f t="shared" si="38"/>
        <v>0</v>
      </c>
      <c r="W169" s="7">
        <f t="shared" si="38"/>
        <v>0</v>
      </c>
      <c r="X169" s="7">
        <f t="shared" si="38"/>
        <v>0</v>
      </c>
      <c r="Y169" s="7">
        <f t="shared" si="38"/>
        <v>0</v>
      </c>
      <c r="Z169" s="7">
        <f t="shared" si="38"/>
        <v>0</v>
      </c>
      <c r="AA169" s="7">
        <f t="shared" si="38"/>
        <v>0</v>
      </c>
      <c r="AB169" s="7">
        <f t="shared" si="38"/>
        <v>0</v>
      </c>
      <c r="AC169" s="7">
        <f t="shared" si="38"/>
        <v>0</v>
      </c>
    </row>
    <row r="170" spans="1:29" s="1" customFormat="1" x14ac:dyDescent="0.2">
      <c r="A170" s="5"/>
      <c r="B170" s="5"/>
      <c r="C170" s="5"/>
      <c r="D170" s="5"/>
      <c r="E170" s="5"/>
      <c r="F170" s="5"/>
      <c r="G170" s="5"/>
    </row>
    <row r="171" spans="1:29" s="1" customFormat="1" x14ac:dyDescent="0.2">
      <c r="A171" s="5"/>
      <c r="B171" s="5" t="s">
        <v>14</v>
      </c>
      <c r="C171" s="5"/>
      <c r="D171" s="5"/>
      <c r="E171" s="5"/>
      <c r="F171" s="5"/>
      <c r="G171" s="5"/>
      <c r="I171" s="11">
        <f t="shared" ref="I171:AC171" si="39">+I169/((+I159+I165)*I25)</f>
        <v>0.79554400881750909</v>
      </c>
      <c r="J171" s="11">
        <f t="shared" si="39"/>
        <v>0.76956384821287982</v>
      </c>
      <c r="K171" s="11">
        <f t="shared" si="39"/>
        <v>0.73452999527633445</v>
      </c>
      <c r="L171" s="11">
        <f t="shared" si="39"/>
        <v>0.79337039130707865</v>
      </c>
      <c r="M171" s="11">
        <f t="shared" si="39"/>
        <v>0.79121398205007087</v>
      </c>
      <c r="N171" s="11">
        <f t="shared" si="39"/>
        <v>0.79121398205007087</v>
      </c>
      <c r="O171" s="11">
        <f t="shared" si="39"/>
        <v>0.79554400881750909</v>
      </c>
      <c r="P171" s="11">
        <f t="shared" si="39"/>
        <v>0.76746121474781737</v>
      </c>
      <c r="Q171" s="11">
        <f t="shared" si="39"/>
        <v>0.73452999527633445</v>
      </c>
      <c r="R171" s="11">
        <f t="shared" si="39"/>
        <v>0.79554400881750909</v>
      </c>
      <c r="S171" s="11">
        <f t="shared" si="39"/>
        <v>0.50346402141395052</v>
      </c>
      <c r="T171" s="11">
        <f t="shared" si="39"/>
        <v>0</v>
      </c>
      <c r="U171" s="11">
        <f t="shared" si="39"/>
        <v>0</v>
      </c>
      <c r="V171" s="11">
        <f t="shared" si="39"/>
        <v>0</v>
      </c>
      <c r="W171" s="11">
        <f t="shared" si="39"/>
        <v>0</v>
      </c>
      <c r="X171" s="11">
        <f t="shared" si="39"/>
        <v>0</v>
      </c>
      <c r="Y171" s="11">
        <f t="shared" si="39"/>
        <v>0</v>
      </c>
      <c r="Z171" s="11">
        <f t="shared" si="39"/>
        <v>0</v>
      </c>
      <c r="AA171" s="11">
        <f t="shared" si="39"/>
        <v>0</v>
      </c>
      <c r="AB171" s="11">
        <f t="shared" si="39"/>
        <v>0</v>
      </c>
      <c r="AC171" s="11">
        <f t="shared" si="39"/>
        <v>0</v>
      </c>
    </row>
    <row r="172" spans="1:29" s="1" customFormat="1" x14ac:dyDescent="0.2">
      <c r="A172" s="5"/>
      <c r="B172" s="5"/>
      <c r="C172" s="5"/>
      <c r="D172" s="5"/>
      <c r="E172" s="5"/>
      <c r="F172" s="5"/>
      <c r="G172" s="5"/>
    </row>
    <row r="173" spans="1:29" s="1" customFormat="1" x14ac:dyDescent="0.2">
      <c r="A173" s="5"/>
      <c r="B173" s="5" t="s">
        <v>92</v>
      </c>
      <c r="C173" s="5"/>
      <c r="D173" s="5"/>
      <c r="E173" s="5"/>
      <c r="F173" s="5"/>
      <c r="G173" s="5"/>
    </row>
    <row r="174" spans="1:29" s="1" customFormat="1" x14ac:dyDescent="0.2">
      <c r="A174" s="5"/>
      <c r="C174" s="5" t="s">
        <v>93</v>
      </c>
      <c r="D174" s="5"/>
      <c r="E174" s="5"/>
      <c r="F174" s="5"/>
      <c r="G174" s="5"/>
      <c r="H174" s="12" t="s">
        <v>34</v>
      </c>
      <c r="I174" s="10">
        <f t="shared" ref="I174:AC174" si="40">+I163*1000*I161/1000000</f>
        <v>18395142</v>
      </c>
      <c r="J174" s="10">
        <f t="shared" si="40"/>
        <v>17913665</v>
      </c>
      <c r="K174" s="10">
        <f t="shared" si="40"/>
        <v>17211984</v>
      </c>
      <c r="L174" s="10">
        <f t="shared" si="40"/>
        <v>18304197</v>
      </c>
      <c r="M174" s="10">
        <f t="shared" si="40"/>
        <v>18325170</v>
      </c>
      <c r="N174" s="10">
        <f t="shared" si="40"/>
        <v>18447780</v>
      </c>
      <c r="O174" s="10">
        <f t="shared" si="40"/>
        <v>18395142</v>
      </c>
      <c r="P174" s="10">
        <f t="shared" si="40"/>
        <v>17913665</v>
      </c>
      <c r="Q174" s="10">
        <f t="shared" si="40"/>
        <v>17211984</v>
      </c>
      <c r="R174" s="10">
        <f t="shared" si="40"/>
        <v>18304197</v>
      </c>
      <c r="S174" s="10">
        <f t="shared" si="40"/>
        <v>11660643</v>
      </c>
      <c r="T174" s="10">
        <f t="shared" si="40"/>
        <v>0</v>
      </c>
      <c r="U174" s="10">
        <f t="shared" si="40"/>
        <v>0</v>
      </c>
      <c r="V174" s="10">
        <f t="shared" si="40"/>
        <v>0</v>
      </c>
      <c r="W174" s="10">
        <f t="shared" si="40"/>
        <v>0</v>
      </c>
      <c r="X174" s="10">
        <f t="shared" si="40"/>
        <v>0</v>
      </c>
      <c r="Y174" s="10">
        <f t="shared" si="40"/>
        <v>0</v>
      </c>
      <c r="Z174" s="10">
        <f t="shared" si="40"/>
        <v>0</v>
      </c>
      <c r="AA174" s="10">
        <f t="shared" si="40"/>
        <v>0</v>
      </c>
      <c r="AB174" s="10">
        <f t="shared" si="40"/>
        <v>0</v>
      </c>
      <c r="AC174" s="10">
        <f t="shared" si="40"/>
        <v>0</v>
      </c>
    </row>
    <row r="175" spans="1:29" s="1" customFormat="1" x14ac:dyDescent="0.2">
      <c r="A175" s="5"/>
      <c r="B175" s="5"/>
      <c r="C175" s="5" t="s">
        <v>88</v>
      </c>
      <c r="D175" s="5"/>
      <c r="E175" s="5"/>
      <c r="F175" s="5"/>
      <c r="G175" s="5"/>
      <c r="H175" s="12" t="s">
        <v>34</v>
      </c>
      <c r="I175" s="34">
        <f t="shared" ref="I175:AC175" si="41">+I166*1000*I161/1000000</f>
        <v>0</v>
      </c>
      <c r="J175" s="34">
        <f t="shared" si="41"/>
        <v>0</v>
      </c>
      <c r="K175" s="34">
        <f t="shared" si="41"/>
        <v>0</v>
      </c>
      <c r="L175" s="34">
        <f t="shared" si="41"/>
        <v>0</v>
      </c>
      <c r="M175" s="34">
        <f t="shared" si="41"/>
        <v>0</v>
      </c>
      <c r="N175" s="34">
        <f t="shared" si="41"/>
        <v>0</v>
      </c>
      <c r="O175" s="34">
        <f t="shared" si="41"/>
        <v>0</v>
      </c>
      <c r="P175" s="34">
        <f t="shared" si="41"/>
        <v>0</v>
      </c>
      <c r="Q175" s="34">
        <f t="shared" si="41"/>
        <v>0</v>
      </c>
      <c r="R175" s="34">
        <f t="shared" si="41"/>
        <v>0</v>
      </c>
      <c r="S175" s="34">
        <f t="shared" si="41"/>
        <v>0</v>
      </c>
      <c r="T175" s="34">
        <f t="shared" si="41"/>
        <v>0</v>
      </c>
      <c r="U175" s="34">
        <f t="shared" si="41"/>
        <v>0</v>
      </c>
      <c r="V175" s="34">
        <f t="shared" si="41"/>
        <v>0</v>
      </c>
      <c r="W175" s="34">
        <f t="shared" si="41"/>
        <v>0</v>
      </c>
      <c r="X175" s="34">
        <f t="shared" si="41"/>
        <v>0</v>
      </c>
      <c r="Y175" s="34">
        <f t="shared" si="41"/>
        <v>0</v>
      </c>
      <c r="Z175" s="34">
        <f t="shared" si="41"/>
        <v>0</v>
      </c>
      <c r="AA175" s="34">
        <f t="shared" si="41"/>
        <v>0</v>
      </c>
      <c r="AB175" s="34">
        <f t="shared" si="41"/>
        <v>0</v>
      </c>
      <c r="AC175" s="34">
        <f t="shared" si="41"/>
        <v>0</v>
      </c>
    </row>
    <row r="176" spans="1:29" s="1" customFormat="1" x14ac:dyDescent="0.2">
      <c r="A176" s="5"/>
      <c r="B176" s="5"/>
      <c r="C176" s="5" t="s">
        <v>3</v>
      </c>
      <c r="D176" s="5"/>
      <c r="E176" s="5"/>
      <c r="F176" s="5"/>
      <c r="G176" s="5"/>
      <c r="H176" s="12" t="s">
        <v>34</v>
      </c>
      <c r="I176" s="7">
        <f t="shared" ref="I176:AC176" si="42">SUM(I174:I175)</f>
        <v>18395142</v>
      </c>
      <c r="J176" s="7">
        <f t="shared" si="42"/>
        <v>17913665</v>
      </c>
      <c r="K176" s="7">
        <f t="shared" si="42"/>
        <v>17211984</v>
      </c>
      <c r="L176" s="7">
        <f t="shared" si="42"/>
        <v>18304197</v>
      </c>
      <c r="M176" s="7">
        <f t="shared" si="42"/>
        <v>18325170</v>
      </c>
      <c r="N176" s="7">
        <f t="shared" si="42"/>
        <v>18447780</v>
      </c>
      <c r="O176" s="7">
        <f t="shared" si="42"/>
        <v>18395142</v>
      </c>
      <c r="P176" s="7">
        <f t="shared" si="42"/>
        <v>17913665</v>
      </c>
      <c r="Q176" s="7">
        <f t="shared" si="42"/>
        <v>17211984</v>
      </c>
      <c r="R176" s="7">
        <f t="shared" si="42"/>
        <v>18304197</v>
      </c>
      <c r="S176" s="7">
        <f t="shared" si="42"/>
        <v>11660643</v>
      </c>
      <c r="T176" s="7">
        <f t="shared" si="42"/>
        <v>0</v>
      </c>
      <c r="U176" s="7">
        <f t="shared" si="42"/>
        <v>0</v>
      </c>
      <c r="V176" s="7">
        <f t="shared" si="42"/>
        <v>0</v>
      </c>
      <c r="W176" s="7">
        <f t="shared" si="42"/>
        <v>0</v>
      </c>
      <c r="X176" s="7">
        <f t="shared" si="42"/>
        <v>0</v>
      </c>
      <c r="Y176" s="7">
        <f t="shared" si="42"/>
        <v>0</v>
      </c>
      <c r="Z176" s="7">
        <f t="shared" si="42"/>
        <v>0</v>
      </c>
      <c r="AA176" s="7">
        <f t="shared" si="42"/>
        <v>0</v>
      </c>
      <c r="AB176" s="7">
        <f t="shared" si="42"/>
        <v>0</v>
      </c>
      <c r="AC176" s="7">
        <f t="shared" si="42"/>
        <v>0</v>
      </c>
    </row>
    <row r="177" spans="1:256" s="1" customFormat="1" x14ac:dyDescent="0.2">
      <c r="A177" s="5"/>
      <c r="B177" s="5"/>
      <c r="C177" s="5"/>
      <c r="D177" s="5"/>
      <c r="E177" s="5"/>
      <c r="F177" s="5"/>
      <c r="G177" s="5"/>
    </row>
    <row r="178" spans="1:256" s="1" customFormat="1" x14ac:dyDescent="0.2">
      <c r="A178" s="5"/>
      <c r="B178" s="5" t="s">
        <v>89</v>
      </c>
      <c r="C178" s="5"/>
      <c r="D178" s="5"/>
      <c r="E178" s="5"/>
      <c r="F178" s="5"/>
      <c r="G178" s="5"/>
      <c r="H178" s="12" t="s">
        <v>101</v>
      </c>
      <c r="I178" s="10">
        <f t="shared" ref="I178:AC178" si="43">+I176/(+I$25/24)</f>
        <v>50397.649315068491</v>
      </c>
      <c r="J178" s="10">
        <f t="shared" si="43"/>
        <v>49078.534246575342</v>
      </c>
      <c r="K178" s="10">
        <f t="shared" si="43"/>
        <v>47156.120547945204</v>
      </c>
      <c r="L178" s="10">
        <f t="shared" si="43"/>
        <v>50011.467213114753</v>
      </c>
      <c r="M178" s="10">
        <f t="shared" si="43"/>
        <v>50205.945205479453</v>
      </c>
      <c r="N178" s="10">
        <f t="shared" si="43"/>
        <v>50541.863013698632</v>
      </c>
      <c r="O178" s="10">
        <f t="shared" si="43"/>
        <v>50397.649315068491</v>
      </c>
      <c r="P178" s="10">
        <f t="shared" si="43"/>
        <v>48944.439890710382</v>
      </c>
      <c r="Q178" s="10">
        <f t="shared" si="43"/>
        <v>47156.120547945204</v>
      </c>
      <c r="R178" s="10">
        <f t="shared" si="43"/>
        <v>50148.48493150685</v>
      </c>
      <c r="S178" s="10">
        <f t="shared" si="43"/>
        <v>31946.967123287672</v>
      </c>
      <c r="T178" s="10">
        <f t="shared" si="43"/>
        <v>0</v>
      </c>
      <c r="U178" s="10">
        <f t="shared" si="43"/>
        <v>0</v>
      </c>
      <c r="V178" s="10">
        <f t="shared" si="43"/>
        <v>0</v>
      </c>
      <c r="W178" s="10">
        <f t="shared" si="43"/>
        <v>0</v>
      </c>
      <c r="X178" s="10">
        <f t="shared" si="43"/>
        <v>0</v>
      </c>
      <c r="Y178" s="10">
        <f t="shared" si="43"/>
        <v>0</v>
      </c>
      <c r="Z178" s="10">
        <f t="shared" si="43"/>
        <v>0</v>
      </c>
      <c r="AA178" s="10">
        <f t="shared" si="43"/>
        <v>0</v>
      </c>
      <c r="AB178" s="10">
        <f t="shared" si="43"/>
        <v>0</v>
      </c>
      <c r="AC178" s="10">
        <f t="shared" si="43"/>
        <v>0</v>
      </c>
    </row>
    <row r="179" spans="1:256" s="1" customFormat="1" x14ac:dyDescent="0.2">
      <c r="A179" s="5"/>
      <c r="B179" s="5"/>
      <c r="C179" s="5"/>
      <c r="D179" s="5"/>
      <c r="E179" s="5"/>
      <c r="F179" s="5"/>
      <c r="G179" s="5"/>
    </row>
    <row r="180" spans="1:256" s="1" customFormat="1" x14ac:dyDescent="0.2">
      <c r="A180" s="5"/>
      <c r="B180" s="5" t="s">
        <v>54</v>
      </c>
      <c r="C180" s="5"/>
      <c r="D180" s="5"/>
      <c r="E180" s="5"/>
      <c r="F180" s="5"/>
      <c r="G180" s="5"/>
      <c r="H180" s="12" t="s">
        <v>18</v>
      </c>
      <c r="I180" s="89">
        <v>1.08</v>
      </c>
      <c r="J180" s="89">
        <f t="shared" ref="J180:AC180" si="44">I180*(1+J28)</f>
        <v>1.112428984111179</v>
      </c>
      <c r="K180" s="89">
        <f t="shared" si="44"/>
        <v>1.1447165529040142</v>
      </c>
      <c r="L180" s="89">
        <f t="shared" si="44"/>
        <v>1.1773675235001133</v>
      </c>
      <c r="M180" s="89">
        <f t="shared" si="44"/>
        <v>1.2103597390503025</v>
      </c>
      <c r="N180" s="89">
        <f t="shared" si="44"/>
        <v>1.2433059560123763</v>
      </c>
      <c r="O180" s="89">
        <f t="shared" si="44"/>
        <v>1.2765259310625194</v>
      </c>
      <c r="P180" s="89">
        <f t="shared" si="44"/>
        <v>1.3099938482798648</v>
      </c>
      <c r="Q180" s="89">
        <f t="shared" si="44"/>
        <v>1.3438140977779449</v>
      </c>
      <c r="R180" s="89">
        <f t="shared" si="44"/>
        <v>1.3779688203466063</v>
      </c>
      <c r="S180" s="89">
        <f t="shared" si="44"/>
        <v>1.4127154555748569</v>
      </c>
      <c r="T180" s="89">
        <f t="shared" si="44"/>
        <v>1.4480551245430775</v>
      </c>
      <c r="U180" s="89">
        <f t="shared" si="44"/>
        <v>1.4847141534884876</v>
      </c>
      <c r="V180" s="89">
        <f t="shared" si="44"/>
        <v>1.5228963867775922</v>
      </c>
      <c r="W180" s="89">
        <f t="shared" si="44"/>
        <v>1.5626710167045075</v>
      </c>
      <c r="X180" s="89">
        <f t="shared" si="44"/>
        <v>1.6044241281856115</v>
      </c>
      <c r="Y180" s="89">
        <f t="shared" si="44"/>
        <v>1.6479360469147362</v>
      </c>
      <c r="Z180" s="89">
        <f t="shared" si="44"/>
        <v>1.6931235066336392</v>
      </c>
      <c r="AA180" s="89">
        <f t="shared" si="44"/>
        <v>1.7409076612947212</v>
      </c>
      <c r="AB180" s="89">
        <f t="shared" si="44"/>
        <v>1.7914364381235073</v>
      </c>
      <c r="AC180" s="89">
        <f t="shared" si="44"/>
        <v>1.8461255776955552</v>
      </c>
    </row>
    <row r="181" spans="1:256" s="1" customFormat="1" x14ac:dyDescent="0.2">
      <c r="A181" s="5"/>
      <c r="B181" s="5"/>
      <c r="C181" s="5"/>
      <c r="D181" s="5"/>
      <c r="E181" s="5"/>
      <c r="F181" s="5"/>
      <c r="G181" s="5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2">
      <c r="A182" s="5"/>
      <c r="B182" s="5" t="s">
        <v>109</v>
      </c>
      <c r="C182" s="5"/>
      <c r="D182" s="5"/>
      <c r="E182" s="5"/>
      <c r="F182" s="5"/>
      <c r="G182" s="5"/>
      <c r="H182" s="12" t="s">
        <v>110</v>
      </c>
      <c r="I182" s="133">
        <v>1013</v>
      </c>
      <c r="J182" s="133">
        <v>1013</v>
      </c>
      <c r="K182" s="133">
        <v>1013</v>
      </c>
      <c r="L182" s="133">
        <v>1013</v>
      </c>
      <c r="M182" s="133">
        <v>1013</v>
      </c>
      <c r="N182" s="133">
        <v>1013</v>
      </c>
      <c r="O182" s="133">
        <v>1013</v>
      </c>
      <c r="P182" s="133">
        <v>1013</v>
      </c>
      <c r="Q182" s="133">
        <v>1013</v>
      </c>
      <c r="R182" s="133">
        <v>1013</v>
      </c>
      <c r="S182" s="133">
        <v>633</v>
      </c>
      <c r="T182" s="133">
        <v>0</v>
      </c>
      <c r="U182" s="133">
        <v>0</v>
      </c>
      <c r="V182" s="133">
        <v>0</v>
      </c>
      <c r="W182" s="133">
        <v>0</v>
      </c>
      <c r="X182" s="133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</row>
    <row r="183" spans="1:256" s="1" customFormat="1" x14ac:dyDescent="0.2">
      <c r="A183" s="5"/>
      <c r="B183" s="5"/>
      <c r="C183" s="5"/>
      <c r="D183" s="5"/>
      <c r="E183" s="5"/>
      <c r="F183" s="5"/>
      <c r="G183" s="5"/>
    </row>
    <row r="184" spans="1:256" s="1" customFormat="1" ht="15" x14ac:dyDescent="0.35">
      <c r="A184" s="5"/>
      <c r="B184" s="358" t="s">
        <v>4</v>
      </c>
      <c r="C184" s="358"/>
      <c r="D184" s="358"/>
      <c r="E184" s="358"/>
      <c r="F184" s="358"/>
      <c r="G184" s="358"/>
    </row>
    <row r="185" spans="1:256" s="1" customFormat="1" x14ac:dyDescent="0.2"/>
    <row r="186" spans="1:256" s="1" customFormat="1" x14ac:dyDescent="0.2">
      <c r="A186" s="5"/>
      <c r="B186" s="5" t="s">
        <v>102</v>
      </c>
      <c r="C186" s="5"/>
      <c r="D186" s="5"/>
      <c r="E186" s="5"/>
      <c r="F186" s="359" t="s">
        <v>28</v>
      </c>
      <c r="G186" s="360"/>
      <c r="H186" s="12" t="s">
        <v>31</v>
      </c>
      <c r="I186" s="22">
        <f t="shared" ref="I186:AC186" si="45">IF(+$F$186="Table 1",I45*I163,IF(+$F$123="Table 2",I46*I163,"Input Error"))/1000</f>
        <v>149149.79999999999</v>
      </c>
      <c r="J186" s="22">
        <f t="shared" si="45"/>
        <v>147798</v>
      </c>
      <c r="K186" s="22">
        <f t="shared" si="45"/>
        <v>145174.79999999999</v>
      </c>
      <c r="L186" s="22">
        <f t="shared" si="45"/>
        <v>158042.20000000001</v>
      </c>
      <c r="M186" s="22">
        <f t="shared" si="45"/>
        <v>159996</v>
      </c>
      <c r="N186" s="22">
        <f t="shared" si="45"/>
        <v>162810</v>
      </c>
      <c r="O186" s="22">
        <f t="shared" si="45"/>
        <v>166732.5</v>
      </c>
      <c r="P186" s="22">
        <f t="shared" si="45"/>
        <v>164611</v>
      </c>
      <c r="Q186" s="22">
        <f t="shared" si="45"/>
        <v>161035.79999999999</v>
      </c>
      <c r="R186" s="22">
        <f t="shared" si="45"/>
        <v>175624.9</v>
      </c>
      <c r="S186" s="22">
        <f t="shared" si="45"/>
        <v>113575.2</v>
      </c>
      <c r="T186" s="22">
        <f t="shared" si="45"/>
        <v>0</v>
      </c>
      <c r="U186" s="22">
        <f t="shared" si="45"/>
        <v>0</v>
      </c>
      <c r="V186" s="22">
        <f t="shared" si="45"/>
        <v>0</v>
      </c>
      <c r="W186" s="22">
        <f t="shared" si="45"/>
        <v>0</v>
      </c>
      <c r="X186" s="22">
        <f t="shared" si="45"/>
        <v>0</v>
      </c>
      <c r="Y186" s="22">
        <f t="shared" si="45"/>
        <v>0</v>
      </c>
      <c r="Z186" s="22">
        <f t="shared" si="45"/>
        <v>0</v>
      </c>
      <c r="AA186" s="22">
        <f t="shared" si="45"/>
        <v>0</v>
      </c>
      <c r="AB186" s="22">
        <f t="shared" si="45"/>
        <v>0</v>
      </c>
      <c r="AC186" s="22">
        <f t="shared" si="45"/>
        <v>0</v>
      </c>
    </row>
    <row r="187" spans="1:256" s="1" customFormat="1" x14ac:dyDescent="0.2">
      <c r="A187" s="5"/>
      <c r="B187" s="5"/>
      <c r="C187" s="5"/>
      <c r="D187" s="5"/>
      <c r="E187" s="5"/>
      <c r="F187" s="5"/>
      <c r="G187" s="5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56" s="1" customFormat="1" x14ac:dyDescent="0.2">
      <c r="A188" s="5"/>
      <c r="B188" s="5" t="s">
        <v>91</v>
      </c>
      <c r="D188" s="5"/>
      <c r="E188" s="5" t="s">
        <v>362</v>
      </c>
      <c r="F188" s="5">
        <v>1</v>
      </c>
      <c r="G188" s="5"/>
      <c r="H188" s="12" t="s">
        <v>31</v>
      </c>
      <c r="I188" s="120">
        <f>IF($F$188=1,Merchant!E44,Merchant!E39)</f>
        <v>2543.4421881964795</v>
      </c>
      <c r="J188" s="120">
        <f>IF($F$188=1,Merchant!F44,Merchant!F39)</f>
        <v>2427.0525890378876</v>
      </c>
      <c r="K188" s="120">
        <f>IF($F$188=1,Merchant!G44,Merchant!G39)</f>
        <v>2422.2327241441953</v>
      </c>
      <c r="L188" s="120">
        <f>IF($F$188=1,Merchant!H44,Merchant!H39)</f>
        <v>2443.1172877487206</v>
      </c>
      <c r="M188" s="120">
        <f>IF($F$188=1,Merchant!I44,Merchant!I39)</f>
        <v>2527.2965743531176</v>
      </c>
      <c r="N188" s="120">
        <f>IF($F$188=1,Merchant!J44,Merchant!J39)</f>
        <v>2705.9289864174712</v>
      </c>
      <c r="O188" s="120">
        <f>IF($F$188=1,Merchant!K44,Merchant!K39)</f>
        <v>2821.7151741773901</v>
      </c>
      <c r="P188" s="120">
        <f>IF($F$188=1,Merchant!L44,Merchant!L39)</f>
        <v>2872.7270159678606</v>
      </c>
      <c r="Q188" s="120">
        <f>IF($F$188=1,Merchant!M44,Merchant!M39)</f>
        <v>2964.7634605219641</v>
      </c>
      <c r="R188" s="120">
        <f>IF($F$188=1,Merchant!N44,Merchant!N39)</f>
        <v>3004.9846099457209</v>
      </c>
      <c r="S188" s="120">
        <f>IF($F$188=1,Merchant!O44,Merchant!O39)</f>
        <v>3015.3154652330545</v>
      </c>
      <c r="T188" s="120">
        <f>IF($F$188=1,Merchant!P44,Merchant!P39)</f>
        <v>20278.583448167043</v>
      </c>
      <c r="U188" s="120">
        <f>IF($F$188=1,Merchant!Q44,Merchant!Q39)</f>
        <v>20231.594449314605</v>
      </c>
      <c r="V188" s="120">
        <f>IF($F$188=1,Merchant!R44,Merchant!R39)</f>
        <v>20064.72572973022</v>
      </c>
      <c r="W188" s="120">
        <f>IF($F$188=1,Merchant!S44,Merchant!S39)</f>
        <v>20354.978254486396</v>
      </c>
      <c r="X188" s="120">
        <f>IF($F$188=1,Merchant!T44,Merchant!T39)</f>
        <v>20133.805406542218</v>
      </c>
      <c r="Y188" s="120">
        <f>IF($F$188=1,Merchant!U44,Merchant!U39)</f>
        <v>20111.242048039556</v>
      </c>
      <c r="Z188" s="120">
        <f>Y188*(1+Z27)</f>
        <v>20483.300025928285</v>
      </c>
      <c r="AA188" s="120">
        <f>Z188*(1+AA27)</f>
        <v>20880.676046431297</v>
      </c>
      <c r="AB188" s="120">
        <f>AA188*(1+AB27)</f>
        <v>21304.553770173854</v>
      </c>
      <c r="AC188" s="120">
        <f>AB188*(1+AC27)</f>
        <v>21756.210310101542</v>
      </c>
    </row>
    <row r="189" spans="1:256" s="1" customFormat="1" x14ac:dyDescent="0.2">
      <c r="A189" s="5"/>
      <c r="B189" s="5"/>
      <c r="D189" s="5"/>
      <c r="E189" s="5"/>
      <c r="F189" s="5"/>
      <c r="G189" s="5"/>
      <c r="H189" s="12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</row>
    <row r="190" spans="1:256" s="1" customFormat="1" x14ac:dyDescent="0.2">
      <c r="A190" s="5"/>
      <c r="B190" s="5" t="s">
        <v>109</v>
      </c>
      <c r="D190" s="5"/>
      <c r="E190" s="5"/>
      <c r="F190" s="5"/>
      <c r="G190" s="5"/>
      <c r="H190" s="12" t="s">
        <v>31</v>
      </c>
      <c r="I190" s="120">
        <f t="shared" ref="I190:AC190" si="46">+I182*I57</f>
        <v>2747</v>
      </c>
      <c r="J190" s="120">
        <f t="shared" si="46"/>
        <v>2785</v>
      </c>
      <c r="K190" s="120">
        <f t="shared" si="46"/>
        <v>2823</v>
      </c>
      <c r="L190" s="120">
        <f t="shared" si="46"/>
        <v>2861</v>
      </c>
      <c r="M190" s="120">
        <f t="shared" si="46"/>
        <v>2900</v>
      </c>
      <c r="N190" s="120">
        <f t="shared" si="46"/>
        <v>2939</v>
      </c>
      <c r="O190" s="120">
        <f t="shared" si="46"/>
        <v>2979</v>
      </c>
      <c r="P190" s="120">
        <f t="shared" si="46"/>
        <v>3019</v>
      </c>
      <c r="Q190" s="120">
        <f t="shared" si="46"/>
        <v>3060</v>
      </c>
      <c r="R190" s="120">
        <f t="shared" si="46"/>
        <v>3101</v>
      </c>
      <c r="S190" s="120">
        <f t="shared" si="46"/>
        <v>1965</v>
      </c>
      <c r="T190" s="120">
        <f t="shared" si="46"/>
        <v>0</v>
      </c>
      <c r="U190" s="120">
        <f t="shared" si="46"/>
        <v>0</v>
      </c>
      <c r="V190" s="120">
        <f t="shared" si="46"/>
        <v>0</v>
      </c>
      <c r="W190" s="120">
        <f t="shared" si="46"/>
        <v>0</v>
      </c>
      <c r="X190" s="120">
        <f t="shared" si="46"/>
        <v>0</v>
      </c>
      <c r="Y190" s="120">
        <f t="shared" si="46"/>
        <v>0</v>
      </c>
      <c r="Z190" s="120">
        <f t="shared" si="46"/>
        <v>0</v>
      </c>
      <c r="AA190" s="120">
        <f t="shared" si="46"/>
        <v>0</v>
      </c>
      <c r="AB190" s="120">
        <f t="shared" si="46"/>
        <v>0</v>
      </c>
      <c r="AC190" s="120">
        <f t="shared" si="46"/>
        <v>0</v>
      </c>
    </row>
    <row r="191" spans="1:256" s="1" customFormat="1" x14ac:dyDescent="0.2">
      <c r="A191" s="5"/>
      <c r="B191" s="5"/>
      <c r="D191" s="5"/>
      <c r="E191" s="5"/>
      <c r="F191" s="5"/>
      <c r="G191" s="5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56" s="1" customFormat="1" x14ac:dyDescent="0.2">
      <c r="A192" s="5"/>
      <c r="B192" s="5" t="s">
        <v>3</v>
      </c>
      <c r="D192" s="5"/>
      <c r="E192" s="5"/>
      <c r="F192" s="5"/>
      <c r="G192" s="5"/>
      <c r="H192" s="12" t="s">
        <v>31</v>
      </c>
      <c r="I192" s="210">
        <f>SUM(I186:I190)</f>
        <v>154440.24218819645</v>
      </c>
      <c r="J192" s="210">
        <f t="shared" ref="J192:AC192" si="47">SUM(J186:J190)</f>
        <v>153010.05258903789</v>
      </c>
      <c r="K192" s="210">
        <f t="shared" si="47"/>
        <v>150420.03272414417</v>
      </c>
      <c r="L192" s="210">
        <f t="shared" si="47"/>
        <v>163346.31728774874</v>
      </c>
      <c r="M192" s="210">
        <f t="shared" si="47"/>
        <v>165423.29657435312</v>
      </c>
      <c r="N192" s="210">
        <f t="shared" si="47"/>
        <v>168454.92898641748</v>
      </c>
      <c r="O192" s="210">
        <f t="shared" si="47"/>
        <v>172533.2151741774</v>
      </c>
      <c r="P192" s="210">
        <f t="shared" si="47"/>
        <v>170502.72701596786</v>
      </c>
      <c r="Q192" s="210">
        <f t="shared" si="47"/>
        <v>167060.56346052195</v>
      </c>
      <c r="R192" s="210">
        <f t="shared" si="47"/>
        <v>181730.8846099457</v>
      </c>
      <c r="S192" s="210">
        <f t="shared" si="47"/>
        <v>118555.51546523305</v>
      </c>
      <c r="T192" s="210">
        <f t="shared" si="47"/>
        <v>20278.583448167043</v>
      </c>
      <c r="U192" s="210">
        <f t="shared" si="47"/>
        <v>20231.594449314605</v>
      </c>
      <c r="V192" s="210">
        <f t="shared" si="47"/>
        <v>20064.72572973022</v>
      </c>
      <c r="W192" s="210">
        <f t="shared" si="47"/>
        <v>20354.978254486396</v>
      </c>
      <c r="X192" s="210">
        <f t="shared" si="47"/>
        <v>20133.805406542218</v>
      </c>
      <c r="Y192" s="210">
        <f t="shared" si="47"/>
        <v>20111.242048039556</v>
      </c>
      <c r="Z192" s="210">
        <f t="shared" si="47"/>
        <v>20483.300025928285</v>
      </c>
      <c r="AA192" s="210">
        <f t="shared" si="47"/>
        <v>20880.676046431297</v>
      </c>
      <c r="AB192" s="210">
        <f t="shared" si="47"/>
        <v>21304.553770173854</v>
      </c>
      <c r="AC192" s="210">
        <f t="shared" si="47"/>
        <v>21756.210310101542</v>
      </c>
    </row>
    <row r="193" spans="1:30" s="1" customFormat="1" x14ac:dyDescent="0.2">
      <c r="A193" s="5"/>
      <c r="B193" s="5"/>
      <c r="C193" s="5"/>
      <c r="D193" s="5"/>
      <c r="E193" s="5"/>
      <c r="F193" s="5"/>
      <c r="G193" s="5"/>
      <c r="H193" s="12"/>
    </row>
    <row r="194" spans="1:30" s="1" customFormat="1" ht="15" x14ac:dyDescent="0.35">
      <c r="A194" s="5"/>
      <c r="B194" s="358" t="s">
        <v>38</v>
      </c>
      <c r="C194" s="358"/>
      <c r="D194" s="358"/>
      <c r="E194" s="358"/>
      <c r="F194" s="358"/>
      <c r="G194" s="358"/>
    </row>
    <row r="195" spans="1:30" s="1" customFormat="1" x14ac:dyDescent="0.2">
      <c r="A195" s="5"/>
      <c r="B195" s="5"/>
      <c r="C195" s="5"/>
      <c r="D195" s="5"/>
      <c r="E195" s="5"/>
      <c r="F195" s="5"/>
      <c r="G195" s="5"/>
      <c r="H195" s="12"/>
      <c r="I195" s="1">
        <v>68649</v>
      </c>
      <c r="J195" s="10">
        <v>69522</v>
      </c>
      <c r="K195" s="10">
        <v>69681</v>
      </c>
      <c r="L195" s="10">
        <v>75183</v>
      </c>
      <c r="M195" s="10">
        <v>77719</v>
      </c>
      <c r="N195" s="10">
        <v>80506</v>
      </c>
      <c r="O195" s="10">
        <v>82499</v>
      </c>
      <c r="P195" s="10">
        <v>83102</v>
      </c>
      <c r="Q195" s="10">
        <v>82708</v>
      </c>
      <c r="R195" s="10">
        <v>88877</v>
      </c>
      <c r="S195" s="10">
        <f>S196</f>
        <v>58303.214999999997</v>
      </c>
      <c r="T195" s="10">
        <f t="shared" ref="T195:AC195" si="48">(T175*T77)/1000</f>
        <v>0</v>
      </c>
      <c r="U195" s="10">
        <f t="shared" si="48"/>
        <v>0</v>
      </c>
      <c r="V195" s="10">
        <f t="shared" si="48"/>
        <v>0</v>
      </c>
      <c r="W195" s="10">
        <f t="shared" si="48"/>
        <v>0</v>
      </c>
      <c r="X195" s="10">
        <f t="shared" si="48"/>
        <v>0</v>
      </c>
      <c r="Y195" s="10">
        <f t="shared" si="48"/>
        <v>0</v>
      </c>
      <c r="Z195" s="10">
        <f t="shared" si="48"/>
        <v>0</v>
      </c>
      <c r="AA195" s="10">
        <f t="shared" si="48"/>
        <v>0</v>
      </c>
      <c r="AB195" s="10">
        <f t="shared" si="48"/>
        <v>0</v>
      </c>
      <c r="AC195" s="10">
        <f t="shared" si="48"/>
        <v>0</v>
      </c>
    </row>
    <row r="196" spans="1:30" s="1" customFormat="1" x14ac:dyDescent="0.2">
      <c r="A196" s="5"/>
      <c r="B196" s="5" t="s">
        <v>36</v>
      </c>
      <c r="C196" s="5"/>
      <c r="D196" s="5"/>
      <c r="E196" s="5"/>
      <c r="F196" s="5"/>
      <c r="G196" s="5"/>
      <c r="H196" s="12" t="s">
        <v>31</v>
      </c>
      <c r="I196" s="10">
        <f t="shared" ref="I196:AC196" si="49">IF(+I64&gt;0,+I64*I176/1000,I77*I176/1000)</f>
        <v>68613.879659999991</v>
      </c>
      <c r="J196" s="10">
        <f t="shared" si="49"/>
        <v>69505.020199999999</v>
      </c>
      <c r="K196" s="10">
        <f t="shared" si="49"/>
        <v>69536.415359999999</v>
      </c>
      <c r="L196" s="10">
        <f t="shared" si="49"/>
        <v>75230.249670000005</v>
      </c>
      <c r="M196" s="10">
        <f t="shared" si="49"/>
        <v>77698.720799999996</v>
      </c>
      <c r="N196" s="10">
        <f t="shared" si="49"/>
        <v>80432.320800000016</v>
      </c>
      <c r="O196" s="10">
        <f t="shared" si="49"/>
        <v>82410.236160000015</v>
      </c>
      <c r="P196" s="10">
        <f t="shared" si="49"/>
        <v>82940.268949999998</v>
      </c>
      <c r="Q196" s="10">
        <f t="shared" si="49"/>
        <v>82445.403359999997</v>
      </c>
      <c r="R196" s="10">
        <f t="shared" si="49"/>
        <v>88775.355449999988</v>
      </c>
      <c r="S196" s="10">
        <f t="shared" si="49"/>
        <v>58303.214999999997</v>
      </c>
      <c r="T196" s="10">
        <f t="shared" si="49"/>
        <v>0</v>
      </c>
      <c r="U196" s="10">
        <f t="shared" si="49"/>
        <v>0</v>
      </c>
      <c r="V196" s="10">
        <f t="shared" si="49"/>
        <v>0</v>
      </c>
      <c r="W196" s="10">
        <f t="shared" si="49"/>
        <v>0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</row>
    <row r="197" spans="1:30" s="1" customFormat="1" x14ac:dyDescent="0.2">
      <c r="A197" s="5"/>
      <c r="B197" s="5" t="s">
        <v>54</v>
      </c>
      <c r="C197" s="5"/>
      <c r="D197" s="5"/>
      <c r="E197" s="5"/>
      <c r="F197" s="5"/>
      <c r="G197" s="5"/>
      <c r="H197" s="12" t="s">
        <v>31</v>
      </c>
      <c r="I197" s="10">
        <f t="shared" ref="I197:S197" si="50">+I180*I169/1000</f>
        <v>2182.6799999999998</v>
      </c>
      <c r="J197" s="10">
        <f t="shared" si="50"/>
        <v>2174.7986639373548</v>
      </c>
      <c r="K197" s="10">
        <f t="shared" si="50"/>
        <v>2136.0410877188906</v>
      </c>
      <c r="L197" s="10">
        <f t="shared" si="50"/>
        <v>2379.4597649937291</v>
      </c>
      <c r="M197" s="10">
        <f t="shared" si="50"/>
        <v>2432.8230754911078</v>
      </c>
      <c r="N197" s="10">
        <f t="shared" si="50"/>
        <v>2499.0449715848763</v>
      </c>
      <c r="O197" s="10">
        <f t="shared" si="50"/>
        <v>2579.858906677352</v>
      </c>
      <c r="P197" s="10">
        <f t="shared" si="50"/>
        <v>2561.0379733871355</v>
      </c>
      <c r="Q197" s="10">
        <f t="shared" si="50"/>
        <v>2507.5571064536452</v>
      </c>
      <c r="R197" s="10">
        <f t="shared" si="50"/>
        <v>2784.8749859204913</v>
      </c>
      <c r="S197" s="10">
        <f t="shared" si="50"/>
        <v>1806.863067680242</v>
      </c>
      <c r="T197" s="10">
        <v>0</v>
      </c>
      <c r="U197" s="10">
        <f t="shared" ref="U197:AC197" si="51">T197*1+U28</f>
        <v>2.5316045172643298E-2</v>
      </c>
      <c r="V197" s="10">
        <f t="shared" si="51"/>
        <v>5.1032937006260992E-2</v>
      </c>
      <c r="W197" s="10">
        <f t="shared" si="51"/>
        <v>7.7150688858753869E-2</v>
      </c>
      <c r="X197" s="10">
        <f t="shared" si="51"/>
        <v>0.10386975578632551</v>
      </c>
      <c r="Y197" s="10">
        <f t="shared" si="51"/>
        <v>0.13098971612893817</v>
      </c>
      <c r="Z197" s="10">
        <f t="shared" si="51"/>
        <v>0.15841035529967717</v>
      </c>
      <c r="AA197" s="10">
        <f t="shared" si="51"/>
        <v>0.18663284141711878</v>
      </c>
      <c r="AB197" s="10">
        <f t="shared" si="51"/>
        <v>0.21565722792088526</v>
      </c>
      <c r="AC197" s="10">
        <f t="shared" si="51"/>
        <v>0.2461853216942449</v>
      </c>
    </row>
    <row r="198" spans="1:30" s="1" customFormat="1" x14ac:dyDescent="0.2">
      <c r="A198" s="5"/>
      <c r="B198" s="5" t="s">
        <v>55</v>
      </c>
      <c r="C198" s="5"/>
      <c r="D198" s="5"/>
      <c r="E198" s="5"/>
      <c r="F198" s="5"/>
      <c r="G198" s="5"/>
      <c r="H198" s="12" t="s">
        <v>31</v>
      </c>
      <c r="I198" s="8">
        <f>11539-I197</f>
        <v>9356.32</v>
      </c>
      <c r="J198" s="10">
        <f>7377-J197</f>
        <v>5202.2013360626452</v>
      </c>
      <c r="K198" s="10">
        <f>3412-K197</f>
        <v>1275.9589122811094</v>
      </c>
      <c r="L198" s="10">
        <f>6780-L197</f>
        <v>4400.5402350062704</v>
      </c>
      <c r="M198" s="10">
        <f>4759-M197</f>
        <v>2326.1769245088922</v>
      </c>
      <c r="N198" s="10">
        <f>3385-N197</f>
        <v>885.95502841512371</v>
      </c>
      <c r="O198" s="10">
        <f>7747-O197</f>
        <v>5167.141093322648</v>
      </c>
      <c r="P198" s="10">
        <f>8284-P197</f>
        <v>5722.9620266128641</v>
      </c>
      <c r="Q198" s="10">
        <f>3658-Q197</f>
        <v>1150.4428935463548</v>
      </c>
      <c r="R198" s="10">
        <f>3514-R197</f>
        <v>729.12501407950867</v>
      </c>
      <c r="S198" s="10">
        <f>6869-S197</f>
        <v>5062.1369323197578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">
        <v>0</v>
      </c>
    </row>
    <row r="199" spans="1:30" s="1" customFormat="1" x14ac:dyDescent="0.2">
      <c r="A199" s="5"/>
      <c r="B199" s="5" t="s">
        <v>305</v>
      </c>
      <c r="C199" s="5"/>
      <c r="D199" s="5"/>
      <c r="E199" s="5"/>
      <c r="F199" s="5"/>
      <c r="G199" s="5"/>
      <c r="H199" s="12" t="s">
        <v>31</v>
      </c>
      <c r="I199" s="8">
        <v>1094</v>
      </c>
      <c r="J199" s="10">
        <v>1687</v>
      </c>
      <c r="K199" s="10">
        <f t="shared" ref="K199:AC199" si="52">+J199*(1+K$28)</f>
        <v>1735.964140031854</v>
      </c>
      <c r="L199" s="10">
        <f t="shared" si="52"/>
        <v>1785.4793793705965</v>
      </c>
      <c r="M199" s="10">
        <f t="shared" si="52"/>
        <v>1835.5121171256626</v>
      </c>
      <c r="N199" s="10">
        <f t="shared" si="52"/>
        <v>1885.4750979620769</v>
      </c>
      <c r="O199" s="10">
        <f t="shared" si="52"/>
        <v>1935.8532332947952</v>
      </c>
      <c r="P199" s="10">
        <f t="shared" si="52"/>
        <v>1986.6073732462753</v>
      </c>
      <c r="Q199" s="10">
        <f t="shared" si="52"/>
        <v>2037.8958255593436</v>
      </c>
      <c r="R199" s="10">
        <f t="shared" si="52"/>
        <v>2089.6915067185942</v>
      </c>
      <c r="S199" s="10">
        <f t="shared" si="52"/>
        <v>2142.3848241952992</v>
      </c>
      <c r="T199" s="10">
        <v>0</v>
      </c>
      <c r="U199" s="10">
        <f t="shared" si="52"/>
        <v>0</v>
      </c>
      <c r="V199" s="10">
        <f t="shared" si="52"/>
        <v>0</v>
      </c>
      <c r="W199" s="10">
        <f t="shared" si="52"/>
        <v>0</v>
      </c>
      <c r="X199" s="10">
        <f t="shared" si="52"/>
        <v>0</v>
      </c>
      <c r="Y199" s="10">
        <f t="shared" si="52"/>
        <v>0</v>
      </c>
      <c r="Z199" s="10">
        <f t="shared" si="52"/>
        <v>0</v>
      </c>
      <c r="AA199" s="10">
        <f t="shared" si="52"/>
        <v>0</v>
      </c>
      <c r="AB199" s="10">
        <f t="shared" si="52"/>
        <v>0</v>
      </c>
      <c r="AC199" s="10">
        <f t="shared" si="52"/>
        <v>0</v>
      </c>
    </row>
    <row r="200" spans="1:30" s="1" customFormat="1" x14ac:dyDescent="0.2">
      <c r="A200" s="5"/>
      <c r="B200" s="5" t="s">
        <v>56</v>
      </c>
      <c r="C200" s="5"/>
      <c r="D200" s="5"/>
      <c r="E200" s="5"/>
      <c r="F200" s="5"/>
      <c r="G200" s="5"/>
      <c r="H200" s="12" t="s">
        <v>31</v>
      </c>
      <c r="I200" s="8">
        <v>812</v>
      </c>
      <c r="J200" s="10">
        <f>+I200*(1+J$28)</f>
        <v>836.38179175766425</v>
      </c>
      <c r="K200" s="10">
        <f t="shared" ref="K200:AC200" si="53">+J200*(1+K$28)</f>
        <v>860.6572601463514</v>
      </c>
      <c r="L200" s="10">
        <f t="shared" si="53"/>
        <v>885.20595285378897</v>
      </c>
      <c r="M200" s="10">
        <f t="shared" si="53"/>
        <v>910.01121121189419</v>
      </c>
      <c r="N200" s="10">
        <f t="shared" si="53"/>
        <v>934.78188544634236</v>
      </c>
      <c r="O200" s="10">
        <f t="shared" si="53"/>
        <v>959.75838520626473</v>
      </c>
      <c r="P200" s="10">
        <f t="shared" si="53"/>
        <v>984.92130074375029</v>
      </c>
      <c r="Q200" s="10">
        <f t="shared" si="53"/>
        <v>1010.3491179589735</v>
      </c>
      <c r="R200" s="10">
        <f t="shared" si="53"/>
        <v>1036.0284093717078</v>
      </c>
      <c r="S200" s="10">
        <f t="shared" si="53"/>
        <v>1062.1527314136888</v>
      </c>
      <c r="T200" s="10">
        <v>0</v>
      </c>
      <c r="U200" s="10">
        <f t="shared" si="53"/>
        <v>0</v>
      </c>
      <c r="V200" s="10">
        <f t="shared" si="53"/>
        <v>0</v>
      </c>
      <c r="W200" s="10">
        <f t="shared" si="53"/>
        <v>0</v>
      </c>
      <c r="X200" s="10">
        <f t="shared" si="53"/>
        <v>0</v>
      </c>
      <c r="Y200" s="10">
        <f t="shared" si="53"/>
        <v>0</v>
      </c>
      <c r="Z200" s="10">
        <f t="shared" si="53"/>
        <v>0</v>
      </c>
      <c r="AA200" s="10">
        <f t="shared" si="53"/>
        <v>0</v>
      </c>
      <c r="AB200" s="10">
        <f t="shared" si="53"/>
        <v>0</v>
      </c>
      <c r="AC200" s="10">
        <f t="shared" si="53"/>
        <v>0</v>
      </c>
    </row>
    <row r="201" spans="1:30" s="1" customFormat="1" x14ac:dyDescent="0.2">
      <c r="A201" s="5"/>
      <c r="B201" s="5" t="s">
        <v>57</v>
      </c>
      <c r="C201" s="5"/>
      <c r="D201" s="5"/>
      <c r="E201" s="5"/>
      <c r="F201" s="5"/>
      <c r="G201" s="5"/>
      <c r="H201" s="12" t="s">
        <v>31</v>
      </c>
      <c r="I201" s="8">
        <v>706</v>
      </c>
      <c r="J201" s="10">
        <f>+I201*(1+J$28)</f>
        <v>727.19894702082627</v>
      </c>
      <c r="K201" s="10">
        <f t="shared" ref="K201:S201" si="54">+J201*(1+K$28)</f>
        <v>748.30545032429075</v>
      </c>
      <c r="L201" s="10">
        <f t="shared" si="54"/>
        <v>769.64951073248153</v>
      </c>
      <c r="M201" s="10">
        <f t="shared" si="54"/>
        <v>791.21664423103118</v>
      </c>
      <c r="N201" s="10">
        <f t="shared" si="54"/>
        <v>812.75370828216467</v>
      </c>
      <c r="O201" s="10">
        <f t="shared" si="54"/>
        <v>834.46972900938783</v>
      </c>
      <c r="P201" s="10">
        <f t="shared" si="54"/>
        <v>856.34783044961546</v>
      </c>
      <c r="Q201" s="10">
        <f t="shared" si="54"/>
        <v>878.45625280669378</v>
      </c>
      <c r="R201" s="10">
        <f t="shared" si="54"/>
        <v>900.78332144880017</v>
      </c>
      <c r="S201" s="10">
        <f t="shared" si="54"/>
        <v>923.49732558874916</v>
      </c>
      <c r="T201" s="10">
        <v>0</v>
      </c>
      <c r="U201" s="10">
        <f t="shared" ref="U201:AC201" si="55">+T201*(1+U$28)</f>
        <v>0</v>
      </c>
      <c r="V201" s="10">
        <f t="shared" si="55"/>
        <v>0</v>
      </c>
      <c r="W201" s="10">
        <f t="shared" si="55"/>
        <v>0</v>
      </c>
      <c r="X201" s="10">
        <f t="shared" si="55"/>
        <v>0</v>
      </c>
      <c r="Y201" s="10">
        <f t="shared" si="55"/>
        <v>0</v>
      </c>
      <c r="Z201" s="10">
        <f t="shared" si="55"/>
        <v>0</v>
      </c>
      <c r="AA201" s="10">
        <f t="shared" si="55"/>
        <v>0</v>
      </c>
      <c r="AB201" s="10">
        <f t="shared" si="55"/>
        <v>0</v>
      </c>
      <c r="AC201" s="10">
        <f t="shared" si="55"/>
        <v>0</v>
      </c>
    </row>
    <row r="202" spans="1:30" s="1" customFormat="1" x14ac:dyDescent="0.2">
      <c r="A202" s="5"/>
      <c r="B202" s="5" t="s">
        <v>58</v>
      </c>
      <c r="C202" s="5"/>
      <c r="D202" s="5"/>
      <c r="E202" s="5"/>
      <c r="F202" s="5"/>
      <c r="G202" s="5"/>
      <c r="H202" s="12" t="s">
        <v>31</v>
      </c>
      <c r="I202" s="8">
        <v>870</v>
      </c>
      <c r="J202" s="10">
        <f>+I202*(1+J$28)</f>
        <v>896.12334831178305</v>
      </c>
      <c r="K202" s="10">
        <f t="shared" ref="K202:S202" si="56">+J202*(1+K$28)</f>
        <v>922.13277872823357</v>
      </c>
      <c r="L202" s="10">
        <f t="shared" si="56"/>
        <v>948.4349494862023</v>
      </c>
      <c r="M202" s="10">
        <f t="shared" si="56"/>
        <v>975.01201201274364</v>
      </c>
      <c r="N202" s="10">
        <f t="shared" si="56"/>
        <v>1001.5520201210809</v>
      </c>
      <c r="O202" s="10">
        <f t="shared" si="56"/>
        <v>1028.3125555781405</v>
      </c>
      <c r="P202" s="10">
        <f t="shared" si="56"/>
        <v>1055.2728222254466</v>
      </c>
      <c r="Q202" s="10">
        <f t="shared" si="56"/>
        <v>1082.5169120989001</v>
      </c>
      <c r="R202" s="10">
        <f t="shared" si="56"/>
        <v>1110.030438612544</v>
      </c>
      <c r="S202" s="10">
        <f t="shared" si="56"/>
        <v>1138.0207836575237</v>
      </c>
      <c r="T202" s="10">
        <v>0</v>
      </c>
      <c r="U202" s="10">
        <f t="shared" ref="U202:AC202" si="57">+T202*(1+U$28)</f>
        <v>0</v>
      </c>
      <c r="V202" s="10">
        <f t="shared" si="57"/>
        <v>0</v>
      </c>
      <c r="W202" s="10">
        <f t="shared" si="57"/>
        <v>0</v>
      </c>
      <c r="X202" s="10">
        <f t="shared" si="57"/>
        <v>0</v>
      </c>
      <c r="Y202" s="10">
        <f t="shared" si="57"/>
        <v>0</v>
      </c>
      <c r="Z202" s="10">
        <f t="shared" si="57"/>
        <v>0</v>
      </c>
      <c r="AA202" s="10">
        <f t="shared" si="57"/>
        <v>0</v>
      </c>
      <c r="AB202" s="10">
        <f t="shared" si="57"/>
        <v>0</v>
      </c>
      <c r="AC202" s="10">
        <f t="shared" si="57"/>
        <v>0</v>
      </c>
    </row>
    <row r="203" spans="1:30" s="1" customFormat="1" x14ac:dyDescent="0.2">
      <c r="A203" s="5"/>
      <c r="B203" s="5" t="s">
        <v>59</v>
      </c>
      <c r="C203" s="5"/>
      <c r="D203" s="5"/>
      <c r="E203" s="5"/>
      <c r="F203" s="5"/>
      <c r="G203" s="5"/>
      <c r="H203" s="12" t="s">
        <v>31</v>
      </c>
      <c r="I203" s="8">
        <v>2201</v>
      </c>
      <c r="J203" s="10">
        <f>+I203*(1+J$28)</f>
        <v>2267.0890685450972</v>
      </c>
      <c r="K203" s="10">
        <f t="shared" ref="K203:S203" si="58">+J203*(1+K$28)</f>
        <v>2332.889937909014</v>
      </c>
      <c r="L203" s="10">
        <f t="shared" si="58"/>
        <v>2399.4314066886568</v>
      </c>
      <c r="M203" s="10">
        <f t="shared" si="58"/>
        <v>2466.6683200460334</v>
      </c>
      <c r="N203" s="10">
        <f t="shared" si="58"/>
        <v>2533.8114899844823</v>
      </c>
      <c r="O203" s="10">
        <f t="shared" si="58"/>
        <v>2601.5125687672275</v>
      </c>
      <c r="P203" s="10">
        <f t="shared" si="58"/>
        <v>2669.7189445036879</v>
      </c>
      <c r="Q203" s="10">
        <f t="shared" si="58"/>
        <v>2738.6433603789419</v>
      </c>
      <c r="R203" s="10">
        <f t="shared" si="58"/>
        <v>2808.249419984149</v>
      </c>
      <c r="S203" s="10">
        <f t="shared" si="58"/>
        <v>2879.061775666908</v>
      </c>
      <c r="T203" s="10">
        <v>0</v>
      </c>
      <c r="U203" s="10">
        <f t="shared" ref="U203:AC203" si="59">+T203*(1+U$28)</f>
        <v>0</v>
      </c>
      <c r="V203" s="10">
        <f t="shared" si="59"/>
        <v>0</v>
      </c>
      <c r="W203" s="10">
        <f t="shared" si="59"/>
        <v>0</v>
      </c>
      <c r="X203" s="10">
        <f t="shared" si="59"/>
        <v>0</v>
      </c>
      <c r="Y203" s="10">
        <f t="shared" si="59"/>
        <v>0</v>
      </c>
      <c r="Z203" s="10">
        <f t="shared" si="59"/>
        <v>0</v>
      </c>
      <c r="AA203" s="10">
        <f t="shared" si="59"/>
        <v>0</v>
      </c>
      <c r="AB203" s="10">
        <f t="shared" si="59"/>
        <v>0</v>
      </c>
      <c r="AC203" s="10">
        <f t="shared" si="59"/>
        <v>0</v>
      </c>
    </row>
    <row r="204" spans="1:30" s="1" customFormat="1" x14ac:dyDescent="0.2">
      <c r="A204" s="5"/>
      <c r="B204" s="5" t="s">
        <v>61</v>
      </c>
      <c r="C204" s="5"/>
      <c r="D204" s="5"/>
      <c r="E204" s="5"/>
      <c r="F204" s="5"/>
      <c r="G204" s="5"/>
      <c r="H204" s="12" t="s">
        <v>31</v>
      </c>
      <c r="I204" s="8">
        <v>489</v>
      </c>
      <c r="J204" s="10">
        <f>+I204*(1+J$28)</f>
        <v>503.6831233614505</v>
      </c>
      <c r="K204" s="10">
        <f t="shared" ref="K204:S204" si="60">+J204*(1+K$28)</f>
        <v>518.30221700931759</v>
      </c>
      <c r="L204" s="10">
        <f t="shared" si="60"/>
        <v>533.08585091810698</v>
      </c>
      <c r="M204" s="10">
        <f t="shared" si="60"/>
        <v>548.02399295888711</v>
      </c>
      <c r="N204" s="10">
        <f t="shared" si="60"/>
        <v>562.94130786115943</v>
      </c>
      <c r="O204" s="10">
        <f t="shared" si="60"/>
        <v>577.98257434219647</v>
      </c>
      <c r="P204" s="10">
        <f t="shared" si="60"/>
        <v>593.13610352671674</v>
      </c>
      <c r="Q204" s="10">
        <f t="shared" si="60"/>
        <v>608.44916093834752</v>
      </c>
      <c r="R204" s="10">
        <f t="shared" si="60"/>
        <v>623.91366032360247</v>
      </c>
      <c r="S204" s="10">
        <f t="shared" si="60"/>
        <v>639.64616460750483</v>
      </c>
      <c r="T204" s="10">
        <v>0</v>
      </c>
      <c r="U204" s="10">
        <f t="shared" ref="U204:AC204" si="61">+T204*(1+U$28)</f>
        <v>0</v>
      </c>
      <c r="V204" s="10">
        <f t="shared" si="61"/>
        <v>0</v>
      </c>
      <c r="W204" s="10">
        <f t="shared" si="61"/>
        <v>0</v>
      </c>
      <c r="X204" s="10">
        <f t="shared" si="61"/>
        <v>0</v>
      </c>
      <c r="Y204" s="10">
        <f t="shared" si="61"/>
        <v>0</v>
      </c>
      <c r="Z204" s="10">
        <f t="shared" si="61"/>
        <v>0</v>
      </c>
      <c r="AA204" s="10">
        <f t="shared" si="61"/>
        <v>0</v>
      </c>
      <c r="AB204" s="10">
        <f t="shared" si="61"/>
        <v>0</v>
      </c>
      <c r="AC204" s="10">
        <f t="shared" si="61"/>
        <v>0</v>
      </c>
    </row>
    <row r="205" spans="1:30" s="1" customFormat="1" x14ac:dyDescent="0.2">
      <c r="A205" s="5"/>
      <c r="B205" s="5" t="s">
        <v>64</v>
      </c>
      <c r="C205" s="5"/>
      <c r="D205" s="5"/>
      <c r="E205" s="5"/>
      <c r="F205" s="5"/>
      <c r="G205" s="97" t="str">
        <f>+G147</f>
        <v>Y</v>
      </c>
      <c r="H205" s="12" t="s">
        <v>31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</row>
    <row r="206" spans="1:30" s="1" customFormat="1" x14ac:dyDescent="0.2">
      <c r="A206" s="5"/>
      <c r="B206" s="5" t="s">
        <v>62</v>
      </c>
      <c r="C206" s="5"/>
      <c r="D206" s="5"/>
      <c r="E206" s="5"/>
      <c r="F206" s="5"/>
      <c r="G206" s="5"/>
      <c r="H206" s="12" t="s">
        <v>31</v>
      </c>
      <c r="I206" s="8">
        <v>463</v>
      </c>
      <c r="J206" s="10">
        <v>512</v>
      </c>
      <c r="K206" s="10">
        <f t="shared" ref="K206:AC206" si="62">+J206*(1+K$28)</f>
        <v>526.86048588992844</v>
      </c>
      <c r="L206" s="10">
        <f t="shared" si="62"/>
        <v>541.88822894946384</v>
      </c>
      <c r="M206" s="10">
        <f t="shared" si="62"/>
        <v>557.07303139794863</v>
      </c>
      <c r="N206" s="10">
        <f t="shared" si="62"/>
        <v>572.23666280769612</v>
      </c>
      <c r="O206" s="10">
        <f t="shared" si="62"/>
        <v>587.52629249966515</v>
      </c>
      <c r="P206" s="10">
        <f t="shared" si="62"/>
        <v>602.93003859045223</v>
      </c>
      <c r="Q206" s="10">
        <f t="shared" si="62"/>
        <v>618.49594705772608</v>
      </c>
      <c r="R206" s="10">
        <f t="shared" si="62"/>
        <v>634.21579812680511</v>
      </c>
      <c r="S206" s="10">
        <f t="shared" si="62"/>
        <v>650.20807942382521</v>
      </c>
      <c r="T206" s="10">
        <f>IF(+$F$166=1,+S206*(1+T$28),0)</f>
        <v>0</v>
      </c>
      <c r="U206" s="10">
        <f t="shared" si="62"/>
        <v>0</v>
      </c>
      <c r="V206" s="10">
        <f t="shared" si="62"/>
        <v>0</v>
      </c>
      <c r="W206" s="10">
        <f t="shared" si="62"/>
        <v>0</v>
      </c>
      <c r="X206" s="10">
        <f t="shared" si="62"/>
        <v>0</v>
      </c>
      <c r="Y206" s="10">
        <f t="shared" si="62"/>
        <v>0</v>
      </c>
      <c r="Z206" s="10">
        <f t="shared" si="62"/>
        <v>0</v>
      </c>
      <c r="AA206" s="10">
        <f t="shared" si="62"/>
        <v>0</v>
      </c>
      <c r="AB206" s="10">
        <f t="shared" si="62"/>
        <v>0</v>
      </c>
      <c r="AC206" s="10">
        <f t="shared" si="62"/>
        <v>0</v>
      </c>
    </row>
    <row r="207" spans="1:30" s="1" customFormat="1" x14ac:dyDescent="0.2">
      <c r="A207" s="5"/>
      <c r="B207" s="5" t="s">
        <v>3</v>
      </c>
      <c r="C207" s="5"/>
      <c r="D207" s="5"/>
      <c r="E207" s="5"/>
      <c r="F207" s="5"/>
      <c r="G207" s="5"/>
      <c r="H207" s="12" t="s">
        <v>31</v>
      </c>
      <c r="I207" s="209">
        <f t="shared" ref="I207:AC207" si="63">IF(+$G205="Y",SUM(I196:I206),SUM(I196:I206)-I205)</f>
        <v>86787.879659999977</v>
      </c>
      <c r="J207" s="209">
        <f t="shared" si="63"/>
        <v>84311.496478996822</v>
      </c>
      <c r="K207" s="209">
        <f t="shared" si="63"/>
        <v>80593.527630038996</v>
      </c>
      <c r="L207" s="209">
        <f t="shared" si="63"/>
        <v>89873.424948999309</v>
      </c>
      <c r="M207" s="209">
        <f t="shared" si="63"/>
        <v>90541.238128984187</v>
      </c>
      <c r="N207" s="209">
        <f t="shared" si="63"/>
        <v>92120.872972465004</v>
      </c>
      <c r="O207" s="209">
        <f t="shared" si="63"/>
        <v>98682.651498697698</v>
      </c>
      <c r="P207" s="209">
        <f t="shared" si="63"/>
        <v>99973.203363285938</v>
      </c>
      <c r="Q207" s="209">
        <f t="shared" si="63"/>
        <v>95078.209936798929</v>
      </c>
      <c r="R207" s="209">
        <f t="shared" si="63"/>
        <v>101492.26800458619</v>
      </c>
      <c r="S207" s="209">
        <f t="shared" si="63"/>
        <v>74607.186684553497</v>
      </c>
      <c r="T207" s="209">
        <f t="shared" si="63"/>
        <v>0</v>
      </c>
      <c r="U207" s="209">
        <f t="shared" si="63"/>
        <v>2.5316045172643298E-2</v>
      </c>
      <c r="V207" s="209">
        <f t="shared" si="63"/>
        <v>5.1032937006260992E-2</v>
      </c>
      <c r="W207" s="209">
        <f t="shared" si="63"/>
        <v>7.7150688858753869E-2</v>
      </c>
      <c r="X207" s="209">
        <f t="shared" si="63"/>
        <v>0.10386975578632551</v>
      </c>
      <c r="Y207" s="209">
        <f t="shared" si="63"/>
        <v>0.13098971612893817</v>
      </c>
      <c r="Z207" s="209">
        <f t="shared" si="63"/>
        <v>0.15841035529967717</v>
      </c>
      <c r="AA207" s="209">
        <f t="shared" si="63"/>
        <v>0.18663284141711878</v>
      </c>
      <c r="AB207" s="209">
        <f t="shared" si="63"/>
        <v>0.21565722792088526</v>
      </c>
      <c r="AC207" s="209">
        <f t="shared" si="63"/>
        <v>0.2461853216942449</v>
      </c>
    </row>
    <row r="208" spans="1:30" s="1" customFormat="1" x14ac:dyDescent="0.2">
      <c r="A208" s="5"/>
      <c r="B208" s="5"/>
      <c r="C208" s="5"/>
      <c r="D208" s="5"/>
      <c r="E208" s="5"/>
      <c r="F208" s="5"/>
      <c r="G208" s="5"/>
      <c r="H208" s="12"/>
    </row>
    <row r="209" spans="1:29" s="1" customFormat="1" ht="13.5" thickBot="1" x14ac:dyDescent="0.25">
      <c r="A209" s="5"/>
      <c r="B209" s="13" t="s">
        <v>65</v>
      </c>
      <c r="C209" s="5"/>
      <c r="D209" s="5"/>
      <c r="E209" s="5"/>
      <c r="F209" s="5"/>
      <c r="G209" s="5"/>
      <c r="H209" s="12" t="s">
        <v>31</v>
      </c>
      <c r="I209" s="211">
        <f t="shared" ref="I209:AC209" si="64">+I192-I207</f>
        <v>67652.362528196478</v>
      </c>
      <c r="J209" s="211">
        <f t="shared" si="64"/>
        <v>68698.55611004107</v>
      </c>
      <c r="K209" s="211">
        <f t="shared" si="64"/>
        <v>69826.505094105174</v>
      </c>
      <c r="L209" s="211">
        <f t="shared" si="64"/>
        <v>73472.892338749429</v>
      </c>
      <c r="M209" s="211">
        <f t="shared" si="64"/>
        <v>74882.058445368937</v>
      </c>
      <c r="N209" s="211">
        <f t="shared" si="64"/>
        <v>76334.056013952475</v>
      </c>
      <c r="O209" s="211">
        <f t="shared" si="64"/>
        <v>73850.563675479701</v>
      </c>
      <c r="P209" s="211">
        <f t="shared" si="64"/>
        <v>70529.523652681921</v>
      </c>
      <c r="Q209" s="211">
        <f t="shared" si="64"/>
        <v>71982.353523723024</v>
      </c>
      <c r="R209" s="211">
        <f t="shared" si="64"/>
        <v>80238.616605359508</v>
      </c>
      <c r="S209" s="211">
        <f t="shared" si="64"/>
        <v>43948.328780679556</v>
      </c>
      <c r="T209" s="211">
        <f t="shared" si="64"/>
        <v>20278.583448167043</v>
      </c>
      <c r="U209" s="211">
        <f t="shared" si="64"/>
        <v>20231.569133269433</v>
      </c>
      <c r="V209" s="211">
        <f t="shared" si="64"/>
        <v>20064.674696793216</v>
      </c>
      <c r="W209" s="211">
        <f t="shared" si="64"/>
        <v>20354.901103797536</v>
      </c>
      <c r="X209" s="211">
        <f t="shared" si="64"/>
        <v>20133.701536786433</v>
      </c>
      <c r="Y209" s="211">
        <f t="shared" si="64"/>
        <v>20111.111058323426</v>
      </c>
      <c r="Z209" s="211">
        <f t="shared" si="64"/>
        <v>20483.141615572986</v>
      </c>
      <c r="AA209" s="211">
        <f t="shared" si="64"/>
        <v>20880.489413589879</v>
      </c>
      <c r="AB209" s="211">
        <f t="shared" si="64"/>
        <v>21304.338112945934</v>
      </c>
      <c r="AC209" s="211">
        <f t="shared" si="64"/>
        <v>21755.964124779846</v>
      </c>
    </row>
    <row r="210" spans="1:29" s="1" customFormat="1" ht="13.5" thickTop="1" x14ac:dyDescent="0.2">
      <c r="A210" s="5"/>
      <c r="B210" s="5"/>
      <c r="C210" s="5"/>
      <c r="D210" s="5"/>
      <c r="E210" s="5"/>
      <c r="F210" s="5"/>
      <c r="G210" s="5"/>
      <c r="H210" s="12"/>
      <c r="I210" s="1">
        <v>68649</v>
      </c>
      <c r="J210" s="1">
        <v>69522</v>
      </c>
      <c r="K210" s="1">
        <v>69681</v>
      </c>
      <c r="L210" s="1">
        <v>75183</v>
      </c>
    </row>
    <row r="211" spans="1:29" s="1" customFormat="1" x14ac:dyDescent="0.2">
      <c r="A211" s="5"/>
      <c r="B211" s="5"/>
      <c r="C211" s="5"/>
      <c r="D211" s="5"/>
      <c r="E211" s="5"/>
      <c r="F211" s="5"/>
      <c r="G211" s="5"/>
      <c r="H211" s="12"/>
    </row>
    <row r="212" spans="1:29" s="1" customFormat="1" ht="18" x14ac:dyDescent="0.25">
      <c r="A212" s="94" t="s">
        <v>68</v>
      </c>
      <c r="B212" s="5"/>
      <c r="C212" s="5"/>
      <c r="D212" s="5"/>
      <c r="E212" s="5"/>
      <c r="F212" s="5"/>
      <c r="G212" s="5"/>
      <c r="H212" s="12"/>
    </row>
    <row r="213" spans="1:29" s="1" customFormat="1" x14ac:dyDescent="0.2">
      <c r="A213" s="5"/>
      <c r="B213" s="5"/>
      <c r="C213" s="5"/>
      <c r="D213" s="5"/>
      <c r="E213" s="5"/>
      <c r="F213" s="5"/>
      <c r="G213" s="5"/>
      <c r="H213" s="12"/>
    </row>
    <row r="214" spans="1:29" s="1" customFormat="1" x14ac:dyDescent="0.2">
      <c r="A214" s="5"/>
      <c r="B214" s="13" t="s">
        <v>71</v>
      </c>
      <c r="C214" s="5"/>
      <c r="D214" s="5"/>
      <c r="E214" s="5"/>
      <c r="F214" s="5"/>
      <c r="G214" s="5"/>
      <c r="H214" s="12"/>
      <c r="I214" s="150"/>
    </row>
    <row r="215" spans="1:29" s="1" customFormat="1" x14ac:dyDescent="0.2">
      <c r="A215" s="5"/>
      <c r="B215" s="5" t="s">
        <v>2</v>
      </c>
      <c r="D215" s="5"/>
      <c r="E215" s="5"/>
      <c r="F215" s="5"/>
      <c r="G215" s="5"/>
      <c r="H215" s="39" t="s">
        <v>31</v>
      </c>
      <c r="I215" s="7">
        <f>+I151</f>
        <v>49830.852150347695</v>
      </c>
      <c r="J215" s="7">
        <f t="shared" ref="J215:AC215" si="65">+J151</f>
        <v>50325.229125000566</v>
      </c>
      <c r="K215" s="7">
        <f t="shared" si="65"/>
        <v>59289.361029175532</v>
      </c>
      <c r="L215" s="7">
        <f t="shared" si="65"/>
        <v>63182.071420277673</v>
      </c>
      <c r="M215" s="7">
        <f t="shared" si="65"/>
        <v>71042.931250146052</v>
      </c>
      <c r="N215" s="7">
        <f t="shared" si="65"/>
        <v>75136.457065168273</v>
      </c>
      <c r="O215" s="7">
        <f t="shared" si="65"/>
        <v>77366.898421635589</v>
      </c>
      <c r="P215" s="7">
        <f t="shared" si="65"/>
        <v>76597.235251715072</v>
      </c>
      <c r="Q215" s="7">
        <f t="shared" si="65"/>
        <v>91255.894600890344</v>
      </c>
      <c r="R215" s="7">
        <f t="shared" si="65"/>
        <v>98257.573991625104</v>
      </c>
      <c r="S215" s="7">
        <f t="shared" si="65"/>
        <v>72148.158824405808</v>
      </c>
      <c r="T215" s="7">
        <f t="shared" si="65"/>
        <v>19896.031231995134</v>
      </c>
      <c r="U215" s="7">
        <f t="shared" si="65"/>
        <v>16881.889318118891</v>
      </c>
      <c r="V215" s="7">
        <f t="shared" si="65"/>
        <v>12382.400307004238</v>
      </c>
      <c r="W215" s="7">
        <f t="shared" si="65"/>
        <v>20524.980379020635</v>
      </c>
      <c r="X215" s="7">
        <f t="shared" si="65"/>
        <v>11881.280703991637</v>
      </c>
      <c r="Y215" s="7">
        <f t="shared" si="65"/>
        <v>-3581.4748562808381</v>
      </c>
      <c r="Z215" s="7">
        <f t="shared" si="65"/>
        <v>-5499.5256732583002</v>
      </c>
      <c r="AA215" s="7">
        <f t="shared" si="65"/>
        <v>-5995.8584460188722</v>
      </c>
      <c r="AB215" s="7">
        <f t="shared" si="65"/>
        <v>-5460.0247136497273</v>
      </c>
      <c r="AC215" s="7">
        <f t="shared" si="65"/>
        <v>-9751.9231620097999</v>
      </c>
    </row>
    <row r="216" spans="1:29" s="1" customFormat="1" x14ac:dyDescent="0.2">
      <c r="A216" s="5"/>
      <c r="B216" s="5" t="s">
        <v>53</v>
      </c>
      <c r="D216" s="5"/>
      <c r="E216" s="5"/>
      <c r="F216" s="5"/>
      <c r="G216" s="5"/>
      <c r="H216" s="39" t="s">
        <v>31</v>
      </c>
      <c r="I216" s="7">
        <f t="shared" ref="I216:AC216" si="66">+I209</f>
        <v>67652.362528196478</v>
      </c>
      <c r="J216" s="7">
        <f t="shared" si="66"/>
        <v>68698.55611004107</v>
      </c>
      <c r="K216" s="7">
        <f t="shared" si="66"/>
        <v>69826.505094105174</v>
      </c>
      <c r="L216" s="7">
        <f t="shared" si="66"/>
        <v>73472.892338749429</v>
      </c>
      <c r="M216" s="7">
        <f t="shared" si="66"/>
        <v>74882.058445368937</v>
      </c>
      <c r="N216" s="7">
        <f t="shared" si="66"/>
        <v>76334.056013952475</v>
      </c>
      <c r="O216" s="7">
        <f t="shared" si="66"/>
        <v>73850.563675479701</v>
      </c>
      <c r="P216" s="7">
        <f t="shared" si="66"/>
        <v>70529.523652681921</v>
      </c>
      <c r="Q216" s="7">
        <f t="shared" si="66"/>
        <v>71982.353523723024</v>
      </c>
      <c r="R216" s="7">
        <f t="shared" si="66"/>
        <v>80238.616605359508</v>
      </c>
      <c r="S216" s="7">
        <f t="shared" si="66"/>
        <v>43948.328780679556</v>
      </c>
      <c r="T216" s="7">
        <f t="shared" si="66"/>
        <v>20278.583448167043</v>
      </c>
      <c r="U216" s="7">
        <f t="shared" si="66"/>
        <v>20231.569133269433</v>
      </c>
      <c r="V216" s="7">
        <f t="shared" si="66"/>
        <v>20064.674696793216</v>
      </c>
      <c r="W216" s="7">
        <f t="shared" si="66"/>
        <v>20354.901103797536</v>
      </c>
      <c r="X216" s="7">
        <f t="shared" si="66"/>
        <v>20133.701536786433</v>
      </c>
      <c r="Y216" s="7">
        <f t="shared" si="66"/>
        <v>20111.111058323426</v>
      </c>
      <c r="Z216" s="7">
        <f t="shared" si="66"/>
        <v>20483.141615572986</v>
      </c>
      <c r="AA216" s="7">
        <f t="shared" si="66"/>
        <v>20880.489413589879</v>
      </c>
      <c r="AB216" s="7">
        <f t="shared" si="66"/>
        <v>21304.338112945934</v>
      </c>
      <c r="AC216" s="7">
        <f t="shared" si="66"/>
        <v>21755.964124779846</v>
      </c>
    </row>
    <row r="217" spans="1:29" s="1" customFormat="1" x14ac:dyDescent="0.2">
      <c r="A217" s="5"/>
      <c r="B217" s="5" t="s">
        <v>3</v>
      </c>
      <c r="D217" s="5"/>
      <c r="E217" s="5"/>
      <c r="F217" s="5"/>
      <c r="G217" s="5"/>
      <c r="H217" s="39" t="s">
        <v>31</v>
      </c>
      <c r="I217" s="207">
        <f t="shared" ref="I217:AC217" si="67">SUM(I215:I216)</f>
        <v>117483.21467854417</v>
      </c>
      <c r="J217" s="207">
        <f t="shared" si="67"/>
        <v>119023.78523504164</v>
      </c>
      <c r="K217" s="207">
        <f t="shared" si="67"/>
        <v>129115.86612328071</v>
      </c>
      <c r="L217" s="207">
        <f t="shared" si="67"/>
        <v>136654.9637590271</v>
      </c>
      <c r="M217" s="207">
        <f t="shared" si="67"/>
        <v>145924.98969551499</v>
      </c>
      <c r="N217" s="207">
        <f t="shared" si="67"/>
        <v>151470.51307912075</v>
      </c>
      <c r="O217" s="207">
        <f t="shared" si="67"/>
        <v>151217.46209711529</v>
      </c>
      <c r="P217" s="207">
        <f t="shared" si="67"/>
        <v>147126.75890439699</v>
      </c>
      <c r="Q217" s="207">
        <f t="shared" si="67"/>
        <v>163238.24812461337</v>
      </c>
      <c r="R217" s="207">
        <f t="shared" si="67"/>
        <v>178496.19059698461</v>
      </c>
      <c r="S217" s="207">
        <f t="shared" si="67"/>
        <v>116096.48760508536</v>
      </c>
      <c r="T217" s="207">
        <f t="shared" si="67"/>
        <v>40174.61468016218</v>
      </c>
      <c r="U217" s="207">
        <f t="shared" si="67"/>
        <v>37113.458451388324</v>
      </c>
      <c r="V217" s="207">
        <f t="shared" si="67"/>
        <v>32447.075003797454</v>
      </c>
      <c r="W217" s="207">
        <f t="shared" si="67"/>
        <v>40879.881482818171</v>
      </c>
      <c r="X217" s="207">
        <f t="shared" si="67"/>
        <v>32014.98224077807</v>
      </c>
      <c r="Y217" s="207">
        <f t="shared" si="67"/>
        <v>16529.636202042588</v>
      </c>
      <c r="Z217" s="207">
        <f t="shared" si="67"/>
        <v>14983.615942314686</v>
      </c>
      <c r="AA217" s="207">
        <f t="shared" si="67"/>
        <v>14884.630967571007</v>
      </c>
      <c r="AB217" s="207">
        <f t="shared" si="67"/>
        <v>15844.313399296207</v>
      </c>
      <c r="AC217" s="207">
        <f t="shared" si="67"/>
        <v>12004.040962770046</v>
      </c>
    </row>
    <row r="218" spans="1:29" s="1" customFormat="1" x14ac:dyDescent="0.2">
      <c r="A218" s="5"/>
      <c r="B218" s="5"/>
      <c r="C218" s="5"/>
      <c r="D218" s="5"/>
      <c r="E218" s="5"/>
      <c r="F218" s="5"/>
      <c r="G218" s="5"/>
      <c r="H218" s="12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s="1" customFormat="1" x14ac:dyDescent="0.2">
      <c r="A219" s="5"/>
      <c r="B219" s="13" t="s">
        <v>137</v>
      </c>
      <c r="C219" s="5"/>
      <c r="D219" s="5"/>
      <c r="E219" s="5"/>
      <c r="F219" s="5"/>
      <c r="G219" s="5"/>
      <c r="H219" s="39" t="s">
        <v>31</v>
      </c>
      <c r="I219" s="59">
        <f t="shared" ref="I219:AC219" si="68">+I253</f>
        <v>59460</v>
      </c>
      <c r="J219" s="59">
        <f t="shared" si="68"/>
        <v>60084</v>
      </c>
      <c r="K219" s="59">
        <f t="shared" si="68"/>
        <v>59082</v>
      </c>
      <c r="L219" s="59">
        <f t="shared" si="68"/>
        <v>61497</v>
      </c>
      <c r="M219" s="59">
        <f t="shared" si="68"/>
        <v>75229</v>
      </c>
      <c r="N219" s="59">
        <f t="shared" si="68"/>
        <v>78125</v>
      </c>
      <c r="O219" s="59">
        <f t="shared" si="68"/>
        <v>74566</v>
      </c>
      <c r="P219" s="59">
        <f t="shared" si="68"/>
        <v>67305</v>
      </c>
      <c r="Q219" s="59">
        <f t="shared" si="68"/>
        <v>64990</v>
      </c>
      <c r="R219" s="59">
        <f t="shared" si="68"/>
        <v>70001</v>
      </c>
      <c r="S219" s="59">
        <f t="shared" si="68"/>
        <v>0</v>
      </c>
      <c r="T219" s="59">
        <f t="shared" si="68"/>
        <v>0</v>
      </c>
      <c r="U219" s="59">
        <f t="shared" si="68"/>
        <v>0</v>
      </c>
      <c r="V219" s="59">
        <f t="shared" si="68"/>
        <v>0</v>
      </c>
      <c r="W219" s="59">
        <f t="shared" si="68"/>
        <v>0</v>
      </c>
      <c r="X219" s="59">
        <f t="shared" si="68"/>
        <v>0</v>
      </c>
      <c r="Y219" s="59">
        <f t="shared" si="68"/>
        <v>0</v>
      </c>
      <c r="Z219" s="59">
        <f t="shared" si="68"/>
        <v>0</v>
      </c>
      <c r="AA219" s="59">
        <f t="shared" si="68"/>
        <v>0</v>
      </c>
      <c r="AB219" s="59">
        <f t="shared" si="68"/>
        <v>0</v>
      </c>
      <c r="AC219" s="59">
        <f t="shared" si="68"/>
        <v>0</v>
      </c>
    </row>
    <row r="220" spans="1:29" s="1" customFormat="1" x14ac:dyDescent="0.2">
      <c r="A220" s="5"/>
      <c r="B220" s="13"/>
      <c r="C220" s="5"/>
      <c r="D220" s="5"/>
      <c r="E220" s="5"/>
      <c r="F220" s="5"/>
      <c r="G220" s="5"/>
      <c r="H220" s="12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s="1" customFormat="1" x14ac:dyDescent="0.2">
      <c r="A221" s="5"/>
      <c r="B221" s="13" t="s">
        <v>114</v>
      </c>
      <c r="C221" s="5"/>
      <c r="D221" s="5"/>
      <c r="E221" s="5"/>
      <c r="F221" s="5"/>
      <c r="G221" s="5"/>
      <c r="H221" s="39" t="s">
        <v>31</v>
      </c>
      <c r="I221" s="40">
        <v>1791</v>
      </c>
      <c r="J221" s="40">
        <v>1841</v>
      </c>
      <c r="K221" s="40">
        <v>1891</v>
      </c>
      <c r="L221" s="40">
        <v>1942</v>
      </c>
      <c r="M221" s="40">
        <v>1994</v>
      </c>
      <c r="N221" s="40">
        <v>2048</v>
      </c>
      <c r="O221" s="40">
        <v>2103</v>
      </c>
      <c r="P221" s="40">
        <v>2160</v>
      </c>
      <c r="Q221" s="40">
        <v>2219</v>
      </c>
      <c r="R221" s="40">
        <v>2278</v>
      </c>
      <c r="S221" s="40">
        <v>2342</v>
      </c>
      <c r="T221" s="40">
        <v>0</v>
      </c>
      <c r="U221" s="40">
        <v>0</v>
      </c>
      <c r="V221" s="40">
        <v>0</v>
      </c>
      <c r="W221" s="40">
        <v>0</v>
      </c>
      <c r="X221" s="40">
        <v>0</v>
      </c>
      <c r="Y221" s="40">
        <v>0</v>
      </c>
      <c r="Z221" s="40">
        <v>0</v>
      </c>
      <c r="AA221" s="40">
        <v>0</v>
      </c>
      <c r="AB221" s="40">
        <v>0</v>
      </c>
      <c r="AC221" s="40">
        <v>0</v>
      </c>
    </row>
    <row r="222" spans="1:29" s="1" customFormat="1" x14ac:dyDescent="0.2">
      <c r="A222" s="5"/>
      <c r="B222" s="13"/>
      <c r="C222" s="5"/>
      <c r="D222" s="5"/>
      <c r="E222" s="5"/>
      <c r="F222" s="5"/>
      <c r="G222" s="5"/>
      <c r="H222" s="12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s="1" customFormat="1" x14ac:dyDescent="0.2">
      <c r="A223" s="5"/>
      <c r="B223" s="13" t="s">
        <v>159</v>
      </c>
      <c r="C223" s="5"/>
      <c r="D223" s="5"/>
      <c r="E223" s="5"/>
      <c r="F223" s="5"/>
      <c r="G223" s="5"/>
      <c r="H223" s="39" t="s">
        <v>31</v>
      </c>
      <c r="I223" s="207">
        <f t="shared" ref="I223:AC223" si="69">+I217-I219-I221</f>
        <v>56232.214678544173</v>
      </c>
      <c r="J223" s="207">
        <f t="shared" si="69"/>
        <v>57098.785235041636</v>
      </c>
      <c r="K223" s="207">
        <f t="shared" si="69"/>
        <v>68142.866123280706</v>
      </c>
      <c r="L223" s="207">
        <f t="shared" si="69"/>
        <v>73215.963759027101</v>
      </c>
      <c r="M223" s="207">
        <f t="shared" si="69"/>
        <v>68701.989695514989</v>
      </c>
      <c r="N223" s="207">
        <f t="shared" si="69"/>
        <v>71297.513079120748</v>
      </c>
      <c r="O223" s="207">
        <f t="shared" si="69"/>
        <v>74548.462097115291</v>
      </c>
      <c r="P223" s="207">
        <f t="shared" si="69"/>
        <v>77661.758904396993</v>
      </c>
      <c r="Q223" s="207">
        <f t="shared" si="69"/>
        <v>96029.248124613368</v>
      </c>
      <c r="R223" s="207">
        <f t="shared" si="69"/>
        <v>106217.19059698461</v>
      </c>
      <c r="S223" s="207">
        <f t="shared" si="69"/>
        <v>113754.48760508536</v>
      </c>
      <c r="T223" s="207">
        <f t="shared" si="69"/>
        <v>40174.61468016218</v>
      </c>
      <c r="U223" s="207">
        <f t="shared" si="69"/>
        <v>37113.458451388324</v>
      </c>
      <c r="V223" s="207">
        <f t="shared" si="69"/>
        <v>32447.075003797454</v>
      </c>
      <c r="W223" s="207">
        <f t="shared" si="69"/>
        <v>40879.881482818171</v>
      </c>
      <c r="X223" s="207">
        <f t="shared" si="69"/>
        <v>32014.98224077807</v>
      </c>
      <c r="Y223" s="207">
        <f t="shared" si="69"/>
        <v>16529.636202042588</v>
      </c>
      <c r="Z223" s="207">
        <f t="shared" si="69"/>
        <v>14983.615942314686</v>
      </c>
      <c r="AA223" s="207">
        <f t="shared" si="69"/>
        <v>14884.630967571007</v>
      </c>
      <c r="AB223" s="207">
        <f t="shared" si="69"/>
        <v>15844.313399296207</v>
      </c>
      <c r="AC223" s="207">
        <f t="shared" si="69"/>
        <v>12004.040962770046</v>
      </c>
    </row>
    <row r="224" spans="1:29" s="1" customFormat="1" x14ac:dyDescent="0.2">
      <c r="A224" s="5"/>
      <c r="B224" s="13"/>
      <c r="C224" s="5"/>
      <c r="D224" s="5"/>
      <c r="E224" s="5"/>
      <c r="F224" s="5"/>
      <c r="G224" s="5"/>
      <c r="H224" s="12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56" s="1" customFormat="1" x14ac:dyDescent="0.2">
      <c r="A225" s="5"/>
      <c r="B225" s="13" t="s">
        <v>166</v>
      </c>
      <c r="E225" s="5"/>
      <c r="F225" s="5"/>
      <c r="G225" s="5"/>
      <c r="H225" s="39" t="s">
        <v>31</v>
      </c>
      <c r="I225" s="93">
        <f t="shared" ref="I225:AC225" si="70">+I268</f>
        <v>17578</v>
      </c>
      <c r="J225" s="93">
        <f t="shared" si="70"/>
        <v>26202.22</v>
      </c>
      <c r="K225" s="93">
        <f t="shared" si="70"/>
        <v>25499.1</v>
      </c>
      <c r="L225" s="93">
        <f t="shared" si="70"/>
        <v>24795.98</v>
      </c>
      <c r="M225" s="93">
        <f t="shared" si="70"/>
        <v>24092.86</v>
      </c>
      <c r="N225" s="93">
        <f t="shared" si="70"/>
        <v>27701.85</v>
      </c>
      <c r="O225" s="93">
        <f t="shared" si="70"/>
        <v>35271.39</v>
      </c>
      <c r="P225" s="93">
        <f t="shared" si="70"/>
        <v>33513.589999999997</v>
      </c>
      <c r="Q225" s="93">
        <f t="shared" si="70"/>
        <v>36067.9</v>
      </c>
      <c r="R225" s="93">
        <f t="shared" si="70"/>
        <v>42582.76</v>
      </c>
      <c r="S225" s="93">
        <f t="shared" si="70"/>
        <v>69955.05</v>
      </c>
      <c r="T225" s="93">
        <f t="shared" si="70"/>
        <v>0</v>
      </c>
      <c r="U225" s="93">
        <f t="shared" si="70"/>
        <v>0</v>
      </c>
      <c r="V225" s="93">
        <f t="shared" si="70"/>
        <v>0</v>
      </c>
      <c r="W225" s="93">
        <f t="shared" si="70"/>
        <v>0</v>
      </c>
      <c r="X225" s="93">
        <f t="shared" si="70"/>
        <v>0</v>
      </c>
      <c r="Y225" s="93">
        <f t="shared" si="70"/>
        <v>0</v>
      </c>
      <c r="Z225" s="93">
        <f t="shared" si="70"/>
        <v>0</v>
      </c>
      <c r="AA225" s="93">
        <f t="shared" si="70"/>
        <v>0</v>
      </c>
      <c r="AB225" s="93">
        <f t="shared" si="70"/>
        <v>0</v>
      </c>
      <c r="AC225" s="93">
        <f t="shared" si="70"/>
        <v>0</v>
      </c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  <c r="DS225" s="39"/>
      <c r="DT225" s="39"/>
      <c r="DU225" s="39"/>
      <c r="DV225" s="39"/>
      <c r="DW225" s="39"/>
      <c r="DX225" s="39"/>
      <c r="DY225" s="39"/>
      <c r="DZ225" s="39"/>
      <c r="EA225" s="39"/>
      <c r="EB225" s="39"/>
      <c r="EC225" s="39"/>
      <c r="ED225" s="39"/>
      <c r="EE225" s="39"/>
      <c r="EF225" s="39"/>
      <c r="EG225" s="39"/>
      <c r="EH225" s="39"/>
      <c r="EI225" s="39"/>
      <c r="EJ225" s="39"/>
      <c r="EK225" s="39"/>
      <c r="EL225" s="39"/>
      <c r="EM225" s="39"/>
      <c r="EN225" s="39"/>
      <c r="EO225" s="39"/>
      <c r="EP225" s="39"/>
      <c r="EQ225" s="39"/>
      <c r="ER225" s="39"/>
      <c r="ES225" s="39"/>
      <c r="ET225" s="39"/>
      <c r="EU225" s="39"/>
      <c r="EV225" s="39"/>
      <c r="EW225" s="39"/>
      <c r="EX225" s="39"/>
      <c r="EY225" s="39"/>
      <c r="EZ225" s="39"/>
      <c r="FA225" s="39"/>
      <c r="FB225" s="39"/>
      <c r="FC225" s="39"/>
      <c r="FD225" s="39"/>
      <c r="FE225" s="39"/>
      <c r="FF225" s="39"/>
      <c r="FG225" s="39"/>
      <c r="FH225" s="39"/>
      <c r="FI225" s="39"/>
      <c r="FJ225" s="39"/>
      <c r="FK225" s="39"/>
      <c r="FL225" s="39"/>
      <c r="FM225" s="39"/>
      <c r="FN225" s="39"/>
      <c r="FO225" s="39"/>
      <c r="FP225" s="39"/>
      <c r="FQ225" s="39"/>
      <c r="FR225" s="39"/>
      <c r="FS225" s="39"/>
      <c r="FT225" s="39"/>
      <c r="FU225" s="39"/>
      <c r="FV225" s="39"/>
      <c r="FW225" s="39"/>
      <c r="FX225" s="39"/>
      <c r="FY225" s="39"/>
      <c r="FZ225" s="39"/>
      <c r="GA225" s="39"/>
      <c r="GB225" s="39"/>
      <c r="GC225" s="39"/>
      <c r="GD225" s="39"/>
      <c r="GE225" s="39"/>
      <c r="GF225" s="39"/>
      <c r="GG225" s="39"/>
      <c r="GH225" s="39"/>
      <c r="GI225" s="39"/>
      <c r="GJ225" s="39"/>
      <c r="GK225" s="39"/>
      <c r="GL225" s="39"/>
      <c r="GM225" s="39"/>
      <c r="GN225" s="39"/>
      <c r="GO225" s="39"/>
      <c r="GP225" s="39"/>
      <c r="GQ225" s="39"/>
      <c r="GR225" s="39"/>
      <c r="GS225" s="39"/>
      <c r="GT225" s="39"/>
      <c r="GU225" s="39"/>
      <c r="GV225" s="39"/>
      <c r="GW225" s="39"/>
      <c r="GX225" s="39"/>
      <c r="GY225" s="39"/>
      <c r="GZ225" s="39"/>
      <c r="HA225" s="39"/>
      <c r="HB225" s="39"/>
      <c r="HC225" s="39"/>
      <c r="HD225" s="39"/>
      <c r="HE225" s="39"/>
      <c r="HF225" s="39"/>
      <c r="HG225" s="39"/>
      <c r="HH225" s="39"/>
      <c r="HI225" s="39"/>
      <c r="HJ225" s="39"/>
      <c r="HK225" s="39"/>
      <c r="HL225" s="39"/>
      <c r="HM225" s="39"/>
      <c r="HN225" s="39"/>
      <c r="HO225" s="39"/>
      <c r="HP225" s="39"/>
      <c r="HQ225" s="39"/>
      <c r="HR225" s="39"/>
      <c r="HS225" s="39"/>
      <c r="HT225" s="39"/>
      <c r="HU225" s="39"/>
      <c r="HV225" s="39"/>
      <c r="HW225" s="39"/>
      <c r="HX225" s="39"/>
      <c r="HY225" s="39"/>
      <c r="HZ225" s="39"/>
      <c r="IA225" s="39"/>
      <c r="IB225" s="39"/>
      <c r="IC225" s="39"/>
      <c r="ID225" s="39"/>
      <c r="IE225" s="39"/>
      <c r="IF225" s="39"/>
      <c r="IG225" s="39"/>
      <c r="IH225" s="39"/>
      <c r="II225" s="39"/>
      <c r="IJ225" s="39"/>
      <c r="IK225" s="39"/>
      <c r="IL225" s="39"/>
      <c r="IM225" s="39"/>
      <c r="IN225" s="39"/>
      <c r="IO225" s="39"/>
      <c r="IP225" s="39"/>
      <c r="IQ225" s="39"/>
      <c r="IR225" s="39"/>
      <c r="IS225" s="39"/>
      <c r="IT225" s="39"/>
      <c r="IU225" s="39"/>
      <c r="IV225" s="39"/>
    </row>
    <row r="226" spans="1:256" s="1" customFormat="1" x14ac:dyDescent="0.2">
      <c r="A226" s="5"/>
      <c r="B226" s="5"/>
      <c r="C226" s="5"/>
      <c r="E226" s="5"/>
      <c r="F226" s="5"/>
      <c r="G226" s="5"/>
      <c r="H226" s="39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39"/>
      <c r="DY226" s="39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39"/>
      <c r="EQ226" s="39"/>
      <c r="ER226" s="39"/>
      <c r="ES226" s="39"/>
      <c r="ET226" s="39"/>
      <c r="EU226" s="39"/>
      <c r="EV226" s="39"/>
      <c r="EW226" s="39"/>
      <c r="EX226" s="39"/>
      <c r="EY226" s="39"/>
      <c r="EZ226" s="39"/>
      <c r="FA226" s="39"/>
      <c r="FB226" s="39"/>
      <c r="FC226" s="39"/>
      <c r="FD226" s="39"/>
      <c r="FE226" s="39"/>
      <c r="FF226" s="39"/>
      <c r="FG226" s="39"/>
      <c r="FH226" s="39"/>
      <c r="FI226" s="39"/>
      <c r="FJ226" s="39"/>
      <c r="FK226" s="39"/>
      <c r="FL226" s="39"/>
      <c r="FM226" s="39"/>
      <c r="FN226" s="39"/>
      <c r="FO226" s="39"/>
      <c r="FP226" s="39"/>
      <c r="FQ226" s="39"/>
      <c r="FR226" s="39"/>
      <c r="FS226" s="39"/>
      <c r="FT226" s="39"/>
      <c r="FU226" s="39"/>
      <c r="FV226" s="39"/>
      <c r="FW226" s="39"/>
      <c r="FX226" s="39"/>
      <c r="FY226" s="39"/>
      <c r="FZ226" s="39"/>
      <c r="GA226" s="39"/>
      <c r="GB226" s="39"/>
      <c r="GC226" s="39"/>
      <c r="GD226" s="39"/>
      <c r="GE226" s="39"/>
      <c r="GF226" s="39"/>
      <c r="GG226" s="39"/>
      <c r="GH226" s="39"/>
      <c r="GI226" s="39"/>
      <c r="GJ226" s="39"/>
      <c r="GK226" s="39"/>
      <c r="GL226" s="39"/>
      <c r="GM226" s="39"/>
      <c r="GN226" s="39"/>
      <c r="GO226" s="39"/>
      <c r="GP226" s="39"/>
      <c r="GQ226" s="39"/>
      <c r="GR226" s="39"/>
      <c r="GS226" s="39"/>
      <c r="GT226" s="39"/>
      <c r="GU226" s="39"/>
      <c r="GV226" s="39"/>
      <c r="GW226" s="39"/>
      <c r="GX226" s="39"/>
      <c r="GY226" s="39"/>
      <c r="GZ226" s="39"/>
      <c r="HA226" s="39"/>
      <c r="HB226" s="39"/>
      <c r="HC226" s="39"/>
      <c r="HD226" s="39"/>
      <c r="HE226" s="39"/>
      <c r="HF226" s="39"/>
      <c r="HG226" s="39"/>
      <c r="HH226" s="39"/>
      <c r="HI226" s="39"/>
      <c r="HJ226" s="39"/>
      <c r="HK226" s="39"/>
      <c r="HL226" s="39"/>
      <c r="HM226" s="39"/>
      <c r="HN226" s="39"/>
      <c r="HO226" s="39"/>
      <c r="HP226" s="39"/>
      <c r="HQ226" s="39"/>
      <c r="HR226" s="39"/>
      <c r="HS226" s="39"/>
      <c r="HT226" s="39"/>
      <c r="HU226" s="39"/>
      <c r="HV226" s="39"/>
      <c r="HW226" s="39"/>
      <c r="HX226" s="39"/>
      <c r="HY226" s="39"/>
      <c r="HZ226" s="39"/>
      <c r="IA226" s="39"/>
      <c r="IB226" s="39"/>
      <c r="IC226" s="39"/>
      <c r="ID226" s="39"/>
      <c r="IE226" s="39"/>
      <c r="IF226" s="39"/>
      <c r="IG226" s="39"/>
      <c r="IH226" s="39"/>
      <c r="II226" s="39"/>
      <c r="IJ226" s="39"/>
      <c r="IK226" s="39"/>
      <c r="IL226" s="39"/>
      <c r="IM226" s="39"/>
      <c r="IN226" s="39"/>
      <c r="IO226" s="39"/>
      <c r="IP226" s="39"/>
      <c r="IQ226" s="39"/>
      <c r="IR226" s="39"/>
      <c r="IS226" s="39"/>
      <c r="IT226" s="39"/>
      <c r="IU226" s="39"/>
      <c r="IV226" s="39"/>
    </row>
    <row r="227" spans="1:256" s="1" customFormat="1" x14ac:dyDescent="0.2">
      <c r="A227" s="5"/>
      <c r="B227" s="13" t="s">
        <v>160</v>
      </c>
      <c r="E227" s="5"/>
      <c r="F227" s="5"/>
      <c r="G227" s="5"/>
      <c r="H227" s="39" t="s">
        <v>31</v>
      </c>
      <c r="I227" s="93">
        <f t="shared" ref="I227:AC227" si="71">+I223-I225</f>
        <v>38654.214678544173</v>
      </c>
      <c r="J227" s="93">
        <f t="shared" si="71"/>
        <v>30896.565235041635</v>
      </c>
      <c r="K227" s="93">
        <f t="shared" si="71"/>
        <v>42643.766123280708</v>
      </c>
      <c r="L227" s="93">
        <f t="shared" si="71"/>
        <v>48419.983759027105</v>
      </c>
      <c r="M227" s="93">
        <f t="shared" si="71"/>
        <v>44609.129695514988</v>
      </c>
      <c r="N227" s="93">
        <f t="shared" si="71"/>
        <v>43595.66307912075</v>
      </c>
      <c r="O227" s="93">
        <f t="shared" si="71"/>
        <v>39277.072097115291</v>
      </c>
      <c r="P227" s="93">
        <f t="shared" si="71"/>
        <v>44148.168904396996</v>
      </c>
      <c r="Q227" s="93">
        <f t="shared" si="71"/>
        <v>59961.348124613367</v>
      </c>
      <c r="R227" s="93">
        <f t="shared" si="71"/>
        <v>63634.43059698461</v>
      </c>
      <c r="S227" s="93">
        <f t="shared" si="71"/>
        <v>43799.437605085361</v>
      </c>
      <c r="T227" s="93">
        <f t="shared" si="71"/>
        <v>40174.61468016218</v>
      </c>
      <c r="U227" s="93">
        <f t="shared" si="71"/>
        <v>37113.458451388324</v>
      </c>
      <c r="V227" s="93">
        <f t="shared" si="71"/>
        <v>32447.075003797454</v>
      </c>
      <c r="W227" s="93">
        <f t="shared" si="71"/>
        <v>40879.881482818171</v>
      </c>
      <c r="X227" s="93">
        <f t="shared" si="71"/>
        <v>32014.98224077807</v>
      </c>
      <c r="Y227" s="93">
        <f t="shared" si="71"/>
        <v>16529.636202042588</v>
      </c>
      <c r="Z227" s="93">
        <f t="shared" si="71"/>
        <v>14983.615942314686</v>
      </c>
      <c r="AA227" s="93">
        <f t="shared" si="71"/>
        <v>14884.630967571007</v>
      </c>
      <c r="AB227" s="93">
        <f t="shared" si="71"/>
        <v>15844.313399296207</v>
      </c>
      <c r="AC227" s="93">
        <f t="shared" si="71"/>
        <v>12004.040962770046</v>
      </c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  <c r="DS227" s="39"/>
      <c r="DT227" s="39"/>
      <c r="DU227" s="39"/>
      <c r="DV227" s="39"/>
      <c r="DW227" s="39"/>
      <c r="DX227" s="39"/>
      <c r="DY227" s="39"/>
      <c r="DZ227" s="39"/>
      <c r="EA227" s="39"/>
      <c r="EB227" s="39"/>
      <c r="EC227" s="39"/>
      <c r="ED227" s="39"/>
      <c r="EE227" s="39"/>
      <c r="EF227" s="39"/>
      <c r="EG227" s="39"/>
      <c r="EH227" s="39"/>
      <c r="EI227" s="39"/>
      <c r="EJ227" s="39"/>
      <c r="EK227" s="39"/>
      <c r="EL227" s="39"/>
      <c r="EM227" s="39"/>
      <c r="EN227" s="39"/>
      <c r="EO227" s="39"/>
      <c r="EP227" s="39"/>
      <c r="EQ227" s="39"/>
      <c r="ER227" s="39"/>
      <c r="ES227" s="39"/>
      <c r="ET227" s="39"/>
      <c r="EU227" s="39"/>
      <c r="EV227" s="39"/>
      <c r="EW227" s="39"/>
      <c r="EX227" s="39"/>
      <c r="EY227" s="39"/>
      <c r="EZ227" s="39"/>
      <c r="FA227" s="39"/>
      <c r="FB227" s="39"/>
      <c r="FC227" s="39"/>
      <c r="FD227" s="39"/>
      <c r="FE227" s="39"/>
      <c r="FF227" s="39"/>
      <c r="FG227" s="39"/>
      <c r="FH227" s="39"/>
      <c r="FI227" s="39"/>
      <c r="FJ227" s="39"/>
      <c r="FK227" s="39"/>
      <c r="FL227" s="39"/>
      <c r="FM227" s="39"/>
      <c r="FN227" s="39"/>
      <c r="FO227" s="39"/>
      <c r="FP227" s="39"/>
      <c r="FQ227" s="39"/>
      <c r="FR227" s="39"/>
      <c r="FS227" s="39"/>
      <c r="FT227" s="39"/>
      <c r="FU227" s="39"/>
      <c r="FV227" s="39"/>
      <c r="FW227" s="39"/>
      <c r="FX227" s="39"/>
      <c r="FY227" s="39"/>
      <c r="FZ227" s="39"/>
      <c r="GA227" s="39"/>
      <c r="GB227" s="39"/>
      <c r="GC227" s="39"/>
      <c r="GD227" s="39"/>
      <c r="GE227" s="39"/>
      <c r="GF227" s="39"/>
      <c r="GG227" s="39"/>
      <c r="GH227" s="39"/>
      <c r="GI227" s="39"/>
      <c r="GJ227" s="39"/>
      <c r="GK227" s="39"/>
      <c r="GL227" s="39"/>
      <c r="GM227" s="39"/>
      <c r="GN227" s="39"/>
      <c r="GO227" s="39"/>
      <c r="GP227" s="39"/>
      <c r="GQ227" s="39"/>
      <c r="GR227" s="39"/>
      <c r="GS227" s="39"/>
      <c r="GT227" s="39"/>
      <c r="GU227" s="39"/>
      <c r="GV227" s="39"/>
      <c r="GW227" s="39"/>
      <c r="GX227" s="39"/>
      <c r="GY227" s="39"/>
      <c r="GZ227" s="39"/>
      <c r="HA227" s="39"/>
      <c r="HB227" s="39"/>
      <c r="HC227" s="39"/>
      <c r="HD227" s="39"/>
      <c r="HE227" s="39"/>
      <c r="HF227" s="39"/>
      <c r="HG227" s="39"/>
      <c r="HH227" s="39"/>
      <c r="HI227" s="39"/>
      <c r="HJ227" s="39"/>
      <c r="HK227" s="39"/>
      <c r="HL227" s="39"/>
      <c r="HM227" s="39"/>
      <c r="HN227" s="39"/>
      <c r="HO227" s="39"/>
      <c r="HP227" s="39"/>
      <c r="HQ227" s="39"/>
      <c r="HR227" s="39"/>
      <c r="HS227" s="39"/>
      <c r="HT227" s="39"/>
      <c r="HU227" s="39"/>
      <c r="HV227" s="39"/>
      <c r="HW227" s="39"/>
      <c r="HX227" s="39"/>
      <c r="HY227" s="39"/>
      <c r="HZ227" s="39"/>
      <c r="IA227" s="39"/>
      <c r="IB227" s="39"/>
      <c r="IC227" s="39"/>
      <c r="ID227" s="39"/>
      <c r="IE227" s="39"/>
      <c r="IF227" s="39"/>
      <c r="IG227" s="39"/>
      <c r="IH227" s="39"/>
      <c r="II227" s="39"/>
      <c r="IJ227" s="39"/>
      <c r="IK227" s="39"/>
      <c r="IL227" s="39"/>
      <c r="IM227" s="39"/>
      <c r="IN227" s="39"/>
      <c r="IO227" s="39"/>
      <c r="IP227" s="39"/>
      <c r="IQ227" s="39"/>
      <c r="IR227" s="39"/>
      <c r="IS227" s="39"/>
      <c r="IT227" s="39"/>
      <c r="IU227" s="39"/>
      <c r="IV227" s="39"/>
    </row>
    <row r="228" spans="1:256" s="1" customFormat="1" x14ac:dyDescent="0.2">
      <c r="A228" s="5"/>
      <c r="B228" s="13"/>
      <c r="E228" s="5"/>
      <c r="F228" s="5"/>
      <c r="G228" s="5"/>
      <c r="H228" s="39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  <c r="DS228" s="39"/>
      <c r="DT228" s="39"/>
      <c r="DU228" s="39"/>
      <c r="DV228" s="39"/>
      <c r="DW228" s="39"/>
      <c r="DX228" s="39"/>
      <c r="DY228" s="39"/>
      <c r="DZ228" s="39"/>
      <c r="EA228" s="39"/>
      <c r="EB228" s="39"/>
      <c r="EC228" s="39"/>
      <c r="ED228" s="39"/>
      <c r="EE228" s="39"/>
      <c r="EF228" s="39"/>
      <c r="EG228" s="39"/>
      <c r="EH228" s="39"/>
      <c r="EI228" s="39"/>
      <c r="EJ228" s="39"/>
      <c r="EK228" s="39"/>
      <c r="EL228" s="39"/>
      <c r="EM228" s="39"/>
      <c r="EN228" s="39"/>
      <c r="EO228" s="39"/>
      <c r="EP228" s="39"/>
      <c r="EQ228" s="39"/>
      <c r="ER228" s="39"/>
      <c r="ES228" s="39"/>
      <c r="ET228" s="39"/>
      <c r="EU228" s="39"/>
      <c r="EV228" s="39"/>
      <c r="EW228" s="39"/>
      <c r="EX228" s="39"/>
      <c r="EY228" s="39"/>
      <c r="EZ228" s="39"/>
      <c r="FA228" s="39"/>
      <c r="FB228" s="39"/>
      <c r="FC228" s="39"/>
      <c r="FD228" s="39"/>
      <c r="FE228" s="39"/>
      <c r="FF228" s="39"/>
      <c r="FG228" s="39"/>
      <c r="FH228" s="39"/>
      <c r="FI228" s="39"/>
      <c r="FJ228" s="39"/>
      <c r="FK228" s="39"/>
      <c r="FL228" s="39"/>
      <c r="FM228" s="39"/>
      <c r="FN228" s="39"/>
      <c r="FO228" s="39"/>
      <c r="FP228" s="39"/>
      <c r="FQ228" s="39"/>
      <c r="FR228" s="39"/>
      <c r="FS228" s="39"/>
      <c r="FT228" s="39"/>
      <c r="FU228" s="39"/>
      <c r="FV228" s="39"/>
      <c r="FW228" s="39"/>
      <c r="FX228" s="39"/>
      <c r="FY228" s="39"/>
      <c r="FZ228" s="39"/>
      <c r="GA228" s="39"/>
      <c r="GB228" s="39"/>
      <c r="GC228" s="39"/>
      <c r="GD228" s="39"/>
      <c r="GE228" s="39"/>
      <c r="GF228" s="39"/>
      <c r="GG228" s="39"/>
      <c r="GH228" s="39"/>
      <c r="GI228" s="39"/>
      <c r="GJ228" s="39"/>
      <c r="GK228" s="39"/>
      <c r="GL228" s="39"/>
      <c r="GM228" s="39"/>
      <c r="GN228" s="39"/>
      <c r="GO228" s="39"/>
      <c r="GP228" s="39"/>
      <c r="GQ228" s="39"/>
      <c r="GR228" s="39"/>
      <c r="GS228" s="39"/>
      <c r="GT228" s="39"/>
      <c r="GU228" s="39"/>
      <c r="GV228" s="39"/>
      <c r="GW228" s="39"/>
      <c r="GX228" s="39"/>
      <c r="GY228" s="39"/>
      <c r="GZ228" s="39"/>
      <c r="HA228" s="39"/>
      <c r="HB228" s="39"/>
      <c r="HC228" s="39"/>
      <c r="HD228" s="39"/>
      <c r="HE228" s="39"/>
      <c r="HF228" s="39"/>
      <c r="HG228" s="39"/>
      <c r="HH228" s="39"/>
      <c r="HI228" s="39"/>
      <c r="HJ228" s="39"/>
      <c r="HK228" s="39"/>
      <c r="HL228" s="39"/>
      <c r="HM228" s="39"/>
      <c r="HN228" s="39"/>
      <c r="HO228" s="39"/>
      <c r="HP228" s="39"/>
      <c r="HQ228" s="39"/>
      <c r="HR228" s="39"/>
      <c r="HS228" s="39"/>
      <c r="HT228" s="39"/>
      <c r="HU228" s="39"/>
      <c r="HV228" s="39"/>
      <c r="HW228" s="39"/>
      <c r="HX228" s="39"/>
      <c r="HY228" s="39"/>
      <c r="HZ228" s="39"/>
      <c r="IA228" s="39"/>
      <c r="IB228" s="39"/>
      <c r="IC228" s="39"/>
      <c r="ID228" s="39"/>
      <c r="IE228" s="39"/>
      <c r="IF228" s="39"/>
      <c r="IG228" s="39"/>
      <c r="IH228" s="39"/>
      <c r="II228" s="39"/>
      <c r="IJ228" s="39"/>
      <c r="IK228" s="39"/>
      <c r="IL228" s="39"/>
      <c r="IM228" s="39"/>
      <c r="IN228" s="39"/>
      <c r="IO228" s="39"/>
      <c r="IP228" s="39"/>
      <c r="IQ228" s="39"/>
      <c r="IR228" s="39"/>
      <c r="IS228" s="39"/>
      <c r="IT228" s="39"/>
      <c r="IU228" s="39"/>
      <c r="IV228" s="39"/>
    </row>
    <row r="229" spans="1:256" s="1" customFormat="1" ht="13.5" thickBot="1" x14ac:dyDescent="0.25">
      <c r="A229" s="5"/>
      <c r="B229" s="13" t="s">
        <v>161</v>
      </c>
      <c r="C229" s="5"/>
      <c r="D229" s="5"/>
      <c r="E229" s="5"/>
      <c r="F229" s="352">
        <f>+$K$9</f>
        <v>0.5</v>
      </c>
      <c r="G229" s="353"/>
      <c r="H229" s="39" t="s">
        <v>31</v>
      </c>
      <c r="I229" s="208">
        <f t="shared" ref="I229:AC229" si="72">+I227*$F229</f>
        <v>19327.107339272086</v>
      </c>
      <c r="J229" s="208">
        <f t="shared" si="72"/>
        <v>15448.282617520817</v>
      </c>
      <c r="K229" s="208">
        <f t="shared" si="72"/>
        <v>21321.883061640354</v>
      </c>
      <c r="L229" s="208">
        <f t="shared" si="72"/>
        <v>24209.991879513553</v>
      </c>
      <c r="M229" s="208">
        <f t="shared" si="72"/>
        <v>22304.564847757494</v>
      </c>
      <c r="N229" s="208">
        <f t="shared" si="72"/>
        <v>21797.831539560375</v>
      </c>
      <c r="O229" s="208">
        <f t="shared" si="72"/>
        <v>19638.536048557646</v>
      </c>
      <c r="P229" s="208">
        <f t="shared" si="72"/>
        <v>22074.084452198498</v>
      </c>
      <c r="Q229" s="208">
        <f t="shared" si="72"/>
        <v>29980.674062306683</v>
      </c>
      <c r="R229" s="208">
        <f t="shared" si="72"/>
        <v>31817.215298492305</v>
      </c>
      <c r="S229" s="208">
        <f t="shared" si="72"/>
        <v>21899.71880254268</v>
      </c>
      <c r="T229" s="208">
        <f t="shared" si="72"/>
        <v>20087.30734008109</v>
      </c>
      <c r="U229" s="208">
        <f t="shared" si="72"/>
        <v>18556.729225694162</v>
      </c>
      <c r="V229" s="208">
        <f t="shared" si="72"/>
        <v>16223.537501898727</v>
      </c>
      <c r="W229" s="208">
        <f t="shared" si="72"/>
        <v>20439.940741409086</v>
      </c>
      <c r="X229" s="208">
        <f t="shared" si="72"/>
        <v>16007.491120389035</v>
      </c>
      <c r="Y229" s="208">
        <f t="shared" si="72"/>
        <v>8264.8181010212938</v>
      </c>
      <c r="Z229" s="208">
        <f t="shared" si="72"/>
        <v>7491.8079711573428</v>
      </c>
      <c r="AA229" s="208">
        <f t="shared" si="72"/>
        <v>7442.3154837855036</v>
      </c>
      <c r="AB229" s="208">
        <f t="shared" si="72"/>
        <v>7922.1566996481033</v>
      </c>
      <c r="AC229" s="208">
        <f t="shared" si="72"/>
        <v>6002.0204813850232</v>
      </c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  <c r="DS229" s="39"/>
      <c r="DT229" s="39"/>
      <c r="DU229" s="39"/>
      <c r="DV229" s="39"/>
      <c r="DW229" s="39"/>
      <c r="DX229" s="39"/>
      <c r="DY229" s="39"/>
      <c r="DZ229" s="39"/>
      <c r="EA229" s="39"/>
      <c r="EB229" s="39"/>
      <c r="EC229" s="39"/>
      <c r="ED229" s="39"/>
      <c r="EE229" s="39"/>
      <c r="EF229" s="39"/>
      <c r="EG229" s="39"/>
      <c r="EH229" s="39"/>
      <c r="EI229" s="39"/>
      <c r="EJ229" s="39"/>
      <c r="EK229" s="39"/>
      <c r="EL229" s="39"/>
      <c r="EM229" s="39"/>
      <c r="EN229" s="39"/>
      <c r="EO229" s="39"/>
      <c r="EP229" s="39"/>
      <c r="EQ229" s="39"/>
      <c r="ER229" s="39"/>
      <c r="ES229" s="39"/>
      <c r="ET229" s="39"/>
      <c r="EU229" s="39"/>
      <c r="EV229" s="39"/>
      <c r="EW229" s="39"/>
      <c r="EX229" s="39"/>
      <c r="EY229" s="39"/>
      <c r="EZ229" s="39"/>
      <c r="FA229" s="39"/>
      <c r="FB229" s="39"/>
      <c r="FC229" s="39"/>
      <c r="FD229" s="39"/>
      <c r="FE229" s="39"/>
      <c r="FF229" s="39"/>
      <c r="FG229" s="39"/>
      <c r="FH229" s="39"/>
      <c r="FI229" s="39"/>
      <c r="FJ229" s="39"/>
      <c r="FK229" s="39"/>
      <c r="FL229" s="39"/>
      <c r="FM229" s="39"/>
      <c r="FN229" s="39"/>
      <c r="FO229" s="39"/>
      <c r="FP229" s="39"/>
      <c r="FQ229" s="39"/>
      <c r="FR229" s="39"/>
      <c r="FS229" s="39"/>
      <c r="FT229" s="39"/>
      <c r="FU229" s="39"/>
      <c r="FV229" s="39"/>
      <c r="FW229" s="39"/>
      <c r="FX229" s="39"/>
      <c r="FY229" s="39"/>
      <c r="FZ229" s="39"/>
      <c r="GA229" s="39"/>
      <c r="GB229" s="39"/>
      <c r="GC229" s="39"/>
      <c r="GD229" s="39"/>
      <c r="GE229" s="39"/>
      <c r="GF229" s="39"/>
      <c r="GG229" s="39"/>
      <c r="GH229" s="39"/>
      <c r="GI229" s="39"/>
      <c r="GJ229" s="39"/>
      <c r="GK229" s="39"/>
      <c r="GL229" s="39"/>
      <c r="GM229" s="39"/>
      <c r="GN229" s="39"/>
      <c r="GO229" s="39"/>
      <c r="GP229" s="39"/>
      <c r="GQ229" s="39"/>
      <c r="GR229" s="39"/>
      <c r="GS229" s="39"/>
      <c r="GT229" s="39"/>
      <c r="GU229" s="39"/>
      <c r="GV229" s="39"/>
      <c r="GW229" s="39"/>
      <c r="GX229" s="39"/>
      <c r="GY229" s="39"/>
      <c r="GZ229" s="39"/>
      <c r="HA229" s="39"/>
      <c r="HB229" s="39"/>
      <c r="HC229" s="39"/>
      <c r="HD229" s="39"/>
      <c r="HE229" s="39"/>
      <c r="HF229" s="39"/>
      <c r="HG229" s="39"/>
      <c r="HH229" s="39"/>
      <c r="HI229" s="39"/>
      <c r="HJ229" s="39"/>
      <c r="HK229" s="39"/>
      <c r="HL229" s="39"/>
      <c r="HM229" s="39"/>
      <c r="HN229" s="39"/>
      <c r="HO229" s="39"/>
      <c r="HP229" s="39"/>
      <c r="HQ229" s="39"/>
      <c r="HR229" s="39"/>
      <c r="HS229" s="39"/>
      <c r="HT229" s="39"/>
      <c r="HU229" s="39"/>
      <c r="HV229" s="39"/>
      <c r="HW229" s="39"/>
      <c r="HX229" s="39"/>
      <c r="HY229" s="39"/>
      <c r="HZ229" s="39"/>
      <c r="IA229" s="39"/>
      <c r="IB229" s="39"/>
      <c r="IC229" s="39"/>
      <c r="ID229" s="39"/>
      <c r="IE229" s="39"/>
      <c r="IF229" s="39"/>
      <c r="IG229" s="39"/>
      <c r="IH229" s="39"/>
      <c r="II229" s="39"/>
      <c r="IJ229" s="39"/>
      <c r="IK229" s="39"/>
      <c r="IL229" s="39"/>
      <c r="IM229" s="39"/>
      <c r="IN229" s="39"/>
      <c r="IO229" s="39"/>
      <c r="IP229" s="39"/>
      <c r="IQ229" s="39"/>
      <c r="IR229" s="39"/>
      <c r="IS229" s="39"/>
      <c r="IT229" s="39"/>
      <c r="IU229" s="39"/>
      <c r="IV229" s="39"/>
    </row>
    <row r="230" spans="1:256" s="1" customFormat="1" ht="13.5" thickTop="1" x14ac:dyDescent="0.2">
      <c r="A230" s="5"/>
      <c r="B230" s="13"/>
      <c r="C230" s="5"/>
      <c r="D230" s="5"/>
      <c r="E230" s="5"/>
      <c r="F230" s="293"/>
      <c r="G230" s="293"/>
      <c r="H230" s="3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  <c r="DS230" s="39"/>
      <c r="DT230" s="39"/>
      <c r="DU230" s="39"/>
      <c r="DV230" s="39"/>
      <c r="DW230" s="39"/>
      <c r="DX230" s="39"/>
      <c r="DY230" s="39"/>
      <c r="DZ230" s="39"/>
      <c r="EA230" s="39"/>
      <c r="EB230" s="39"/>
      <c r="EC230" s="39"/>
      <c r="ED230" s="39"/>
      <c r="EE230" s="39"/>
      <c r="EF230" s="39"/>
      <c r="EG230" s="39"/>
      <c r="EH230" s="39"/>
      <c r="EI230" s="39"/>
      <c r="EJ230" s="39"/>
      <c r="EK230" s="39"/>
      <c r="EL230" s="39"/>
      <c r="EM230" s="39"/>
      <c r="EN230" s="39"/>
      <c r="EO230" s="39"/>
      <c r="EP230" s="39"/>
      <c r="EQ230" s="39"/>
      <c r="ER230" s="39"/>
      <c r="ES230" s="39"/>
      <c r="ET230" s="39"/>
      <c r="EU230" s="39"/>
      <c r="EV230" s="39"/>
      <c r="EW230" s="39"/>
      <c r="EX230" s="39"/>
      <c r="EY230" s="39"/>
      <c r="EZ230" s="39"/>
      <c r="FA230" s="39"/>
      <c r="FB230" s="39"/>
      <c r="FC230" s="39"/>
      <c r="FD230" s="39"/>
      <c r="FE230" s="39"/>
      <c r="FF230" s="39"/>
      <c r="FG230" s="39"/>
      <c r="FH230" s="39"/>
      <c r="FI230" s="39"/>
      <c r="FJ230" s="39"/>
      <c r="FK230" s="39"/>
      <c r="FL230" s="39"/>
      <c r="FM230" s="39"/>
      <c r="FN230" s="39"/>
      <c r="FO230" s="39"/>
      <c r="FP230" s="39"/>
      <c r="FQ230" s="39"/>
      <c r="FR230" s="39"/>
      <c r="FS230" s="39"/>
      <c r="FT230" s="39"/>
      <c r="FU230" s="39"/>
      <c r="FV230" s="39"/>
      <c r="FW230" s="39"/>
      <c r="FX230" s="39"/>
      <c r="FY230" s="39"/>
      <c r="FZ230" s="39"/>
      <c r="GA230" s="39"/>
      <c r="GB230" s="39"/>
      <c r="GC230" s="39"/>
      <c r="GD230" s="39"/>
      <c r="GE230" s="39"/>
      <c r="GF230" s="39"/>
      <c r="GG230" s="39"/>
      <c r="GH230" s="39"/>
      <c r="GI230" s="39"/>
      <c r="GJ230" s="39"/>
      <c r="GK230" s="39"/>
      <c r="GL230" s="39"/>
      <c r="GM230" s="39"/>
      <c r="GN230" s="39"/>
      <c r="GO230" s="39"/>
      <c r="GP230" s="39"/>
      <c r="GQ230" s="39"/>
      <c r="GR230" s="39"/>
      <c r="GS230" s="39"/>
      <c r="GT230" s="39"/>
      <c r="GU230" s="39"/>
      <c r="GV230" s="39"/>
      <c r="GW230" s="39"/>
      <c r="GX230" s="39"/>
      <c r="GY230" s="39"/>
      <c r="GZ230" s="39"/>
      <c r="HA230" s="39"/>
      <c r="HB230" s="39"/>
      <c r="HC230" s="39"/>
      <c r="HD230" s="39"/>
      <c r="HE230" s="39"/>
      <c r="HF230" s="39"/>
      <c r="HG230" s="39"/>
      <c r="HH230" s="39"/>
      <c r="HI230" s="39"/>
      <c r="HJ230" s="39"/>
      <c r="HK230" s="39"/>
      <c r="HL230" s="39"/>
      <c r="HM230" s="39"/>
      <c r="HN230" s="39"/>
      <c r="HO230" s="39"/>
      <c r="HP230" s="39"/>
      <c r="HQ230" s="39"/>
      <c r="HR230" s="39"/>
      <c r="HS230" s="39"/>
      <c r="HT230" s="39"/>
      <c r="HU230" s="39"/>
      <c r="HV230" s="39"/>
      <c r="HW230" s="39"/>
      <c r="HX230" s="39"/>
      <c r="HY230" s="39"/>
      <c r="HZ230" s="39"/>
      <c r="IA230" s="39"/>
      <c r="IB230" s="39"/>
      <c r="IC230" s="39"/>
      <c r="ID230" s="39"/>
      <c r="IE230" s="39"/>
      <c r="IF230" s="39"/>
      <c r="IG230" s="39"/>
      <c r="IH230" s="39"/>
      <c r="II230" s="39"/>
      <c r="IJ230" s="39"/>
      <c r="IK230" s="39"/>
      <c r="IL230" s="39"/>
      <c r="IM230" s="39"/>
      <c r="IN230" s="39"/>
      <c r="IO230" s="39"/>
      <c r="IP230" s="39"/>
      <c r="IQ230" s="39"/>
      <c r="IR230" s="39"/>
      <c r="IS230" s="39"/>
      <c r="IT230" s="39"/>
      <c r="IU230" s="39"/>
      <c r="IV230" s="39"/>
    </row>
    <row r="231" spans="1:256" s="1" customFormat="1" x14ac:dyDescent="0.2">
      <c r="A231" s="5"/>
      <c r="B231" s="5"/>
      <c r="C231" s="5"/>
      <c r="D231" s="5"/>
      <c r="E231" s="5"/>
      <c r="F231" s="5"/>
      <c r="G231" s="5"/>
      <c r="H231" s="149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10"/>
      <c r="U231" s="10"/>
      <c r="V231" s="10"/>
      <c r="W231" s="10"/>
      <c r="X231" s="10"/>
      <c r="Y231" s="10"/>
      <c r="Z231" s="10"/>
      <c r="AA231" s="10"/>
      <c r="AB231" s="10"/>
      <c r="AC231" s="21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  <c r="DS231" s="39"/>
      <c r="DT231" s="39"/>
      <c r="DU231" s="39"/>
      <c r="DV231" s="39"/>
      <c r="DW231" s="39"/>
      <c r="DX231" s="39"/>
      <c r="DY231" s="39"/>
      <c r="DZ231" s="39"/>
      <c r="EA231" s="39"/>
      <c r="EB231" s="39"/>
      <c r="EC231" s="39"/>
      <c r="ED231" s="39"/>
      <c r="EE231" s="39"/>
      <c r="EF231" s="39"/>
      <c r="EG231" s="39"/>
      <c r="EH231" s="39"/>
      <c r="EI231" s="39"/>
      <c r="EJ231" s="39"/>
      <c r="EK231" s="39"/>
      <c r="EL231" s="39"/>
      <c r="EM231" s="39"/>
      <c r="EN231" s="39"/>
      <c r="EO231" s="39"/>
      <c r="EP231" s="39"/>
      <c r="EQ231" s="39"/>
      <c r="ER231" s="39"/>
      <c r="ES231" s="39"/>
      <c r="ET231" s="39"/>
      <c r="EU231" s="39"/>
      <c r="EV231" s="39"/>
      <c r="EW231" s="39"/>
      <c r="EX231" s="39"/>
      <c r="EY231" s="39"/>
      <c r="EZ231" s="39"/>
      <c r="FA231" s="39"/>
      <c r="FB231" s="39"/>
      <c r="FC231" s="39"/>
      <c r="FD231" s="39"/>
      <c r="FE231" s="39"/>
      <c r="FF231" s="39"/>
      <c r="FG231" s="39"/>
      <c r="FH231" s="39"/>
      <c r="FI231" s="39"/>
      <c r="FJ231" s="39"/>
      <c r="FK231" s="39"/>
      <c r="FL231" s="39"/>
      <c r="FM231" s="39"/>
      <c r="FN231" s="39"/>
      <c r="FO231" s="39"/>
      <c r="FP231" s="39"/>
      <c r="FQ231" s="39"/>
      <c r="FR231" s="39"/>
      <c r="FS231" s="39"/>
      <c r="FT231" s="39"/>
      <c r="FU231" s="39"/>
      <c r="FV231" s="39"/>
      <c r="FW231" s="39"/>
      <c r="FX231" s="39"/>
      <c r="FY231" s="39"/>
      <c r="FZ231" s="39"/>
      <c r="GA231" s="39"/>
      <c r="GB231" s="39"/>
      <c r="GC231" s="39"/>
      <c r="GD231" s="39"/>
      <c r="GE231" s="39"/>
      <c r="GF231" s="39"/>
      <c r="GG231" s="39"/>
      <c r="GH231" s="39"/>
      <c r="GI231" s="39"/>
      <c r="GJ231" s="39"/>
      <c r="GK231" s="39"/>
      <c r="GL231" s="39"/>
      <c r="GM231" s="39"/>
      <c r="GN231" s="39"/>
      <c r="GO231" s="39"/>
      <c r="GP231" s="39"/>
      <c r="GQ231" s="39"/>
      <c r="GR231" s="39"/>
      <c r="GS231" s="39"/>
      <c r="GT231" s="39"/>
      <c r="GU231" s="39"/>
      <c r="GV231" s="39"/>
      <c r="GW231" s="39"/>
      <c r="GX231" s="39"/>
      <c r="GY231" s="39"/>
      <c r="GZ231" s="39"/>
      <c r="HA231" s="39"/>
      <c r="HB231" s="39"/>
      <c r="HC231" s="39"/>
      <c r="HD231" s="39"/>
      <c r="HE231" s="39"/>
      <c r="HF231" s="39"/>
      <c r="HG231" s="39"/>
      <c r="HH231" s="39"/>
      <c r="HI231" s="39"/>
      <c r="HJ231" s="39"/>
      <c r="HK231" s="39"/>
      <c r="HL231" s="39"/>
      <c r="HM231" s="39"/>
      <c r="HN231" s="39"/>
      <c r="HO231" s="39"/>
      <c r="HP231" s="39"/>
      <c r="HQ231" s="39"/>
      <c r="HR231" s="39"/>
      <c r="HS231" s="39"/>
      <c r="HT231" s="39"/>
      <c r="HU231" s="39"/>
      <c r="HV231" s="39"/>
      <c r="HW231" s="39"/>
      <c r="HX231" s="39"/>
      <c r="HY231" s="39"/>
      <c r="HZ231" s="39"/>
      <c r="IA231" s="39"/>
      <c r="IB231" s="39"/>
      <c r="IC231" s="39"/>
      <c r="ID231" s="39"/>
      <c r="IE231" s="39"/>
      <c r="IF231" s="39"/>
      <c r="IG231" s="39"/>
      <c r="IH231" s="39"/>
      <c r="II231" s="39"/>
      <c r="IJ231" s="39"/>
      <c r="IK231" s="39"/>
      <c r="IL231" s="39"/>
      <c r="IM231" s="39"/>
      <c r="IN231" s="39"/>
      <c r="IO231" s="39"/>
      <c r="IP231" s="39"/>
      <c r="IQ231" s="39"/>
      <c r="IR231" s="39"/>
      <c r="IS231" s="39"/>
      <c r="IT231" s="39"/>
      <c r="IU231" s="39"/>
      <c r="IV231" s="39"/>
    </row>
    <row r="232" spans="1:256" s="1" customFormat="1" x14ac:dyDescent="0.2">
      <c r="A232" s="5"/>
      <c r="B232" s="13" t="s">
        <v>171</v>
      </c>
      <c r="C232" s="5"/>
      <c r="D232" s="5"/>
      <c r="E232" s="5"/>
      <c r="I232" s="185">
        <f>+$I$5-365</f>
        <v>36891</v>
      </c>
      <c r="J232" s="179" t="s">
        <v>83</v>
      </c>
      <c r="K232" s="112" t="s">
        <v>156</v>
      </c>
      <c r="L232" s="181" t="s">
        <v>136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21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  <c r="DS232" s="39"/>
      <c r="DT232" s="39"/>
      <c r="DU232" s="39"/>
      <c r="DV232" s="39"/>
      <c r="DW232" s="39"/>
      <c r="DX232" s="39"/>
      <c r="DY232" s="39"/>
      <c r="DZ232" s="39"/>
      <c r="EA232" s="39"/>
      <c r="EB232" s="39"/>
      <c r="EC232" s="39"/>
      <c r="ED232" s="39"/>
      <c r="EE232" s="39"/>
      <c r="EF232" s="39"/>
      <c r="EG232" s="39"/>
      <c r="EH232" s="39"/>
      <c r="EI232" s="39"/>
      <c r="EJ232" s="39"/>
      <c r="EK232" s="39"/>
      <c r="EL232" s="39"/>
      <c r="EM232" s="39"/>
      <c r="EN232" s="39"/>
      <c r="EO232" s="39"/>
      <c r="EP232" s="39"/>
      <c r="EQ232" s="39"/>
      <c r="ER232" s="39"/>
      <c r="ES232" s="39"/>
      <c r="ET232" s="39"/>
      <c r="EU232" s="39"/>
      <c r="EV232" s="39"/>
      <c r="EW232" s="39"/>
      <c r="EX232" s="39"/>
      <c r="EY232" s="39"/>
      <c r="EZ232" s="39"/>
      <c r="FA232" s="39"/>
      <c r="FB232" s="39"/>
      <c r="FC232" s="39"/>
      <c r="FD232" s="39"/>
      <c r="FE232" s="39"/>
      <c r="FF232" s="39"/>
      <c r="FG232" s="39"/>
      <c r="FH232" s="39"/>
      <c r="FI232" s="39"/>
      <c r="FJ232" s="39"/>
      <c r="FK232" s="39"/>
      <c r="FL232" s="39"/>
      <c r="FM232" s="39"/>
      <c r="FN232" s="39"/>
      <c r="FO232" s="39"/>
      <c r="FP232" s="39"/>
      <c r="FQ232" s="39"/>
      <c r="FR232" s="39"/>
      <c r="FS232" s="39"/>
      <c r="FT232" s="39"/>
      <c r="FU232" s="39"/>
      <c r="FV232" s="39"/>
      <c r="FW232" s="39"/>
      <c r="FX232" s="39"/>
      <c r="FY232" s="39"/>
      <c r="FZ232" s="39"/>
      <c r="GA232" s="39"/>
      <c r="GB232" s="39"/>
      <c r="GC232" s="39"/>
      <c r="GD232" s="39"/>
      <c r="GE232" s="39"/>
      <c r="GF232" s="39"/>
      <c r="GG232" s="39"/>
      <c r="GH232" s="39"/>
      <c r="GI232" s="39"/>
      <c r="GJ232" s="39"/>
      <c r="GK232" s="39"/>
      <c r="GL232" s="39"/>
      <c r="GM232" s="39"/>
      <c r="GN232" s="39"/>
      <c r="GO232" s="39"/>
      <c r="GP232" s="39"/>
      <c r="GQ232" s="39"/>
      <c r="GR232" s="39"/>
      <c r="GS232" s="39"/>
      <c r="GT232" s="39"/>
      <c r="GU232" s="39"/>
      <c r="GV232" s="39"/>
      <c r="GW232" s="39"/>
      <c r="GX232" s="39"/>
      <c r="GY232" s="39"/>
      <c r="GZ232" s="39"/>
      <c r="HA232" s="39"/>
      <c r="HB232" s="39"/>
      <c r="HC232" s="39"/>
      <c r="HD232" s="39"/>
      <c r="HE232" s="39"/>
      <c r="HF232" s="39"/>
      <c r="HG232" s="39"/>
      <c r="HH232" s="39"/>
      <c r="HI232" s="39"/>
      <c r="HJ232" s="39"/>
      <c r="HK232" s="39"/>
      <c r="HL232" s="39"/>
      <c r="HM232" s="39"/>
      <c r="HN232" s="39"/>
      <c r="HO232" s="39"/>
      <c r="HP232" s="39"/>
      <c r="HQ232" s="39"/>
      <c r="HR232" s="39"/>
      <c r="HS232" s="39"/>
      <c r="HT232" s="39"/>
      <c r="HU232" s="39"/>
      <c r="HV232" s="39"/>
      <c r="HW232" s="39"/>
      <c r="HX232" s="39"/>
      <c r="HY232" s="39"/>
      <c r="HZ232" s="39"/>
      <c r="IA232" s="39"/>
      <c r="IB232" s="39"/>
      <c r="IC232" s="39"/>
      <c r="ID232" s="39"/>
      <c r="IE232" s="39"/>
      <c r="IF232" s="39"/>
      <c r="IG232" s="39"/>
      <c r="IH232" s="39"/>
      <c r="II232" s="39"/>
      <c r="IJ232" s="39"/>
      <c r="IK232" s="39"/>
      <c r="IL232" s="39"/>
      <c r="IM232" s="39"/>
      <c r="IN232" s="39"/>
      <c r="IO232" s="39"/>
      <c r="IP232" s="39"/>
      <c r="IQ232" s="39"/>
      <c r="IR232" s="39"/>
      <c r="IS232" s="39"/>
      <c r="IT232" s="39"/>
      <c r="IU232" s="39"/>
      <c r="IV232" s="39"/>
    </row>
    <row r="233" spans="1:256" s="1" customFormat="1" x14ac:dyDescent="0.2">
      <c r="A233" s="5"/>
      <c r="C233" s="5"/>
      <c r="D233" s="5"/>
      <c r="E233" s="5"/>
      <c r="I233" s="112">
        <v>0.12</v>
      </c>
      <c r="J233" s="153">
        <f>NPV(I233,I$229:AC$229)</f>
        <v>152476.40123805089</v>
      </c>
      <c r="K233" s="183">
        <f>+$N$315*$F$229</f>
        <v>319440</v>
      </c>
      <c r="L233" s="180">
        <f>+J233+K233</f>
        <v>471916.40123805089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21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  <c r="DS233" s="39"/>
      <c r="DT233" s="39"/>
      <c r="DU233" s="39"/>
      <c r="DV233" s="39"/>
      <c r="DW233" s="39"/>
      <c r="DX233" s="39"/>
      <c r="DY233" s="39"/>
      <c r="DZ233" s="39"/>
      <c r="EA233" s="39"/>
      <c r="EB233" s="39"/>
      <c r="EC233" s="39"/>
      <c r="ED233" s="39"/>
      <c r="EE233" s="39"/>
      <c r="EF233" s="39"/>
      <c r="EG233" s="39"/>
      <c r="EH233" s="39"/>
      <c r="EI233" s="39"/>
      <c r="EJ233" s="39"/>
      <c r="EK233" s="39"/>
      <c r="EL233" s="39"/>
      <c r="EM233" s="39"/>
      <c r="EN233" s="39"/>
      <c r="EO233" s="39"/>
      <c r="EP233" s="39"/>
      <c r="EQ233" s="39"/>
      <c r="ER233" s="39"/>
      <c r="ES233" s="39"/>
      <c r="ET233" s="39"/>
      <c r="EU233" s="39"/>
      <c r="EV233" s="39"/>
      <c r="EW233" s="39"/>
      <c r="EX233" s="39"/>
      <c r="EY233" s="39"/>
      <c r="EZ233" s="39"/>
      <c r="FA233" s="39"/>
      <c r="FB233" s="39"/>
      <c r="FC233" s="39"/>
      <c r="FD233" s="39"/>
      <c r="FE233" s="39"/>
      <c r="FF233" s="39"/>
      <c r="FG233" s="39"/>
      <c r="FH233" s="39"/>
      <c r="FI233" s="39"/>
      <c r="FJ233" s="39"/>
      <c r="FK233" s="39"/>
      <c r="FL233" s="39"/>
      <c r="FM233" s="39"/>
      <c r="FN233" s="39"/>
      <c r="FO233" s="39"/>
      <c r="FP233" s="39"/>
      <c r="FQ233" s="39"/>
      <c r="FR233" s="39"/>
      <c r="FS233" s="39"/>
      <c r="FT233" s="39"/>
      <c r="FU233" s="39"/>
      <c r="FV233" s="39"/>
      <c r="FW233" s="39"/>
      <c r="FX233" s="39"/>
      <c r="FY233" s="39"/>
      <c r="FZ233" s="39"/>
      <c r="GA233" s="39"/>
      <c r="GB233" s="39"/>
      <c r="GC233" s="39"/>
      <c r="GD233" s="39"/>
      <c r="GE233" s="39"/>
      <c r="GF233" s="39"/>
      <c r="GG233" s="39"/>
      <c r="GH233" s="39"/>
      <c r="GI233" s="39"/>
      <c r="GJ233" s="39"/>
      <c r="GK233" s="39"/>
      <c r="GL233" s="39"/>
      <c r="GM233" s="39"/>
      <c r="GN233" s="39"/>
      <c r="GO233" s="39"/>
      <c r="GP233" s="39"/>
      <c r="GQ233" s="39"/>
      <c r="GR233" s="39"/>
      <c r="GS233" s="39"/>
      <c r="GT233" s="39"/>
      <c r="GU233" s="39"/>
      <c r="GV233" s="39"/>
      <c r="GW233" s="39"/>
      <c r="GX233" s="39"/>
      <c r="GY233" s="39"/>
      <c r="GZ233" s="39"/>
      <c r="HA233" s="39"/>
      <c r="HB233" s="39"/>
      <c r="HC233" s="39"/>
      <c r="HD233" s="39"/>
      <c r="HE233" s="39"/>
      <c r="HF233" s="39"/>
      <c r="HG233" s="39"/>
      <c r="HH233" s="39"/>
      <c r="HI233" s="39"/>
      <c r="HJ233" s="39"/>
      <c r="HK233" s="39"/>
      <c r="HL233" s="39"/>
      <c r="HM233" s="39"/>
      <c r="HN233" s="39"/>
      <c r="HO233" s="39"/>
      <c r="HP233" s="39"/>
      <c r="HQ233" s="39"/>
      <c r="HR233" s="39"/>
      <c r="HS233" s="39"/>
      <c r="HT233" s="39"/>
      <c r="HU233" s="39"/>
      <c r="HV233" s="39"/>
      <c r="HW233" s="39"/>
      <c r="HX233" s="39"/>
      <c r="HY233" s="39"/>
      <c r="HZ233" s="39"/>
      <c r="IA233" s="39"/>
      <c r="IB233" s="39"/>
      <c r="IC233" s="39"/>
      <c r="ID233" s="39"/>
      <c r="IE233" s="39"/>
      <c r="IF233" s="39"/>
      <c r="IG233" s="39"/>
      <c r="IH233" s="39"/>
      <c r="II233" s="39"/>
      <c r="IJ233" s="39"/>
      <c r="IK233" s="39"/>
      <c r="IL233" s="39"/>
      <c r="IM233" s="39"/>
      <c r="IN233" s="39"/>
      <c r="IO233" s="39"/>
      <c r="IP233" s="39"/>
      <c r="IQ233" s="39"/>
      <c r="IR233" s="39"/>
      <c r="IS233" s="39"/>
      <c r="IT233" s="39"/>
      <c r="IU233" s="39"/>
      <c r="IV233" s="39"/>
    </row>
    <row r="234" spans="1:256" s="1" customFormat="1" x14ac:dyDescent="0.2">
      <c r="A234" s="5"/>
      <c r="B234" s="13"/>
      <c r="C234" s="5"/>
      <c r="D234" s="5"/>
      <c r="I234" s="112">
        <f>+I233-0.01</f>
        <v>0.11</v>
      </c>
      <c r="J234" s="153">
        <f>NPV(I234,I$229:AC$229)</f>
        <v>162085.77008355682</v>
      </c>
      <c r="K234" s="183">
        <f>+$N$315*$F$229</f>
        <v>319440</v>
      </c>
      <c r="L234" s="180">
        <f>+J234+K234</f>
        <v>481525.77008355682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21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  <c r="DS234" s="39"/>
      <c r="DT234" s="39"/>
      <c r="DU234" s="39"/>
      <c r="DV234" s="39"/>
      <c r="DW234" s="39"/>
      <c r="DX234" s="39"/>
      <c r="DY234" s="39"/>
      <c r="DZ234" s="39"/>
      <c r="EA234" s="39"/>
      <c r="EB234" s="39"/>
      <c r="EC234" s="39"/>
      <c r="ED234" s="39"/>
      <c r="EE234" s="39"/>
      <c r="EF234" s="39"/>
      <c r="EG234" s="39"/>
      <c r="EH234" s="39"/>
      <c r="EI234" s="39"/>
      <c r="EJ234" s="39"/>
      <c r="EK234" s="39"/>
      <c r="EL234" s="39"/>
      <c r="EM234" s="39"/>
      <c r="EN234" s="39"/>
      <c r="EO234" s="39"/>
      <c r="EP234" s="39"/>
      <c r="EQ234" s="39"/>
      <c r="ER234" s="39"/>
      <c r="ES234" s="39"/>
      <c r="ET234" s="39"/>
      <c r="EU234" s="39"/>
      <c r="EV234" s="39"/>
      <c r="EW234" s="39"/>
      <c r="EX234" s="39"/>
      <c r="EY234" s="39"/>
      <c r="EZ234" s="39"/>
      <c r="FA234" s="39"/>
      <c r="FB234" s="39"/>
      <c r="FC234" s="39"/>
      <c r="FD234" s="39"/>
      <c r="FE234" s="39"/>
      <c r="FF234" s="39"/>
      <c r="FG234" s="39"/>
      <c r="FH234" s="39"/>
      <c r="FI234" s="39"/>
      <c r="FJ234" s="39"/>
      <c r="FK234" s="39"/>
      <c r="FL234" s="39"/>
      <c r="FM234" s="39"/>
      <c r="FN234" s="39"/>
      <c r="FO234" s="39"/>
      <c r="FP234" s="39"/>
      <c r="FQ234" s="39"/>
      <c r="FR234" s="39"/>
      <c r="FS234" s="39"/>
      <c r="FT234" s="39"/>
      <c r="FU234" s="39"/>
      <c r="FV234" s="39"/>
      <c r="FW234" s="39"/>
      <c r="FX234" s="39"/>
      <c r="FY234" s="39"/>
      <c r="FZ234" s="39"/>
      <c r="GA234" s="39"/>
      <c r="GB234" s="39"/>
      <c r="GC234" s="39"/>
      <c r="GD234" s="39"/>
      <c r="GE234" s="39"/>
      <c r="GF234" s="39"/>
      <c r="GG234" s="39"/>
      <c r="GH234" s="39"/>
      <c r="GI234" s="39"/>
      <c r="GJ234" s="39"/>
      <c r="GK234" s="39"/>
      <c r="GL234" s="39"/>
      <c r="GM234" s="39"/>
      <c r="GN234" s="39"/>
      <c r="GO234" s="39"/>
      <c r="GP234" s="39"/>
      <c r="GQ234" s="39"/>
      <c r="GR234" s="39"/>
      <c r="GS234" s="39"/>
      <c r="GT234" s="39"/>
      <c r="GU234" s="39"/>
      <c r="GV234" s="39"/>
      <c r="GW234" s="39"/>
      <c r="GX234" s="39"/>
      <c r="GY234" s="39"/>
      <c r="GZ234" s="39"/>
      <c r="HA234" s="39"/>
      <c r="HB234" s="39"/>
      <c r="HC234" s="39"/>
      <c r="HD234" s="39"/>
      <c r="HE234" s="39"/>
      <c r="HF234" s="39"/>
      <c r="HG234" s="39"/>
      <c r="HH234" s="39"/>
      <c r="HI234" s="39"/>
      <c r="HJ234" s="39"/>
      <c r="HK234" s="39"/>
      <c r="HL234" s="39"/>
      <c r="HM234" s="39"/>
      <c r="HN234" s="39"/>
      <c r="HO234" s="39"/>
      <c r="HP234" s="39"/>
      <c r="HQ234" s="39"/>
      <c r="HR234" s="39"/>
      <c r="HS234" s="39"/>
      <c r="HT234" s="39"/>
      <c r="HU234" s="39"/>
      <c r="HV234" s="39"/>
      <c r="HW234" s="39"/>
      <c r="HX234" s="39"/>
      <c r="HY234" s="39"/>
      <c r="HZ234" s="39"/>
      <c r="IA234" s="39"/>
      <c r="IB234" s="39"/>
      <c r="IC234" s="39"/>
      <c r="ID234" s="39"/>
      <c r="IE234" s="39"/>
      <c r="IF234" s="39"/>
      <c r="IG234" s="39"/>
      <c r="IH234" s="39"/>
      <c r="II234" s="39"/>
      <c r="IJ234" s="39"/>
      <c r="IK234" s="39"/>
      <c r="IL234" s="39"/>
      <c r="IM234" s="39"/>
      <c r="IN234" s="39"/>
      <c r="IO234" s="39"/>
      <c r="IP234" s="39"/>
      <c r="IQ234" s="39"/>
      <c r="IR234" s="39"/>
      <c r="IS234" s="39"/>
      <c r="IT234" s="39"/>
      <c r="IU234" s="39"/>
      <c r="IV234" s="39"/>
    </row>
    <row r="235" spans="1:256" s="1" customFormat="1" x14ac:dyDescent="0.2">
      <c r="A235" s="5"/>
      <c r="B235" s="13"/>
      <c r="C235" s="5"/>
      <c r="D235" s="5"/>
      <c r="I235" s="112">
        <f>+I234-0.01</f>
        <v>0.1</v>
      </c>
      <c r="J235" s="153">
        <f>NPV(I235,I$229:AC$229)</f>
        <v>172691.72825326069</v>
      </c>
      <c r="K235" s="183">
        <f>+$N$315*$F$229</f>
        <v>319440</v>
      </c>
      <c r="L235" s="180">
        <f>+J235+K235</f>
        <v>492131.72825326072</v>
      </c>
      <c r="M235" s="10"/>
      <c r="N235" s="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21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  <c r="DS235" s="39"/>
      <c r="DT235" s="39"/>
      <c r="DU235" s="39"/>
      <c r="DV235" s="39"/>
      <c r="DW235" s="39"/>
      <c r="DX235" s="39"/>
      <c r="DY235" s="39"/>
      <c r="DZ235" s="39"/>
      <c r="EA235" s="39"/>
      <c r="EB235" s="39"/>
      <c r="EC235" s="39"/>
      <c r="ED235" s="39"/>
      <c r="EE235" s="39"/>
      <c r="EF235" s="39"/>
      <c r="EG235" s="39"/>
      <c r="EH235" s="39"/>
      <c r="EI235" s="39"/>
      <c r="EJ235" s="39"/>
      <c r="EK235" s="39"/>
      <c r="EL235" s="39"/>
      <c r="EM235" s="39"/>
      <c r="EN235" s="39"/>
      <c r="EO235" s="39"/>
      <c r="EP235" s="39"/>
      <c r="EQ235" s="39"/>
      <c r="ER235" s="39"/>
      <c r="ES235" s="39"/>
      <c r="ET235" s="39"/>
      <c r="EU235" s="39"/>
      <c r="EV235" s="39"/>
      <c r="EW235" s="39"/>
      <c r="EX235" s="39"/>
      <c r="EY235" s="39"/>
      <c r="EZ235" s="39"/>
      <c r="FA235" s="39"/>
      <c r="FB235" s="39"/>
      <c r="FC235" s="39"/>
      <c r="FD235" s="39"/>
      <c r="FE235" s="39"/>
      <c r="FF235" s="39"/>
      <c r="FG235" s="39"/>
      <c r="FH235" s="39"/>
      <c r="FI235" s="39"/>
      <c r="FJ235" s="39"/>
      <c r="FK235" s="39"/>
      <c r="FL235" s="39"/>
      <c r="FM235" s="39"/>
      <c r="FN235" s="39"/>
      <c r="FO235" s="39"/>
      <c r="FP235" s="39"/>
      <c r="FQ235" s="39"/>
      <c r="FR235" s="39"/>
      <c r="FS235" s="39"/>
      <c r="FT235" s="39"/>
      <c r="FU235" s="39"/>
      <c r="FV235" s="39"/>
      <c r="FW235" s="39"/>
      <c r="FX235" s="39"/>
      <c r="FY235" s="39"/>
      <c r="FZ235" s="39"/>
      <c r="GA235" s="39"/>
      <c r="GB235" s="39"/>
      <c r="GC235" s="39"/>
      <c r="GD235" s="39"/>
      <c r="GE235" s="39"/>
      <c r="GF235" s="39"/>
      <c r="GG235" s="39"/>
      <c r="GH235" s="39"/>
      <c r="GI235" s="39"/>
      <c r="GJ235" s="39"/>
      <c r="GK235" s="39"/>
      <c r="GL235" s="39"/>
      <c r="GM235" s="39"/>
      <c r="GN235" s="39"/>
      <c r="GO235" s="39"/>
      <c r="GP235" s="39"/>
      <c r="GQ235" s="39"/>
      <c r="GR235" s="39"/>
      <c r="GS235" s="39"/>
      <c r="GT235" s="39"/>
      <c r="GU235" s="39"/>
      <c r="GV235" s="39"/>
      <c r="GW235" s="39"/>
      <c r="GX235" s="39"/>
      <c r="GY235" s="39"/>
      <c r="GZ235" s="39"/>
      <c r="HA235" s="39"/>
      <c r="HB235" s="39"/>
      <c r="HC235" s="39"/>
      <c r="HD235" s="39"/>
      <c r="HE235" s="39"/>
      <c r="HF235" s="39"/>
      <c r="HG235" s="39"/>
      <c r="HH235" s="39"/>
      <c r="HI235" s="39"/>
      <c r="HJ235" s="39"/>
      <c r="HK235" s="39"/>
      <c r="HL235" s="39"/>
      <c r="HM235" s="39"/>
      <c r="HN235" s="39"/>
      <c r="HO235" s="39"/>
      <c r="HP235" s="39"/>
      <c r="HQ235" s="39"/>
      <c r="HR235" s="39"/>
      <c r="HS235" s="39"/>
      <c r="HT235" s="39"/>
      <c r="HU235" s="39"/>
      <c r="HV235" s="39"/>
      <c r="HW235" s="39"/>
      <c r="HX235" s="39"/>
      <c r="HY235" s="39"/>
      <c r="HZ235" s="39"/>
      <c r="IA235" s="39"/>
      <c r="IB235" s="39"/>
      <c r="IC235" s="39"/>
      <c r="ID235" s="39"/>
      <c r="IE235" s="39"/>
      <c r="IF235" s="39"/>
      <c r="IG235" s="39"/>
      <c r="IH235" s="39"/>
      <c r="II235" s="39"/>
      <c r="IJ235" s="39"/>
      <c r="IK235" s="39"/>
      <c r="IL235" s="39"/>
      <c r="IM235" s="39"/>
      <c r="IN235" s="39"/>
      <c r="IO235" s="39"/>
      <c r="IP235" s="39"/>
      <c r="IQ235" s="39"/>
      <c r="IR235" s="39"/>
      <c r="IS235" s="39"/>
      <c r="IT235" s="39"/>
      <c r="IU235" s="39"/>
      <c r="IV235" s="39"/>
    </row>
    <row r="236" spans="1:256" s="1" customFormat="1" x14ac:dyDescent="0.2">
      <c r="A236" s="5"/>
    </row>
    <row r="237" spans="1:256" s="1" customFormat="1" x14ac:dyDescent="0.2">
      <c r="A237" s="5"/>
      <c r="B237" s="13" t="s">
        <v>167</v>
      </c>
      <c r="E237" s="5"/>
      <c r="F237" s="5"/>
      <c r="G237" s="5"/>
      <c r="H237" s="39" t="s">
        <v>31</v>
      </c>
      <c r="I237" s="59">
        <f t="shared" ref="I237:AC237" si="73">+I301</f>
        <v>0</v>
      </c>
      <c r="J237" s="59">
        <f t="shared" si="73"/>
        <v>0</v>
      </c>
      <c r="K237" s="59">
        <f t="shared" si="73"/>
        <v>0</v>
      </c>
      <c r="L237" s="59">
        <f t="shared" si="73"/>
        <v>0</v>
      </c>
      <c r="M237" s="59">
        <f t="shared" si="73"/>
        <v>0</v>
      </c>
      <c r="N237" s="59">
        <f t="shared" si="73"/>
        <v>0</v>
      </c>
      <c r="O237" s="59">
        <f t="shared" si="73"/>
        <v>0</v>
      </c>
      <c r="P237" s="59">
        <f t="shared" si="73"/>
        <v>0</v>
      </c>
      <c r="Q237" s="59">
        <f t="shared" si="73"/>
        <v>0</v>
      </c>
      <c r="R237" s="59">
        <f t="shared" si="73"/>
        <v>0</v>
      </c>
      <c r="S237" s="59">
        <f t="shared" si="73"/>
        <v>0</v>
      </c>
      <c r="T237" s="59">
        <f t="shared" si="73"/>
        <v>0</v>
      </c>
      <c r="U237" s="59">
        <f t="shared" si="73"/>
        <v>0</v>
      </c>
      <c r="V237" s="59">
        <f t="shared" si="73"/>
        <v>0</v>
      </c>
      <c r="W237" s="59">
        <f t="shared" si="73"/>
        <v>0</v>
      </c>
      <c r="X237" s="59">
        <f t="shared" si="73"/>
        <v>0</v>
      </c>
      <c r="Y237" s="59">
        <f t="shared" si="73"/>
        <v>0</v>
      </c>
      <c r="Z237" s="59">
        <f t="shared" si="73"/>
        <v>0</v>
      </c>
      <c r="AA237" s="59">
        <f t="shared" si="73"/>
        <v>0</v>
      </c>
      <c r="AB237" s="59">
        <f t="shared" si="73"/>
        <v>0</v>
      </c>
      <c r="AC237" s="59">
        <f t="shared" si="73"/>
        <v>0</v>
      </c>
    </row>
    <row r="238" spans="1:256" s="1" customFormat="1" x14ac:dyDescent="0.2">
      <c r="A238" s="5"/>
      <c r="B238" s="13"/>
      <c r="C238" s="5"/>
      <c r="D238" s="5"/>
      <c r="E238" s="5"/>
      <c r="F238" s="5"/>
      <c r="G238" s="5"/>
      <c r="H238" s="3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56" s="1" customFormat="1" ht="13.5" thickBot="1" x14ac:dyDescent="0.25">
      <c r="A239" s="5"/>
      <c r="B239" s="13" t="s">
        <v>158</v>
      </c>
      <c r="C239" s="5"/>
      <c r="D239" s="5"/>
      <c r="E239" s="5"/>
      <c r="F239" s="151"/>
      <c r="G239" s="5"/>
      <c r="H239" s="39" t="s">
        <v>31</v>
      </c>
      <c r="I239" s="208">
        <f t="shared" ref="I239:AC239" si="74">+I229-I237</f>
        <v>19327.107339272086</v>
      </c>
      <c r="J239" s="208">
        <f t="shared" si="74"/>
        <v>15448.282617520817</v>
      </c>
      <c r="K239" s="208">
        <f t="shared" si="74"/>
        <v>21321.883061640354</v>
      </c>
      <c r="L239" s="208">
        <f t="shared" si="74"/>
        <v>24209.991879513553</v>
      </c>
      <c r="M239" s="208">
        <f t="shared" si="74"/>
        <v>22304.564847757494</v>
      </c>
      <c r="N239" s="208">
        <f t="shared" si="74"/>
        <v>21797.831539560375</v>
      </c>
      <c r="O239" s="208">
        <f t="shared" si="74"/>
        <v>19638.536048557646</v>
      </c>
      <c r="P239" s="208">
        <f t="shared" si="74"/>
        <v>22074.084452198498</v>
      </c>
      <c r="Q239" s="208">
        <f t="shared" si="74"/>
        <v>29980.674062306683</v>
      </c>
      <c r="R239" s="208">
        <f t="shared" si="74"/>
        <v>31817.215298492305</v>
      </c>
      <c r="S239" s="208">
        <f t="shared" si="74"/>
        <v>21899.71880254268</v>
      </c>
      <c r="T239" s="208">
        <f t="shared" si="74"/>
        <v>20087.30734008109</v>
      </c>
      <c r="U239" s="208">
        <f t="shared" si="74"/>
        <v>18556.729225694162</v>
      </c>
      <c r="V239" s="208">
        <f t="shared" si="74"/>
        <v>16223.537501898727</v>
      </c>
      <c r="W239" s="208">
        <f t="shared" si="74"/>
        <v>20439.940741409086</v>
      </c>
      <c r="X239" s="208">
        <f t="shared" si="74"/>
        <v>16007.491120389035</v>
      </c>
      <c r="Y239" s="208">
        <f t="shared" si="74"/>
        <v>8264.8181010212938</v>
      </c>
      <c r="Z239" s="208">
        <f t="shared" si="74"/>
        <v>7491.8079711573428</v>
      </c>
      <c r="AA239" s="208">
        <f t="shared" si="74"/>
        <v>7442.3154837855036</v>
      </c>
      <c r="AB239" s="208">
        <f t="shared" si="74"/>
        <v>7922.1566996481033</v>
      </c>
      <c r="AC239" s="208">
        <f t="shared" si="74"/>
        <v>6002.0204813850232</v>
      </c>
    </row>
    <row r="240" spans="1:256" s="1" customFormat="1" ht="13.5" thickTop="1" x14ac:dyDescent="0.2">
      <c r="A240" s="5"/>
      <c r="B240" s="5"/>
      <c r="C240" s="5"/>
      <c r="D240" s="5"/>
      <c r="E240" s="5"/>
      <c r="F240" s="5"/>
      <c r="G240" s="5"/>
      <c r="H240" s="149"/>
      <c r="I240" s="14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21"/>
    </row>
    <row r="241" spans="1:29" s="1" customFormat="1" x14ac:dyDescent="0.2">
      <c r="A241" s="5"/>
      <c r="B241" s="13" t="s">
        <v>172</v>
      </c>
      <c r="C241" s="5"/>
      <c r="D241" s="5"/>
      <c r="E241" s="5"/>
      <c r="I241" s="185">
        <f>+$I$5-365</f>
        <v>36891</v>
      </c>
      <c r="J241" s="179" t="s">
        <v>83</v>
      </c>
      <c r="K241" s="112" t="s">
        <v>156</v>
      </c>
      <c r="L241" s="181" t="s">
        <v>157</v>
      </c>
      <c r="M241" s="181" t="s">
        <v>136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21"/>
    </row>
    <row r="242" spans="1:29" s="1" customFormat="1" x14ac:dyDescent="0.2">
      <c r="A242" s="5"/>
      <c r="I242" s="112">
        <f>+I233</f>
        <v>0.12</v>
      </c>
      <c r="J242" s="153">
        <f>NPV(I242,I$239:AC$239)</f>
        <v>152476.40123805089</v>
      </c>
      <c r="K242" s="183">
        <f>+$N$315*$F$229</f>
        <v>319440</v>
      </c>
      <c r="L242" s="182">
        <f>+$I$278</f>
        <v>0</v>
      </c>
      <c r="M242" s="182">
        <f>+J242+K242+L242</f>
        <v>471916.40123805089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21"/>
    </row>
    <row r="243" spans="1:29" s="1" customFormat="1" x14ac:dyDescent="0.2">
      <c r="A243" s="5"/>
      <c r="B243" s="13"/>
      <c r="C243" s="5"/>
      <c r="D243" s="5"/>
      <c r="E243" s="5"/>
      <c r="I243" s="112">
        <f>+I234</f>
        <v>0.11</v>
      </c>
      <c r="J243" s="153">
        <f>NPV(I243,I$239:AC$239)</f>
        <v>162085.77008355682</v>
      </c>
      <c r="K243" s="183">
        <f>+$N$315*$F$229</f>
        <v>319440</v>
      </c>
      <c r="L243" s="182">
        <f>+$I$278</f>
        <v>0</v>
      </c>
      <c r="M243" s="182">
        <f>+J243+K243+L243</f>
        <v>481525.77008355682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21"/>
    </row>
    <row r="244" spans="1:29" s="1" customFormat="1" x14ac:dyDescent="0.2">
      <c r="A244" s="5"/>
      <c r="B244" s="13"/>
      <c r="C244" s="5"/>
      <c r="D244" s="5"/>
      <c r="E244" s="5"/>
      <c r="I244" s="112">
        <f>+I235</f>
        <v>0.1</v>
      </c>
      <c r="J244" s="153">
        <f>NPV(I244,I$239:AC$239)</f>
        <v>172691.72825326069</v>
      </c>
      <c r="K244" s="183">
        <f>+$N$315*$F$229</f>
        <v>319440</v>
      </c>
      <c r="L244" s="180">
        <f>+$I$278</f>
        <v>0</v>
      </c>
      <c r="M244" s="180">
        <f>+J244+K244+L244</f>
        <v>492131.72825326072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21"/>
    </row>
    <row r="245" spans="1:29" s="1" customFormat="1" x14ac:dyDescent="0.2">
      <c r="A245" s="5"/>
      <c r="B245" s="13"/>
      <c r="C245" s="5"/>
      <c r="D245" s="5"/>
      <c r="E245" s="5"/>
      <c r="F245" s="5"/>
      <c r="G245" s="5"/>
      <c r="H245" s="3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s="1" customFormat="1" x14ac:dyDescent="0.2">
      <c r="A246" s="5"/>
      <c r="B246" s="13"/>
      <c r="C246" s="5"/>
      <c r="D246" s="5"/>
      <c r="E246" s="5"/>
      <c r="F246" s="5"/>
      <c r="G246" s="5"/>
      <c r="H246" s="3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s="1" customFormat="1" x14ac:dyDescent="0.2">
      <c r="A247" s="5"/>
      <c r="B247" s="13"/>
      <c r="C247" s="5"/>
      <c r="D247" s="5"/>
      <c r="E247" s="5"/>
      <c r="F247" s="5"/>
      <c r="G247" s="5"/>
      <c r="H247" s="3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s="1" customFormat="1" ht="18" x14ac:dyDescent="0.25">
      <c r="A248" s="94" t="s">
        <v>82</v>
      </c>
      <c r="B248" s="128"/>
      <c r="S248" s="121"/>
    </row>
    <row r="249" spans="1:29" s="1" customFormat="1" x14ac:dyDescent="0.2"/>
    <row r="250" spans="1:29" s="1" customFormat="1" x14ac:dyDescent="0.2">
      <c r="B250" s="220" t="s">
        <v>149</v>
      </c>
    </row>
    <row r="251" spans="1:29" s="1" customFormat="1" x14ac:dyDescent="0.2">
      <c r="B251" s="5" t="s">
        <v>69</v>
      </c>
      <c r="E251" s="5"/>
      <c r="F251" s="5"/>
      <c r="G251" s="5"/>
      <c r="H251" s="39" t="s">
        <v>31</v>
      </c>
      <c r="I251" s="40">
        <v>39300</v>
      </c>
      <c r="J251" s="40">
        <v>37396</v>
      </c>
      <c r="K251" s="40">
        <v>35264</v>
      </c>
      <c r="L251" s="40">
        <v>32933</v>
      </c>
      <c r="M251" s="40">
        <v>29880</v>
      </c>
      <c r="N251" s="40">
        <v>25484</v>
      </c>
      <c r="O251" s="40">
        <v>20545</v>
      </c>
      <c r="P251" s="40">
        <v>15504</v>
      </c>
      <c r="Q251" s="40">
        <v>10374</v>
      </c>
      <c r="R251" s="40">
        <v>4779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</row>
    <row r="252" spans="1:29" s="1" customFormat="1" x14ac:dyDescent="0.2">
      <c r="B252" s="5" t="s">
        <v>70</v>
      </c>
      <c r="E252" s="5"/>
      <c r="F252" s="5"/>
      <c r="G252" s="5"/>
      <c r="H252" s="39" t="s">
        <v>31</v>
      </c>
      <c r="I252" s="9">
        <v>20160</v>
      </c>
      <c r="J252" s="9">
        <v>22688</v>
      </c>
      <c r="K252" s="9">
        <v>23818</v>
      </c>
      <c r="L252" s="9">
        <v>28564</v>
      </c>
      <c r="M252" s="9">
        <v>45349</v>
      </c>
      <c r="N252" s="9">
        <v>52641</v>
      </c>
      <c r="O252" s="9">
        <v>54021</v>
      </c>
      <c r="P252" s="9">
        <v>51801</v>
      </c>
      <c r="Q252" s="9">
        <v>54616</v>
      </c>
      <c r="R252" s="9">
        <v>65222</v>
      </c>
      <c r="S252" s="9">
        <v>0</v>
      </c>
      <c r="T252" s="33">
        <v>0</v>
      </c>
      <c r="U252" s="33">
        <v>0</v>
      </c>
      <c r="V252" s="33">
        <v>0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</row>
    <row r="253" spans="1:29" s="1" customFormat="1" x14ac:dyDescent="0.2">
      <c r="B253" s="5" t="s">
        <v>151</v>
      </c>
      <c r="H253" s="27"/>
      <c r="I253" s="178">
        <f>SUM(I251:I252)</f>
        <v>59460</v>
      </c>
      <c r="J253" s="178">
        <f t="shared" ref="J253:AC253" si="75">SUM(J251:J252)</f>
        <v>60084</v>
      </c>
      <c r="K253" s="178">
        <f t="shared" si="75"/>
        <v>59082</v>
      </c>
      <c r="L253" s="178">
        <f t="shared" si="75"/>
        <v>61497</v>
      </c>
      <c r="M253" s="178">
        <f t="shared" si="75"/>
        <v>75229</v>
      </c>
      <c r="N253" s="178">
        <f t="shared" si="75"/>
        <v>78125</v>
      </c>
      <c r="O253" s="178">
        <f t="shared" si="75"/>
        <v>74566</v>
      </c>
      <c r="P253" s="178">
        <f t="shared" si="75"/>
        <v>67305</v>
      </c>
      <c r="Q253" s="178">
        <f t="shared" si="75"/>
        <v>64990</v>
      </c>
      <c r="R253" s="178">
        <f t="shared" si="75"/>
        <v>70001</v>
      </c>
      <c r="S253" s="178">
        <f t="shared" si="75"/>
        <v>0</v>
      </c>
      <c r="T253" s="178">
        <f t="shared" si="75"/>
        <v>0</v>
      </c>
      <c r="U253" s="178">
        <f t="shared" si="75"/>
        <v>0</v>
      </c>
      <c r="V253" s="178">
        <f t="shared" si="75"/>
        <v>0</v>
      </c>
      <c r="W253" s="178">
        <f t="shared" si="75"/>
        <v>0</v>
      </c>
      <c r="X253" s="178">
        <f t="shared" si="75"/>
        <v>0</v>
      </c>
      <c r="Y253" s="178">
        <f t="shared" si="75"/>
        <v>0</v>
      </c>
      <c r="Z253" s="178">
        <f t="shared" si="75"/>
        <v>0</v>
      </c>
      <c r="AA253" s="178">
        <f t="shared" si="75"/>
        <v>0</v>
      </c>
      <c r="AB253" s="178">
        <f t="shared" si="75"/>
        <v>0</v>
      </c>
      <c r="AC253" s="178">
        <f t="shared" si="75"/>
        <v>0</v>
      </c>
    </row>
    <row r="254" spans="1:29" s="1" customFormat="1" x14ac:dyDescent="0.2">
      <c r="H254" s="27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</row>
    <row r="255" spans="1:29" s="1" customFormat="1" x14ac:dyDescent="0.2">
      <c r="B255" s="220" t="s">
        <v>168</v>
      </c>
      <c r="K255" s="7"/>
      <c r="L255" s="121"/>
    </row>
    <row r="256" spans="1:29" s="1" customFormat="1" x14ac:dyDescent="0.2">
      <c r="B256" s="212"/>
      <c r="C256" s="26"/>
      <c r="K256" s="7"/>
      <c r="L256" s="121"/>
    </row>
    <row r="257" spans="2:38" s="1" customFormat="1" x14ac:dyDescent="0.2">
      <c r="C257" s="213" t="s">
        <v>80</v>
      </c>
      <c r="D257" s="28"/>
      <c r="E257" s="35"/>
      <c r="F257" s="35"/>
      <c r="G257" s="35"/>
      <c r="H257" s="36"/>
      <c r="I257" s="214">
        <v>7.9899999999999999E-2</v>
      </c>
      <c r="J257" s="214">
        <v>7.9899999999999999E-2</v>
      </c>
      <c r="K257" s="214">
        <v>7.9899999999999999E-2</v>
      </c>
      <c r="L257" s="214">
        <v>7.9899999999999999E-2</v>
      </c>
      <c r="M257" s="214">
        <v>7.9899999999999999E-2</v>
      </c>
      <c r="N257" s="214">
        <v>7.9899999999999999E-2</v>
      </c>
      <c r="O257" s="214">
        <v>7.9899999999999999E-2</v>
      </c>
      <c r="P257" s="214">
        <v>7.9899999999999999E-2</v>
      </c>
      <c r="Q257" s="214">
        <v>7.9899999999999999E-2</v>
      </c>
      <c r="R257" s="214">
        <v>7.9899999999999999E-2</v>
      </c>
      <c r="S257" s="214">
        <v>7.9899999999999999E-2</v>
      </c>
      <c r="T257" s="215"/>
      <c r="U257" s="216"/>
      <c r="V257" s="216"/>
      <c r="W257" s="216"/>
      <c r="X257" s="216"/>
      <c r="Y257" s="216"/>
      <c r="Z257" s="216"/>
      <c r="AA257" s="216"/>
      <c r="AB257" s="216"/>
      <c r="AC257" s="217"/>
      <c r="AD257" s="39"/>
      <c r="AE257" s="39"/>
      <c r="AF257" s="39"/>
      <c r="AG257" s="39"/>
      <c r="AH257" s="39"/>
      <c r="AI257" s="39"/>
      <c r="AJ257" s="39"/>
      <c r="AK257" s="201"/>
      <c r="AL257" s="201"/>
    </row>
    <row r="258" spans="2:38" s="1" customFormat="1" x14ac:dyDescent="0.2">
      <c r="C258" s="38" t="s">
        <v>119</v>
      </c>
      <c r="D258" s="26"/>
      <c r="E258" s="27"/>
      <c r="F258" s="162"/>
      <c r="G258" s="162"/>
      <c r="H258" s="39" t="s">
        <v>31</v>
      </c>
      <c r="I258" s="93">
        <f t="shared" ref="I258:AC258" si="76">+I257/2*I$260</f>
        <v>8789</v>
      </c>
      <c r="J258" s="93">
        <f t="shared" si="76"/>
        <v>8789</v>
      </c>
      <c r="K258" s="93">
        <f t="shared" si="76"/>
        <v>8437.44</v>
      </c>
      <c r="L258" s="93">
        <f t="shared" si="76"/>
        <v>8085.88</v>
      </c>
      <c r="M258" s="93">
        <f t="shared" si="76"/>
        <v>7734.32</v>
      </c>
      <c r="N258" s="93">
        <f t="shared" si="76"/>
        <v>7382.76</v>
      </c>
      <c r="O258" s="93">
        <f t="shared" si="76"/>
        <v>6855.42</v>
      </c>
      <c r="P258" s="93">
        <f t="shared" si="76"/>
        <v>5976.5199999999995</v>
      </c>
      <c r="Q258" s="93">
        <f t="shared" si="76"/>
        <v>5097.62</v>
      </c>
      <c r="R258" s="93">
        <f t="shared" si="76"/>
        <v>4042.94</v>
      </c>
      <c r="S258" s="93">
        <f t="shared" si="76"/>
        <v>2636.7</v>
      </c>
      <c r="T258" s="93">
        <f t="shared" si="76"/>
        <v>0</v>
      </c>
      <c r="U258" s="93">
        <f t="shared" si="76"/>
        <v>0</v>
      </c>
      <c r="V258" s="93">
        <f t="shared" si="76"/>
        <v>0</v>
      </c>
      <c r="W258" s="93">
        <f t="shared" si="76"/>
        <v>0</v>
      </c>
      <c r="X258" s="93">
        <f t="shared" si="76"/>
        <v>0</v>
      </c>
      <c r="Y258" s="93">
        <f t="shared" si="76"/>
        <v>0</v>
      </c>
      <c r="Z258" s="93">
        <f t="shared" si="76"/>
        <v>0</v>
      </c>
      <c r="AA258" s="93">
        <f t="shared" si="76"/>
        <v>0</v>
      </c>
      <c r="AB258" s="93">
        <f t="shared" si="76"/>
        <v>0</v>
      </c>
      <c r="AC258" s="164">
        <f t="shared" si="76"/>
        <v>0</v>
      </c>
      <c r="AD258" s="39"/>
      <c r="AE258" s="39"/>
      <c r="AF258" s="39"/>
      <c r="AG258" s="39"/>
      <c r="AH258" s="39"/>
      <c r="AI258" s="39"/>
      <c r="AJ258" s="39"/>
      <c r="AK258" s="201"/>
      <c r="AL258" s="201"/>
    </row>
    <row r="259" spans="2:38" s="1" customFormat="1" x14ac:dyDescent="0.2">
      <c r="C259" s="38" t="s">
        <v>120</v>
      </c>
      <c r="D259" s="26"/>
      <c r="E259" s="27"/>
      <c r="F259" s="162"/>
      <c r="G259" s="162"/>
      <c r="H259" s="39" t="s">
        <v>31</v>
      </c>
      <c r="I259" s="93">
        <f t="shared" ref="I259:AC259" si="77">+I257/2*I$262</f>
        <v>8789</v>
      </c>
      <c r="J259" s="93">
        <f t="shared" si="77"/>
        <v>8613.2199999999993</v>
      </c>
      <c r="K259" s="93">
        <f t="shared" si="77"/>
        <v>8261.66</v>
      </c>
      <c r="L259" s="93">
        <f t="shared" si="77"/>
        <v>7910.0999999999995</v>
      </c>
      <c r="M259" s="93">
        <f t="shared" si="77"/>
        <v>7558.54</v>
      </c>
      <c r="N259" s="93">
        <f t="shared" si="77"/>
        <v>7119.09</v>
      </c>
      <c r="O259" s="93">
        <f t="shared" si="77"/>
        <v>6415.97</v>
      </c>
      <c r="P259" s="93">
        <f t="shared" si="77"/>
        <v>5537.07</v>
      </c>
      <c r="Q259" s="93">
        <f t="shared" si="77"/>
        <v>4570.28</v>
      </c>
      <c r="R259" s="93">
        <f t="shared" si="77"/>
        <v>3339.82</v>
      </c>
      <c r="S259" s="93">
        <f t="shared" si="77"/>
        <v>1318.35</v>
      </c>
      <c r="T259" s="93">
        <f t="shared" si="77"/>
        <v>0</v>
      </c>
      <c r="U259" s="93">
        <f t="shared" si="77"/>
        <v>0</v>
      </c>
      <c r="V259" s="93">
        <f t="shared" si="77"/>
        <v>0</v>
      </c>
      <c r="W259" s="93">
        <f t="shared" si="77"/>
        <v>0</v>
      </c>
      <c r="X259" s="93">
        <f t="shared" si="77"/>
        <v>0</v>
      </c>
      <c r="Y259" s="93">
        <f t="shared" si="77"/>
        <v>0</v>
      </c>
      <c r="Z259" s="93">
        <f t="shared" si="77"/>
        <v>0</v>
      </c>
      <c r="AA259" s="93">
        <f t="shared" si="77"/>
        <v>0</v>
      </c>
      <c r="AB259" s="93">
        <f t="shared" si="77"/>
        <v>0</v>
      </c>
      <c r="AC259" s="164">
        <f t="shared" si="77"/>
        <v>0</v>
      </c>
      <c r="AD259" s="39"/>
      <c r="AE259" s="39"/>
      <c r="AF259" s="39"/>
      <c r="AG259" s="39"/>
      <c r="AH259" s="39"/>
      <c r="AI259" s="39"/>
      <c r="AJ259" s="39"/>
    </row>
    <row r="260" spans="2:38" s="1" customFormat="1" x14ac:dyDescent="0.2">
      <c r="C260" s="38" t="s">
        <v>122</v>
      </c>
      <c r="D260" s="26"/>
      <c r="E260" s="27"/>
      <c r="F260" s="163"/>
      <c r="G260" s="163"/>
      <c r="H260" s="39" t="s">
        <v>31</v>
      </c>
      <c r="I260" s="93">
        <f>+N314</f>
        <v>220000</v>
      </c>
      <c r="J260" s="93">
        <f t="shared" ref="J260:AC260" si="78">+I264</f>
        <v>220000</v>
      </c>
      <c r="K260" s="93">
        <f t="shared" si="78"/>
        <v>211200</v>
      </c>
      <c r="L260" s="93">
        <f t="shared" si="78"/>
        <v>202400</v>
      </c>
      <c r="M260" s="93">
        <f t="shared" si="78"/>
        <v>193600</v>
      </c>
      <c r="N260" s="93">
        <f t="shared" si="78"/>
        <v>184800</v>
      </c>
      <c r="O260" s="93">
        <f t="shared" si="78"/>
        <v>171600</v>
      </c>
      <c r="P260" s="93">
        <f t="shared" si="78"/>
        <v>149600</v>
      </c>
      <c r="Q260" s="93">
        <f t="shared" si="78"/>
        <v>127600</v>
      </c>
      <c r="R260" s="93">
        <f t="shared" si="78"/>
        <v>101200</v>
      </c>
      <c r="S260" s="93">
        <f t="shared" si="78"/>
        <v>66000</v>
      </c>
      <c r="T260" s="93">
        <f t="shared" si="78"/>
        <v>0</v>
      </c>
      <c r="U260" s="93">
        <f t="shared" si="78"/>
        <v>0</v>
      </c>
      <c r="V260" s="93">
        <f t="shared" si="78"/>
        <v>0</v>
      </c>
      <c r="W260" s="93">
        <f t="shared" si="78"/>
        <v>0</v>
      </c>
      <c r="X260" s="93">
        <f t="shared" si="78"/>
        <v>0</v>
      </c>
      <c r="Y260" s="93">
        <f t="shared" si="78"/>
        <v>0</v>
      </c>
      <c r="Z260" s="93">
        <f t="shared" si="78"/>
        <v>0</v>
      </c>
      <c r="AA260" s="93">
        <f t="shared" si="78"/>
        <v>0</v>
      </c>
      <c r="AB260" s="93">
        <f t="shared" si="78"/>
        <v>0</v>
      </c>
      <c r="AC260" s="164">
        <f t="shared" si="78"/>
        <v>0</v>
      </c>
      <c r="AD260" s="39"/>
      <c r="AE260" s="39"/>
      <c r="AF260" s="39"/>
      <c r="AG260" s="39"/>
      <c r="AH260" s="39"/>
      <c r="AI260" s="39"/>
      <c r="AJ260" s="39"/>
    </row>
    <row r="261" spans="2:38" s="1" customFormat="1" x14ac:dyDescent="0.2">
      <c r="C261" s="38" t="s">
        <v>123</v>
      </c>
      <c r="D261" s="26"/>
      <c r="E261" s="27"/>
      <c r="F261" s="162"/>
      <c r="G261" s="162"/>
      <c r="H261" s="39" t="s">
        <v>31</v>
      </c>
      <c r="I261" s="33">
        <v>0</v>
      </c>
      <c r="J261" s="33">
        <v>4400</v>
      </c>
      <c r="K261" s="33">
        <v>4400</v>
      </c>
      <c r="L261" s="33">
        <v>4400</v>
      </c>
      <c r="M261" s="33">
        <v>4400</v>
      </c>
      <c r="N261" s="33">
        <v>6600</v>
      </c>
      <c r="O261" s="33">
        <v>11000</v>
      </c>
      <c r="P261" s="33">
        <v>11000</v>
      </c>
      <c r="Q261" s="33">
        <v>13200</v>
      </c>
      <c r="R261" s="33">
        <v>17600</v>
      </c>
      <c r="S261" s="33">
        <v>33000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224">
        <v>0</v>
      </c>
      <c r="AD261" s="39"/>
      <c r="AE261" s="39"/>
      <c r="AF261" s="39"/>
      <c r="AG261" s="39"/>
      <c r="AH261" s="39"/>
      <c r="AI261" s="39"/>
      <c r="AJ261" s="39"/>
    </row>
    <row r="262" spans="2:38" s="1" customFormat="1" x14ac:dyDescent="0.2">
      <c r="C262" s="38" t="s">
        <v>141</v>
      </c>
      <c r="D262" s="26"/>
      <c r="E262" s="27"/>
      <c r="F262" s="26"/>
      <c r="G262" s="26"/>
      <c r="H262" s="39" t="s">
        <v>31</v>
      </c>
      <c r="I262" s="93">
        <f t="shared" ref="I262:AC262" si="79">+I260-I261</f>
        <v>220000</v>
      </c>
      <c r="J262" s="93">
        <f t="shared" si="79"/>
        <v>215600</v>
      </c>
      <c r="K262" s="93">
        <f t="shared" si="79"/>
        <v>206800</v>
      </c>
      <c r="L262" s="93">
        <f t="shared" si="79"/>
        <v>198000</v>
      </c>
      <c r="M262" s="93">
        <f t="shared" si="79"/>
        <v>189200</v>
      </c>
      <c r="N262" s="93">
        <f t="shared" si="79"/>
        <v>178200</v>
      </c>
      <c r="O262" s="93">
        <f t="shared" si="79"/>
        <v>160600</v>
      </c>
      <c r="P262" s="93">
        <f t="shared" si="79"/>
        <v>138600</v>
      </c>
      <c r="Q262" s="93">
        <f t="shared" si="79"/>
        <v>114400</v>
      </c>
      <c r="R262" s="93">
        <f t="shared" si="79"/>
        <v>83600</v>
      </c>
      <c r="S262" s="93">
        <f t="shared" si="79"/>
        <v>33000</v>
      </c>
      <c r="T262" s="93">
        <f t="shared" si="79"/>
        <v>0</v>
      </c>
      <c r="U262" s="93">
        <f t="shared" si="79"/>
        <v>0</v>
      </c>
      <c r="V262" s="93">
        <f t="shared" si="79"/>
        <v>0</v>
      </c>
      <c r="W262" s="93">
        <f t="shared" si="79"/>
        <v>0</v>
      </c>
      <c r="X262" s="93">
        <f t="shared" si="79"/>
        <v>0</v>
      </c>
      <c r="Y262" s="93">
        <f t="shared" si="79"/>
        <v>0</v>
      </c>
      <c r="Z262" s="93">
        <f t="shared" si="79"/>
        <v>0</v>
      </c>
      <c r="AA262" s="93">
        <f t="shared" si="79"/>
        <v>0</v>
      </c>
      <c r="AB262" s="93">
        <f t="shared" si="79"/>
        <v>0</v>
      </c>
      <c r="AC262" s="164">
        <f t="shared" si="79"/>
        <v>0</v>
      </c>
      <c r="AD262" s="39"/>
      <c r="AE262" s="39"/>
      <c r="AF262" s="39"/>
      <c r="AG262" s="39"/>
      <c r="AH262" s="39"/>
      <c r="AI262" s="39"/>
      <c r="AJ262" s="39"/>
    </row>
    <row r="263" spans="2:38" s="1" customFormat="1" x14ac:dyDescent="0.2">
      <c r="C263" s="38" t="s">
        <v>124</v>
      </c>
      <c r="D263" s="26"/>
      <c r="E263" s="27"/>
      <c r="F263" s="26"/>
      <c r="G263" s="26"/>
      <c r="H263" s="39" t="s">
        <v>31</v>
      </c>
      <c r="I263" s="33">
        <v>0</v>
      </c>
      <c r="J263" s="33">
        <v>4400</v>
      </c>
      <c r="K263" s="33">
        <v>4400</v>
      </c>
      <c r="L263" s="33">
        <v>4400</v>
      </c>
      <c r="M263" s="33">
        <v>4400</v>
      </c>
      <c r="N263" s="33">
        <v>6600</v>
      </c>
      <c r="O263" s="33">
        <v>11000</v>
      </c>
      <c r="P263" s="33">
        <v>11000</v>
      </c>
      <c r="Q263" s="33">
        <v>13200</v>
      </c>
      <c r="R263" s="33">
        <v>17600</v>
      </c>
      <c r="S263" s="33">
        <v>33000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224">
        <v>0</v>
      </c>
      <c r="AD263" s="39"/>
      <c r="AE263" s="39"/>
      <c r="AF263" s="39"/>
      <c r="AG263" s="39"/>
      <c r="AH263" s="39"/>
      <c r="AI263" s="39"/>
      <c r="AJ263" s="39"/>
    </row>
    <row r="264" spans="2:38" s="1" customFormat="1" x14ac:dyDescent="0.2">
      <c r="C264" s="43" t="s">
        <v>142</v>
      </c>
      <c r="D264" s="17"/>
      <c r="E264" s="29"/>
      <c r="F264" s="17"/>
      <c r="G264" s="17"/>
      <c r="H264" s="44" t="s">
        <v>31</v>
      </c>
      <c r="I264" s="196">
        <f t="shared" ref="I264:AC264" si="80">+I262-I263</f>
        <v>220000</v>
      </c>
      <c r="J264" s="196">
        <f t="shared" si="80"/>
        <v>211200</v>
      </c>
      <c r="K264" s="196">
        <f t="shared" si="80"/>
        <v>202400</v>
      </c>
      <c r="L264" s="196">
        <f t="shared" si="80"/>
        <v>193600</v>
      </c>
      <c r="M264" s="196">
        <f t="shared" si="80"/>
        <v>184800</v>
      </c>
      <c r="N264" s="196">
        <f t="shared" si="80"/>
        <v>171600</v>
      </c>
      <c r="O264" s="196">
        <f t="shared" si="80"/>
        <v>149600</v>
      </c>
      <c r="P264" s="196">
        <f t="shared" si="80"/>
        <v>127600</v>
      </c>
      <c r="Q264" s="196">
        <f t="shared" si="80"/>
        <v>101200</v>
      </c>
      <c r="R264" s="196">
        <f t="shared" si="80"/>
        <v>66000</v>
      </c>
      <c r="S264" s="196">
        <f t="shared" si="80"/>
        <v>0</v>
      </c>
      <c r="T264" s="196">
        <f t="shared" si="80"/>
        <v>0</v>
      </c>
      <c r="U264" s="196">
        <f t="shared" si="80"/>
        <v>0</v>
      </c>
      <c r="V264" s="196">
        <f t="shared" si="80"/>
        <v>0</v>
      </c>
      <c r="W264" s="196">
        <f t="shared" si="80"/>
        <v>0</v>
      </c>
      <c r="X264" s="196">
        <f t="shared" si="80"/>
        <v>0</v>
      </c>
      <c r="Y264" s="196">
        <f t="shared" si="80"/>
        <v>0</v>
      </c>
      <c r="Z264" s="196">
        <f t="shared" si="80"/>
        <v>0</v>
      </c>
      <c r="AA264" s="196">
        <f t="shared" si="80"/>
        <v>0</v>
      </c>
      <c r="AB264" s="196">
        <f t="shared" si="80"/>
        <v>0</v>
      </c>
      <c r="AC264" s="218">
        <f t="shared" si="80"/>
        <v>0</v>
      </c>
      <c r="AD264" s="39"/>
      <c r="AE264" s="39"/>
      <c r="AF264" s="39"/>
      <c r="AG264" s="39"/>
      <c r="AH264" s="39"/>
      <c r="AI264" s="39"/>
      <c r="AJ264" s="39"/>
    </row>
    <row r="265" spans="2:38" s="1" customFormat="1" x14ac:dyDescent="0.2">
      <c r="B265" s="27"/>
      <c r="C265" s="27"/>
      <c r="E265" s="27"/>
      <c r="H265" s="39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39"/>
      <c r="AE265" s="39"/>
      <c r="AF265" s="39"/>
      <c r="AG265" s="39"/>
      <c r="AH265" s="39"/>
      <c r="AI265" s="39"/>
      <c r="AJ265" s="39"/>
    </row>
    <row r="266" spans="2:38" s="1" customFormat="1" x14ac:dyDescent="0.2">
      <c r="B266" s="27" t="s">
        <v>69</v>
      </c>
      <c r="C266" s="27"/>
      <c r="E266" s="27"/>
      <c r="H266" s="39" t="s">
        <v>31</v>
      </c>
      <c r="I266" s="93">
        <f>+I258+I259</f>
        <v>17578</v>
      </c>
      <c r="J266" s="93">
        <f t="shared" ref="J266:AC266" si="81">+J258+J259</f>
        <v>17402.22</v>
      </c>
      <c r="K266" s="93">
        <f t="shared" si="81"/>
        <v>16699.099999999999</v>
      </c>
      <c r="L266" s="93">
        <f t="shared" si="81"/>
        <v>15995.98</v>
      </c>
      <c r="M266" s="93">
        <f t="shared" si="81"/>
        <v>15292.86</v>
      </c>
      <c r="N266" s="93">
        <f t="shared" si="81"/>
        <v>14501.85</v>
      </c>
      <c r="O266" s="93">
        <f t="shared" si="81"/>
        <v>13271.39</v>
      </c>
      <c r="P266" s="93">
        <f t="shared" si="81"/>
        <v>11513.59</v>
      </c>
      <c r="Q266" s="93">
        <f t="shared" si="81"/>
        <v>9667.9</v>
      </c>
      <c r="R266" s="93">
        <f t="shared" si="81"/>
        <v>7382.76</v>
      </c>
      <c r="S266" s="93">
        <f t="shared" si="81"/>
        <v>3955.0499999999997</v>
      </c>
      <c r="T266" s="93">
        <f t="shared" si="81"/>
        <v>0</v>
      </c>
      <c r="U266" s="93">
        <f t="shared" si="81"/>
        <v>0</v>
      </c>
      <c r="V266" s="93">
        <f t="shared" si="81"/>
        <v>0</v>
      </c>
      <c r="W266" s="93">
        <f t="shared" si="81"/>
        <v>0</v>
      </c>
      <c r="X266" s="93">
        <f t="shared" si="81"/>
        <v>0</v>
      </c>
      <c r="Y266" s="93">
        <f t="shared" si="81"/>
        <v>0</v>
      </c>
      <c r="Z266" s="93">
        <f t="shared" si="81"/>
        <v>0</v>
      </c>
      <c r="AA266" s="93">
        <f t="shared" si="81"/>
        <v>0</v>
      </c>
      <c r="AB266" s="93">
        <f t="shared" si="81"/>
        <v>0</v>
      </c>
      <c r="AC266" s="93">
        <f t="shared" si="81"/>
        <v>0</v>
      </c>
      <c r="AD266" s="39"/>
      <c r="AE266" s="39"/>
      <c r="AF266" s="39"/>
      <c r="AG266" s="39"/>
      <c r="AH266" s="39"/>
      <c r="AI266" s="39"/>
      <c r="AJ266" s="39"/>
    </row>
    <row r="267" spans="2:38" s="1" customFormat="1" x14ac:dyDescent="0.2">
      <c r="B267" s="27" t="s">
        <v>70</v>
      </c>
      <c r="C267" s="27"/>
      <c r="E267" s="27"/>
      <c r="H267" s="39" t="s">
        <v>31</v>
      </c>
      <c r="I267" s="196">
        <f>+I261+I263</f>
        <v>0</v>
      </c>
      <c r="J267" s="196">
        <f t="shared" ref="J267:AC267" si="82">+J261+J263</f>
        <v>8800</v>
      </c>
      <c r="K267" s="196">
        <f t="shared" si="82"/>
        <v>8800</v>
      </c>
      <c r="L267" s="196">
        <f t="shared" si="82"/>
        <v>8800</v>
      </c>
      <c r="M267" s="196">
        <f t="shared" si="82"/>
        <v>8800</v>
      </c>
      <c r="N267" s="196">
        <f t="shared" si="82"/>
        <v>13200</v>
      </c>
      <c r="O267" s="196">
        <f t="shared" si="82"/>
        <v>22000</v>
      </c>
      <c r="P267" s="196">
        <f t="shared" si="82"/>
        <v>22000</v>
      </c>
      <c r="Q267" s="196">
        <f t="shared" si="82"/>
        <v>26400</v>
      </c>
      <c r="R267" s="196">
        <f t="shared" si="82"/>
        <v>35200</v>
      </c>
      <c r="S267" s="196">
        <f t="shared" si="82"/>
        <v>66000</v>
      </c>
      <c r="T267" s="196">
        <f t="shared" si="82"/>
        <v>0</v>
      </c>
      <c r="U267" s="196">
        <f t="shared" si="82"/>
        <v>0</v>
      </c>
      <c r="V267" s="196">
        <f t="shared" si="82"/>
        <v>0</v>
      </c>
      <c r="W267" s="196">
        <f t="shared" si="82"/>
        <v>0</v>
      </c>
      <c r="X267" s="196">
        <f t="shared" si="82"/>
        <v>0</v>
      </c>
      <c r="Y267" s="196">
        <f t="shared" si="82"/>
        <v>0</v>
      </c>
      <c r="Z267" s="196">
        <f t="shared" si="82"/>
        <v>0</v>
      </c>
      <c r="AA267" s="196">
        <f t="shared" si="82"/>
        <v>0</v>
      </c>
      <c r="AB267" s="196">
        <f t="shared" si="82"/>
        <v>0</v>
      </c>
      <c r="AC267" s="196">
        <f t="shared" si="82"/>
        <v>0</v>
      </c>
      <c r="AD267" s="39"/>
      <c r="AE267" s="39"/>
      <c r="AF267" s="39"/>
      <c r="AG267" s="39"/>
      <c r="AH267" s="39"/>
      <c r="AI267" s="39"/>
      <c r="AJ267" s="39"/>
    </row>
    <row r="268" spans="2:38" s="1" customFormat="1" x14ac:dyDescent="0.2">
      <c r="B268" s="5" t="s">
        <v>151</v>
      </c>
      <c r="H268" s="39" t="s">
        <v>31</v>
      </c>
      <c r="I268" s="7">
        <f>SUM(I266:I267)</f>
        <v>17578</v>
      </c>
      <c r="J268" s="7">
        <f t="shared" ref="J268:AC268" si="83">SUM(J266:J267)</f>
        <v>26202.22</v>
      </c>
      <c r="K268" s="7">
        <f t="shared" si="83"/>
        <v>25499.1</v>
      </c>
      <c r="L268" s="7">
        <f t="shared" si="83"/>
        <v>24795.98</v>
      </c>
      <c r="M268" s="7">
        <f t="shared" si="83"/>
        <v>24092.86</v>
      </c>
      <c r="N268" s="7">
        <f t="shared" si="83"/>
        <v>27701.85</v>
      </c>
      <c r="O268" s="7">
        <f t="shared" si="83"/>
        <v>35271.39</v>
      </c>
      <c r="P268" s="7">
        <f t="shared" si="83"/>
        <v>33513.589999999997</v>
      </c>
      <c r="Q268" s="7">
        <f t="shared" si="83"/>
        <v>36067.9</v>
      </c>
      <c r="R268" s="7">
        <f t="shared" si="83"/>
        <v>42582.76</v>
      </c>
      <c r="S268" s="7">
        <f t="shared" si="83"/>
        <v>69955.05</v>
      </c>
      <c r="T268" s="7">
        <f t="shared" si="83"/>
        <v>0</v>
      </c>
      <c r="U268" s="7">
        <f t="shared" si="83"/>
        <v>0</v>
      </c>
      <c r="V268" s="7">
        <f t="shared" si="83"/>
        <v>0</v>
      </c>
      <c r="W268" s="7">
        <f t="shared" si="83"/>
        <v>0</v>
      </c>
      <c r="X268" s="7">
        <f t="shared" si="83"/>
        <v>0</v>
      </c>
      <c r="Y268" s="7">
        <f t="shared" si="83"/>
        <v>0</v>
      </c>
      <c r="Z268" s="7">
        <f t="shared" si="83"/>
        <v>0</v>
      </c>
      <c r="AA268" s="7">
        <f t="shared" si="83"/>
        <v>0</v>
      </c>
      <c r="AB268" s="7">
        <f t="shared" si="83"/>
        <v>0</v>
      </c>
      <c r="AC268" s="7">
        <f t="shared" si="83"/>
        <v>0</v>
      </c>
    </row>
    <row r="269" spans="2:38" s="1" customFormat="1" x14ac:dyDescent="0.2">
      <c r="H269" s="27"/>
      <c r="I269" s="178" t="s">
        <v>1</v>
      </c>
      <c r="J269" s="178"/>
      <c r="K269" s="178"/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/>
      <c r="X269" s="178"/>
      <c r="Y269" s="178"/>
      <c r="Z269" s="178"/>
      <c r="AA269" s="178"/>
      <c r="AB269" s="178"/>
      <c r="AC269" s="178"/>
    </row>
    <row r="270" spans="2:38" s="1" customFormat="1" x14ac:dyDescent="0.2">
      <c r="B270" s="220" t="s">
        <v>164</v>
      </c>
      <c r="H270" s="27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</row>
    <row r="271" spans="2:38" s="1" customFormat="1" x14ac:dyDescent="0.2">
      <c r="H271" s="27"/>
      <c r="I271" s="178"/>
      <c r="J271" s="178"/>
      <c r="K271" s="178"/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/>
      <c r="X271" s="178"/>
      <c r="Y271" s="178"/>
      <c r="Z271" s="178"/>
      <c r="AA271" s="178"/>
      <c r="AB271" s="178"/>
      <c r="AC271" s="178"/>
    </row>
    <row r="272" spans="2:38" s="1" customFormat="1" x14ac:dyDescent="0.2">
      <c r="B272" s="5"/>
      <c r="C272" s="155"/>
      <c r="D272" s="35"/>
      <c r="E272" s="35"/>
      <c r="F272" s="35"/>
      <c r="G272" s="35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156"/>
    </row>
    <row r="273" spans="2:29" s="1" customFormat="1" ht="15" x14ac:dyDescent="0.35">
      <c r="B273" s="5"/>
      <c r="C273" s="157"/>
      <c r="D273" s="393" t="s">
        <v>150</v>
      </c>
      <c r="E273" s="393"/>
      <c r="F273" s="27"/>
      <c r="G273" s="27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159"/>
    </row>
    <row r="274" spans="2:29" s="1" customFormat="1" x14ac:dyDescent="0.2">
      <c r="B274" s="5"/>
      <c r="C274" s="157"/>
      <c r="D274" s="27" t="s">
        <v>80</v>
      </c>
      <c r="E274" s="27"/>
      <c r="F274" s="27"/>
      <c r="G274" s="27"/>
      <c r="H274" s="39"/>
      <c r="I274" s="174">
        <v>8.5000000000000006E-2</v>
      </c>
      <c r="J274" s="174">
        <v>8.5000000000000006E-2</v>
      </c>
      <c r="K274" s="174">
        <v>8.5000000000000006E-2</v>
      </c>
      <c r="L274" s="175">
        <f t="shared" ref="L274:T274" si="84">+I274+0.0025</f>
        <v>8.7500000000000008E-2</v>
      </c>
      <c r="M274" s="175">
        <f t="shared" si="84"/>
        <v>8.7500000000000008E-2</v>
      </c>
      <c r="N274" s="175">
        <f t="shared" si="84"/>
        <v>8.7500000000000008E-2</v>
      </c>
      <c r="O274" s="175">
        <f t="shared" si="84"/>
        <v>9.0000000000000011E-2</v>
      </c>
      <c r="P274" s="175">
        <f t="shared" si="84"/>
        <v>9.0000000000000011E-2</v>
      </c>
      <c r="Q274" s="175">
        <f t="shared" si="84"/>
        <v>9.0000000000000011E-2</v>
      </c>
      <c r="R274" s="175">
        <f t="shared" si="84"/>
        <v>9.2500000000000013E-2</v>
      </c>
      <c r="S274" s="175">
        <f t="shared" si="84"/>
        <v>9.2500000000000013E-2</v>
      </c>
      <c r="T274" s="175">
        <f t="shared" si="84"/>
        <v>9.2500000000000013E-2</v>
      </c>
      <c r="U274" s="154"/>
      <c r="V274" s="154"/>
      <c r="W274" s="154"/>
      <c r="X274" s="154"/>
      <c r="Y274" s="154"/>
      <c r="Z274" s="154"/>
      <c r="AA274" s="154"/>
      <c r="AB274" s="154"/>
      <c r="AC274" s="158"/>
    </row>
    <row r="275" spans="2:29" s="1" customFormat="1" x14ac:dyDescent="0.2">
      <c r="B275" s="5"/>
      <c r="C275" s="157"/>
      <c r="D275" s="27" t="s">
        <v>119</v>
      </c>
      <c r="E275" s="27"/>
      <c r="F275" s="162"/>
      <c r="G275" s="162"/>
      <c r="H275" s="39"/>
      <c r="I275" s="93">
        <f t="shared" ref="I275:AC275" si="85">+I$274/2*I$278</f>
        <v>0</v>
      </c>
      <c r="J275" s="93">
        <f t="shared" si="85"/>
        <v>0</v>
      </c>
      <c r="K275" s="93">
        <f t="shared" si="85"/>
        <v>0</v>
      </c>
      <c r="L275" s="93">
        <f t="shared" si="85"/>
        <v>0</v>
      </c>
      <c r="M275" s="93">
        <f t="shared" si="85"/>
        <v>0</v>
      </c>
      <c r="N275" s="93">
        <f t="shared" si="85"/>
        <v>0</v>
      </c>
      <c r="O275" s="93">
        <f t="shared" si="85"/>
        <v>0</v>
      </c>
      <c r="P275" s="93">
        <f t="shared" si="85"/>
        <v>0</v>
      </c>
      <c r="Q275" s="93">
        <f t="shared" si="85"/>
        <v>0</v>
      </c>
      <c r="R275" s="93">
        <f t="shared" si="85"/>
        <v>0</v>
      </c>
      <c r="S275" s="93">
        <f t="shared" si="85"/>
        <v>0</v>
      </c>
      <c r="T275" s="93">
        <f t="shared" si="85"/>
        <v>0</v>
      </c>
      <c r="U275" s="93">
        <f t="shared" si="85"/>
        <v>0</v>
      </c>
      <c r="V275" s="93">
        <f t="shared" si="85"/>
        <v>0</v>
      </c>
      <c r="W275" s="93">
        <f t="shared" si="85"/>
        <v>0</v>
      </c>
      <c r="X275" s="93">
        <f t="shared" si="85"/>
        <v>0</v>
      </c>
      <c r="Y275" s="93">
        <f t="shared" si="85"/>
        <v>0</v>
      </c>
      <c r="Z275" s="93">
        <f t="shared" si="85"/>
        <v>0</v>
      </c>
      <c r="AA275" s="93">
        <f t="shared" si="85"/>
        <v>0</v>
      </c>
      <c r="AB275" s="93">
        <f t="shared" si="85"/>
        <v>0</v>
      </c>
      <c r="AC275" s="164">
        <f t="shared" si="85"/>
        <v>0</v>
      </c>
    </row>
    <row r="276" spans="2:29" s="1" customFormat="1" x14ac:dyDescent="0.2">
      <c r="B276" s="5"/>
      <c r="C276" s="157"/>
      <c r="D276" s="27" t="s">
        <v>120</v>
      </c>
      <c r="E276" s="27"/>
      <c r="F276" s="162"/>
      <c r="G276" s="162"/>
      <c r="H276" s="39"/>
      <c r="I276" s="93">
        <f t="shared" ref="I276:AC276" si="86">+I$274/2*I$280</f>
        <v>0</v>
      </c>
      <c r="J276" s="93">
        <f t="shared" si="86"/>
        <v>0</v>
      </c>
      <c r="K276" s="93">
        <f t="shared" si="86"/>
        <v>0</v>
      </c>
      <c r="L276" s="93">
        <f t="shared" si="86"/>
        <v>0</v>
      </c>
      <c r="M276" s="93">
        <f t="shared" si="86"/>
        <v>0</v>
      </c>
      <c r="N276" s="93">
        <f t="shared" si="86"/>
        <v>0</v>
      </c>
      <c r="O276" s="93">
        <f t="shared" si="86"/>
        <v>0</v>
      </c>
      <c r="P276" s="93">
        <f t="shared" si="86"/>
        <v>0</v>
      </c>
      <c r="Q276" s="93">
        <f t="shared" si="86"/>
        <v>0</v>
      </c>
      <c r="R276" s="93">
        <f t="shared" si="86"/>
        <v>0</v>
      </c>
      <c r="S276" s="93">
        <f t="shared" si="86"/>
        <v>0</v>
      </c>
      <c r="T276" s="93">
        <f t="shared" si="86"/>
        <v>0</v>
      </c>
      <c r="U276" s="93">
        <f t="shared" si="86"/>
        <v>0</v>
      </c>
      <c r="V276" s="93">
        <f t="shared" si="86"/>
        <v>0</v>
      </c>
      <c r="W276" s="93">
        <f t="shared" si="86"/>
        <v>0</v>
      </c>
      <c r="X276" s="93">
        <f t="shared" si="86"/>
        <v>0</v>
      </c>
      <c r="Y276" s="93">
        <f t="shared" si="86"/>
        <v>0</v>
      </c>
      <c r="Z276" s="93">
        <f t="shared" si="86"/>
        <v>0</v>
      </c>
      <c r="AA276" s="93">
        <f t="shared" si="86"/>
        <v>0</v>
      </c>
      <c r="AB276" s="93">
        <f t="shared" si="86"/>
        <v>0</v>
      </c>
      <c r="AC276" s="164">
        <f t="shared" si="86"/>
        <v>0</v>
      </c>
    </row>
    <row r="277" spans="2:29" s="1" customFormat="1" x14ac:dyDescent="0.2">
      <c r="B277" s="5"/>
      <c r="C277" s="157"/>
      <c r="D277" s="27" t="s">
        <v>121</v>
      </c>
      <c r="E277" s="27"/>
      <c r="F277" s="170"/>
      <c r="G277" s="172" t="s">
        <v>126</v>
      </c>
      <c r="H277" s="171">
        <f>SUM(I277:T277)</f>
        <v>1.0000000000000002</v>
      </c>
      <c r="I277" s="174">
        <v>0.01</v>
      </c>
      <c r="J277" s="174">
        <v>0.02</v>
      </c>
      <c r="K277" s="174">
        <v>0.04</v>
      </c>
      <c r="L277" s="174">
        <v>7.0000000000000007E-2</v>
      </c>
      <c r="M277" s="174">
        <v>7.0000000000000007E-2</v>
      </c>
      <c r="N277" s="174">
        <v>7.0000000000000007E-2</v>
      </c>
      <c r="O277" s="174">
        <v>0.08</v>
      </c>
      <c r="P277" s="174">
        <v>0.09</v>
      </c>
      <c r="Q277" s="174">
        <v>0.13</v>
      </c>
      <c r="R277" s="174">
        <v>0.14000000000000001</v>
      </c>
      <c r="S277" s="174">
        <v>0.2</v>
      </c>
      <c r="T277" s="174">
        <v>0.08</v>
      </c>
      <c r="U277" s="154"/>
      <c r="V277" s="154"/>
      <c r="W277" s="154"/>
      <c r="X277" s="154"/>
      <c r="Y277" s="154"/>
      <c r="Z277" s="154"/>
      <c r="AA277" s="154"/>
      <c r="AB277" s="154"/>
      <c r="AC277" s="158"/>
    </row>
    <row r="278" spans="2:29" s="1" customFormat="1" x14ac:dyDescent="0.2">
      <c r="B278" s="5"/>
      <c r="C278" s="157"/>
      <c r="D278" s="27" t="s">
        <v>122</v>
      </c>
      <c r="E278" s="27"/>
      <c r="F278" s="184">
        <v>950000</v>
      </c>
      <c r="G278" s="163"/>
      <c r="H278" s="39" t="s">
        <v>31</v>
      </c>
      <c r="I278" s="173">
        <v>0</v>
      </c>
      <c r="J278" s="93">
        <f>+I282</f>
        <v>0</v>
      </c>
      <c r="K278" s="93">
        <f t="shared" ref="K278:AC278" si="87">+J282</f>
        <v>0</v>
      </c>
      <c r="L278" s="93">
        <f t="shared" si="87"/>
        <v>0</v>
      </c>
      <c r="M278" s="93">
        <f t="shared" si="87"/>
        <v>0</v>
      </c>
      <c r="N278" s="93">
        <f t="shared" si="87"/>
        <v>0</v>
      </c>
      <c r="O278" s="93">
        <f t="shared" si="87"/>
        <v>0</v>
      </c>
      <c r="P278" s="93">
        <f t="shared" si="87"/>
        <v>0</v>
      </c>
      <c r="Q278" s="93">
        <f t="shared" si="87"/>
        <v>0</v>
      </c>
      <c r="R278" s="93">
        <f t="shared" si="87"/>
        <v>0</v>
      </c>
      <c r="S278" s="93">
        <f t="shared" si="87"/>
        <v>0</v>
      </c>
      <c r="T278" s="93">
        <f t="shared" si="87"/>
        <v>0</v>
      </c>
      <c r="U278" s="93">
        <f t="shared" si="87"/>
        <v>0</v>
      </c>
      <c r="V278" s="93">
        <f t="shared" si="87"/>
        <v>0</v>
      </c>
      <c r="W278" s="93">
        <f t="shared" si="87"/>
        <v>0</v>
      </c>
      <c r="X278" s="93">
        <f t="shared" si="87"/>
        <v>0</v>
      </c>
      <c r="Y278" s="93">
        <f t="shared" si="87"/>
        <v>0</v>
      </c>
      <c r="Z278" s="93">
        <f t="shared" si="87"/>
        <v>0</v>
      </c>
      <c r="AA278" s="93">
        <f t="shared" si="87"/>
        <v>0</v>
      </c>
      <c r="AB278" s="93">
        <f t="shared" si="87"/>
        <v>0</v>
      </c>
      <c r="AC278" s="164">
        <f t="shared" si="87"/>
        <v>0</v>
      </c>
    </row>
    <row r="279" spans="2:29" s="1" customFormat="1" x14ac:dyDescent="0.2">
      <c r="B279" s="5"/>
      <c r="C279" s="157"/>
      <c r="D279" s="27" t="s">
        <v>123</v>
      </c>
      <c r="E279" s="27"/>
      <c r="F279" s="162"/>
      <c r="G279" s="162"/>
      <c r="H279" s="39" t="s">
        <v>31</v>
      </c>
      <c r="I279" s="93">
        <f t="shared" ref="I279:AC279" si="88">+I277*$I$278/2</f>
        <v>0</v>
      </c>
      <c r="J279" s="93">
        <f t="shared" si="88"/>
        <v>0</v>
      </c>
      <c r="K279" s="93">
        <f t="shared" si="88"/>
        <v>0</v>
      </c>
      <c r="L279" s="93">
        <f t="shared" si="88"/>
        <v>0</v>
      </c>
      <c r="M279" s="93">
        <f t="shared" si="88"/>
        <v>0</v>
      </c>
      <c r="N279" s="93">
        <f t="shared" si="88"/>
        <v>0</v>
      </c>
      <c r="O279" s="93">
        <f t="shared" si="88"/>
        <v>0</v>
      </c>
      <c r="P279" s="93">
        <f t="shared" si="88"/>
        <v>0</v>
      </c>
      <c r="Q279" s="93">
        <f t="shared" si="88"/>
        <v>0</v>
      </c>
      <c r="R279" s="93">
        <f t="shared" si="88"/>
        <v>0</v>
      </c>
      <c r="S279" s="93">
        <f t="shared" si="88"/>
        <v>0</v>
      </c>
      <c r="T279" s="93">
        <f t="shared" si="88"/>
        <v>0</v>
      </c>
      <c r="U279" s="93">
        <f t="shared" si="88"/>
        <v>0</v>
      </c>
      <c r="V279" s="93">
        <f t="shared" si="88"/>
        <v>0</v>
      </c>
      <c r="W279" s="93">
        <f t="shared" si="88"/>
        <v>0</v>
      </c>
      <c r="X279" s="93">
        <f t="shared" si="88"/>
        <v>0</v>
      </c>
      <c r="Y279" s="93">
        <f t="shared" si="88"/>
        <v>0</v>
      </c>
      <c r="Z279" s="93">
        <f t="shared" si="88"/>
        <v>0</v>
      </c>
      <c r="AA279" s="93">
        <f t="shared" si="88"/>
        <v>0</v>
      </c>
      <c r="AB279" s="93">
        <f t="shared" si="88"/>
        <v>0</v>
      </c>
      <c r="AC279" s="164">
        <f t="shared" si="88"/>
        <v>0</v>
      </c>
    </row>
    <row r="280" spans="2:29" s="1" customFormat="1" x14ac:dyDescent="0.2">
      <c r="B280" s="5"/>
      <c r="C280" s="157"/>
      <c r="D280" s="27" t="s">
        <v>141</v>
      </c>
      <c r="E280" s="27"/>
      <c r="H280" s="39" t="s">
        <v>31</v>
      </c>
      <c r="I280" s="93">
        <f>+I278-I279</f>
        <v>0</v>
      </c>
      <c r="J280" s="93">
        <f t="shared" ref="J280:AC280" si="89">+J278-J279</f>
        <v>0</v>
      </c>
      <c r="K280" s="93">
        <f t="shared" si="89"/>
        <v>0</v>
      </c>
      <c r="L280" s="93">
        <f t="shared" si="89"/>
        <v>0</v>
      </c>
      <c r="M280" s="93">
        <f t="shared" si="89"/>
        <v>0</v>
      </c>
      <c r="N280" s="93">
        <f t="shared" si="89"/>
        <v>0</v>
      </c>
      <c r="O280" s="93">
        <f t="shared" si="89"/>
        <v>0</v>
      </c>
      <c r="P280" s="93">
        <f t="shared" si="89"/>
        <v>0</v>
      </c>
      <c r="Q280" s="93">
        <f t="shared" si="89"/>
        <v>0</v>
      </c>
      <c r="R280" s="93">
        <f t="shared" si="89"/>
        <v>0</v>
      </c>
      <c r="S280" s="93">
        <f t="shared" si="89"/>
        <v>0</v>
      </c>
      <c r="T280" s="93">
        <f t="shared" si="89"/>
        <v>0</v>
      </c>
      <c r="U280" s="93">
        <f t="shared" si="89"/>
        <v>0</v>
      </c>
      <c r="V280" s="93">
        <f t="shared" si="89"/>
        <v>0</v>
      </c>
      <c r="W280" s="93">
        <f t="shared" si="89"/>
        <v>0</v>
      </c>
      <c r="X280" s="93">
        <f t="shared" si="89"/>
        <v>0</v>
      </c>
      <c r="Y280" s="93">
        <f t="shared" si="89"/>
        <v>0</v>
      </c>
      <c r="Z280" s="93">
        <f t="shared" si="89"/>
        <v>0</v>
      </c>
      <c r="AA280" s="93">
        <f t="shared" si="89"/>
        <v>0</v>
      </c>
      <c r="AB280" s="93">
        <f t="shared" si="89"/>
        <v>0</v>
      </c>
      <c r="AC280" s="164">
        <f t="shared" si="89"/>
        <v>0</v>
      </c>
    </row>
    <row r="281" spans="2:29" s="1" customFormat="1" x14ac:dyDescent="0.2">
      <c r="B281" s="5"/>
      <c r="C281" s="157"/>
      <c r="D281" s="27" t="s">
        <v>124</v>
      </c>
      <c r="E281" s="27"/>
      <c r="H281" s="39" t="s">
        <v>31</v>
      </c>
      <c r="I281" s="93">
        <f>+I279</f>
        <v>0</v>
      </c>
      <c r="J281" s="93">
        <f>+J279</f>
        <v>0</v>
      </c>
      <c r="K281" s="93">
        <f t="shared" ref="K281:AC281" si="90">+K279</f>
        <v>0</v>
      </c>
      <c r="L281" s="93">
        <f t="shared" si="90"/>
        <v>0</v>
      </c>
      <c r="M281" s="93">
        <f t="shared" si="90"/>
        <v>0</v>
      </c>
      <c r="N281" s="93">
        <f t="shared" si="90"/>
        <v>0</v>
      </c>
      <c r="O281" s="93">
        <f t="shared" si="90"/>
        <v>0</v>
      </c>
      <c r="P281" s="93">
        <f t="shared" si="90"/>
        <v>0</v>
      </c>
      <c r="Q281" s="93">
        <f t="shared" si="90"/>
        <v>0</v>
      </c>
      <c r="R281" s="93">
        <f t="shared" si="90"/>
        <v>0</v>
      </c>
      <c r="S281" s="93">
        <f t="shared" si="90"/>
        <v>0</v>
      </c>
      <c r="T281" s="93">
        <f t="shared" si="90"/>
        <v>0</v>
      </c>
      <c r="U281" s="93">
        <f t="shared" si="90"/>
        <v>0</v>
      </c>
      <c r="V281" s="93">
        <f t="shared" si="90"/>
        <v>0</v>
      </c>
      <c r="W281" s="93">
        <f t="shared" si="90"/>
        <v>0</v>
      </c>
      <c r="X281" s="93">
        <f t="shared" si="90"/>
        <v>0</v>
      </c>
      <c r="Y281" s="93">
        <f t="shared" si="90"/>
        <v>0</v>
      </c>
      <c r="Z281" s="93">
        <f t="shared" si="90"/>
        <v>0</v>
      </c>
      <c r="AA281" s="93">
        <f t="shared" si="90"/>
        <v>0</v>
      </c>
      <c r="AB281" s="93">
        <f t="shared" si="90"/>
        <v>0</v>
      </c>
      <c r="AC281" s="164">
        <f t="shared" si="90"/>
        <v>0</v>
      </c>
    </row>
    <row r="282" spans="2:29" s="1" customFormat="1" x14ac:dyDescent="0.2">
      <c r="B282" s="5"/>
      <c r="C282" s="157"/>
      <c r="D282" s="27" t="s">
        <v>142</v>
      </c>
      <c r="E282" s="27"/>
      <c r="H282" s="39" t="s">
        <v>31</v>
      </c>
      <c r="I282" s="93">
        <f>+I280-I281</f>
        <v>0</v>
      </c>
      <c r="J282" s="93">
        <f>+J280-J281</f>
        <v>0</v>
      </c>
      <c r="K282" s="93">
        <f t="shared" ref="K282:AC282" si="91">+K280-K281</f>
        <v>0</v>
      </c>
      <c r="L282" s="93">
        <f t="shared" si="91"/>
        <v>0</v>
      </c>
      <c r="M282" s="93">
        <f t="shared" si="91"/>
        <v>0</v>
      </c>
      <c r="N282" s="93">
        <f t="shared" si="91"/>
        <v>0</v>
      </c>
      <c r="O282" s="93">
        <f t="shared" si="91"/>
        <v>0</v>
      </c>
      <c r="P282" s="93">
        <f t="shared" si="91"/>
        <v>0</v>
      </c>
      <c r="Q282" s="93">
        <f t="shared" si="91"/>
        <v>0</v>
      </c>
      <c r="R282" s="93">
        <f t="shared" si="91"/>
        <v>0</v>
      </c>
      <c r="S282" s="93">
        <f t="shared" si="91"/>
        <v>0</v>
      </c>
      <c r="T282" s="93">
        <f t="shared" si="91"/>
        <v>0</v>
      </c>
      <c r="U282" s="93">
        <f t="shared" si="91"/>
        <v>0</v>
      </c>
      <c r="V282" s="93">
        <f t="shared" si="91"/>
        <v>0</v>
      </c>
      <c r="W282" s="93">
        <f t="shared" si="91"/>
        <v>0</v>
      </c>
      <c r="X282" s="93">
        <f t="shared" si="91"/>
        <v>0</v>
      </c>
      <c r="Y282" s="93">
        <f t="shared" si="91"/>
        <v>0</v>
      </c>
      <c r="Z282" s="93">
        <f t="shared" si="91"/>
        <v>0</v>
      </c>
      <c r="AA282" s="93">
        <f t="shared" si="91"/>
        <v>0</v>
      </c>
      <c r="AB282" s="93">
        <f t="shared" si="91"/>
        <v>0</v>
      </c>
      <c r="AC282" s="164">
        <f t="shared" si="91"/>
        <v>0</v>
      </c>
    </row>
    <row r="283" spans="2:29" s="1" customFormat="1" x14ac:dyDescent="0.2">
      <c r="B283" s="5"/>
      <c r="C283" s="157"/>
      <c r="D283" s="27"/>
      <c r="E283" s="27"/>
      <c r="H283" s="39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164"/>
    </row>
    <row r="284" spans="2:29" s="1" customFormat="1" x14ac:dyDescent="0.2">
      <c r="B284" s="5"/>
      <c r="C284" s="157"/>
      <c r="D284" s="27" t="s">
        <v>162</v>
      </c>
      <c r="E284" s="27"/>
      <c r="H284" s="39" t="s">
        <v>31</v>
      </c>
      <c r="I284" s="93">
        <f>+I229</f>
        <v>19327.107339272086</v>
      </c>
      <c r="J284" s="93">
        <f t="shared" ref="J284:AC284" si="92">+J229</f>
        <v>15448.282617520817</v>
      </c>
      <c r="K284" s="93">
        <f t="shared" si="92"/>
        <v>21321.883061640354</v>
      </c>
      <c r="L284" s="93">
        <f t="shared" si="92"/>
        <v>24209.991879513553</v>
      </c>
      <c r="M284" s="93">
        <f t="shared" si="92"/>
        <v>22304.564847757494</v>
      </c>
      <c r="N284" s="93">
        <f t="shared" si="92"/>
        <v>21797.831539560375</v>
      </c>
      <c r="O284" s="93">
        <f t="shared" si="92"/>
        <v>19638.536048557646</v>
      </c>
      <c r="P284" s="93">
        <f t="shared" si="92"/>
        <v>22074.084452198498</v>
      </c>
      <c r="Q284" s="93">
        <f t="shared" si="92"/>
        <v>29980.674062306683</v>
      </c>
      <c r="R284" s="93">
        <f t="shared" si="92"/>
        <v>31817.215298492305</v>
      </c>
      <c r="S284" s="93">
        <f t="shared" si="92"/>
        <v>21899.71880254268</v>
      </c>
      <c r="T284" s="93">
        <f t="shared" si="92"/>
        <v>20087.30734008109</v>
      </c>
      <c r="U284" s="93">
        <f t="shared" si="92"/>
        <v>18556.729225694162</v>
      </c>
      <c r="V284" s="93">
        <f t="shared" si="92"/>
        <v>16223.537501898727</v>
      </c>
      <c r="W284" s="93">
        <f t="shared" si="92"/>
        <v>20439.940741409086</v>
      </c>
      <c r="X284" s="93">
        <f t="shared" si="92"/>
        <v>16007.491120389035</v>
      </c>
      <c r="Y284" s="93">
        <f t="shared" si="92"/>
        <v>8264.8181010212938</v>
      </c>
      <c r="Z284" s="93">
        <f t="shared" si="92"/>
        <v>7491.8079711573428</v>
      </c>
      <c r="AA284" s="93">
        <f t="shared" si="92"/>
        <v>7442.3154837855036</v>
      </c>
      <c r="AB284" s="93">
        <f t="shared" si="92"/>
        <v>7922.1566996481033</v>
      </c>
      <c r="AC284" s="93">
        <f t="shared" si="92"/>
        <v>6002.0204813850232</v>
      </c>
    </row>
    <row r="285" spans="2:29" s="1" customFormat="1" x14ac:dyDescent="0.2">
      <c r="B285" s="5"/>
      <c r="C285" s="157"/>
      <c r="D285" s="27" t="s">
        <v>193</v>
      </c>
      <c r="E285" s="27"/>
      <c r="H285" s="39" t="s">
        <v>31</v>
      </c>
      <c r="I285" s="93">
        <f>-I102*I103/1000</f>
        <v>0</v>
      </c>
      <c r="J285" s="93">
        <f t="shared" ref="J285:AC285" si="93">-J102*J103/1000</f>
        <v>0</v>
      </c>
      <c r="K285" s="93">
        <f t="shared" si="93"/>
        <v>0</v>
      </c>
      <c r="L285" s="93">
        <f t="shared" si="93"/>
        <v>0</v>
      </c>
      <c r="M285" s="93">
        <f t="shared" si="93"/>
        <v>0</v>
      </c>
      <c r="N285" s="93">
        <f t="shared" si="93"/>
        <v>0</v>
      </c>
      <c r="O285" s="93">
        <f t="shared" si="93"/>
        <v>0</v>
      </c>
      <c r="P285" s="93">
        <f t="shared" si="93"/>
        <v>0</v>
      </c>
      <c r="Q285" s="93">
        <f t="shared" si="93"/>
        <v>0</v>
      </c>
      <c r="R285" s="93">
        <f t="shared" si="93"/>
        <v>0</v>
      </c>
      <c r="S285" s="93">
        <f t="shared" si="93"/>
        <v>0</v>
      </c>
      <c r="T285" s="93">
        <f t="shared" si="93"/>
        <v>0</v>
      </c>
      <c r="U285" s="93">
        <f t="shared" si="93"/>
        <v>0</v>
      </c>
      <c r="V285" s="93">
        <f t="shared" si="93"/>
        <v>0</v>
      </c>
      <c r="W285" s="93">
        <f t="shared" si="93"/>
        <v>0</v>
      </c>
      <c r="X285" s="93">
        <f t="shared" si="93"/>
        <v>0</v>
      </c>
      <c r="Y285" s="93">
        <f t="shared" si="93"/>
        <v>0</v>
      </c>
      <c r="Z285" s="93">
        <f t="shared" si="93"/>
        <v>0</v>
      </c>
      <c r="AA285" s="93">
        <f t="shared" si="93"/>
        <v>0</v>
      </c>
      <c r="AB285" s="93">
        <f t="shared" si="93"/>
        <v>0</v>
      </c>
      <c r="AC285" s="93">
        <f t="shared" si="93"/>
        <v>0</v>
      </c>
    </row>
    <row r="286" spans="2:29" s="1" customFormat="1" x14ac:dyDescent="0.2">
      <c r="B286" s="5"/>
      <c r="C286" s="157"/>
      <c r="D286" s="27" t="s">
        <v>194</v>
      </c>
      <c r="E286" s="27"/>
      <c r="H286" s="39" t="s">
        <v>31</v>
      </c>
      <c r="I286" s="93">
        <f>-I166*I167/1000</f>
        <v>0</v>
      </c>
      <c r="J286" s="93">
        <f t="shared" ref="J286:AC286" si="94">-J166*J167/1000</f>
        <v>0</v>
      </c>
      <c r="K286" s="93">
        <f t="shared" si="94"/>
        <v>0</v>
      </c>
      <c r="L286" s="93">
        <f t="shared" si="94"/>
        <v>0</v>
      </c>
      <c r="M286" s="93">
        <f t="shared" si="94"/>
        <v>0</v>
      </c>
      <c r="N286" s="93">
        <f t="shared" si="94"/>
        <v>0</v>
      </c>
      <c r="O286" s="93">
        <f t="shared" si="94"/>
        <v>0</v>
      </c>
      <c r="P286" s="93">
        <f t="shared" si="94"/>
        <v>0</v>
      </c>
      <c r="Q286" s="93">
        <f t="shared" si="94"/>
        <v>0</v>
      </c>
      <c r="R286" s="93">
        <f t="shared" si="94"/>
        <v>0</v>
      </c>
      <c r="S286" s="93">
        <f t="shared" si="94"/>
        <v>0</v>
      </c>
      <c r="T286" s="93">
        <f t="shared" si="94"/>
        <v>0</v>
      </c>
      <c r="U286" s="93">
        <f t="shared" si="94"/>
        <v>0</v>
      </c>
      <c r="V286" s="93">
        <f t="shared" si="94"/>
        <v>0</v>
      </c>
      <c r="W286" s="93">
        <f t="shared" si="94"/>
        <v>0</v>
      </c>
      <c r="X286" s="93">
        <f t="shared" si="94"/>
        <v>0</v>
      </c>
      <c r="Y286" s="93">
        <f t="shared" si="94"/>
        <v>0</v>
      </c>
      <c r="Z286" s="93">
        <f t="shared" si="94"/>
        <v>0</v>
      </c>
      <c r="AA286" s="93">
        <f t="shared" si="94"/>
        <v>0</v>
      </c>
      <c r="AB286" s="93">
        <f t="shared" si="94"/>
        <v>0</v>
      </c>
      <c r="AC286" s="93">
        <f t="shared" si="94"/>
        <v>0</v>
      </c>
    </row>
    <row r="287" spans="2:29" s="1" customFormat="1" x14ac:dyDescent="0.2">
      <c r="B287" s="5"/>
      <c r="C287" s="157"/>
      <c r="D287" s="27" t="s">
        <v>195</v>
      </c>
      <c r="E287" s="27"/>
      <c r="H287" s="39" t="s">
        <v>31</v>
      </c>
      <c r="I287" s="93">
        <f t="shared" ref="I287:AC287" si="95">+I102*1000*I89/1000000*IF(+I63&gt;0,I63,+I72)/1000</f>
        <v>0</v>
      </c>
      <c r="J287" s="93">
        <f t="shared" si="95"/>
        <v>0</v>
      </c>
      <c r="K287" s="93">
        <f t="shared" si="95"/>
        <v>0</v>
      </c>
      <c r="L287" s="93">
        <f t="shared" si="95"/>
        <v>0</v>
      </c>
      <c r="M287" s="93">
        <f t="shared" si="95"/>
        <v>0</v>
      </c>
      <c r="N287" s="93">
        <f t="shared" si="95"/>
        <v>0</v>
      </c>
      <c r="O287" s="93">
        <f t="shared" si="95"/>
        <v>0</v>
      </c>
      <c r="P287" s="93">
        <f t="shared" si="95"/>
        <v>0</v>
      </c>
      <c r="Q287" s="93">
        <f t="shared" si="95"/>
        <v>0</v>
      </c>
      <c r="R287" s="93">
        <f t="shared" si="95"/>
        <v>0</v>
      </c>
      <c r="S287" s="93">
        <f t="shared" si="95"/>
        <v>0</v>
      </c>
      <c r="T287" s="93">
        <f t="shared" si="95"/>
        <v>0</v>
      </c>
      <c r="U287" s="93">
        <f t="shared" si="95"/>
        <v>0</v>
      </c>
      <c r="V287" s="93">
        <f t="shared" si="95"/>
        <v>0</v>
      </c>
      <c r="W287" s="93">
        <f t="shared" si="95"/>
        <v>0</v>
      </c>
      <c r="X287" s="93">
        <f t="shared" si="95"/>
        <v>0</v>
      </c>
      <c r="Y287" s="93">
        <f t="shared" si="95"/>
        <v>0</v>
      </c>
      <c r="Z287" s="93">
        <f t="shared" si="95"/>
        <v>0</v>
      </c>
      <c r="AA287" s="93">
        <f t="shared" si="95"/>
        <v>0</v>
      </c>
      <c r="AB287" s="93">
        <f t="shared" si="95"/>
        <v>0</v>
      </c>
      <c r="AC287" s="93">
        <f t="shared" si="95"/>
        <v>0</v>
      </c>
    </row>
    <row r="288" spans="2:29" s="1" customFormat="1" x14ac:dyDescent="0.2">
      <c r="B288" s="5"/>
      <c r="C288" s="157"/>
      <c r="D288" s="27" t="s">
        <v>196</v>
      </c>
      <c r="E288" s="27"/>
      <c r="H288" s="39" t="s">
        <v>31</v>
      </c>
      <c r="I288" s="196">
        <f t="shared" ref="I288:AC288" si="96">I166*1000*I161/1000000*IF(+I64&gt;0,I64,+I77)/1000</f>
        <v>0</v>
      </c>
      <c r="J288" s="196">
        <f t="shared" si="96"/>
        <v>0</v>
      </c>
      <c r="K288" s="196">
        <f t="shared" si="96"/>
        <v>0</v>
      </c>
      <c r="L288" s="196">
        <f t="shared" si="96"/>
        <v>0</v>
      </c>
      <c r="M288" s="196">
        <f t="shared" si="96"/>
        <v>0</v>
      </c>
      <c r="N288" s="196">
        <f t="shared" si="96"/>
        <v>0</v>
      </c>
      <c r="O288" s="196">
        <f t="shared" si="96"/>
        <v>0</v>
      </c>
      <c r="P288" s="196">
        <f t="shared" si="96"/>
        <v>0</v>
      </c>
      <c r="Q288" s="196">
        <f t="shared" si="96"/>
        <v>0</v>
      </c>
      <c r="R288" s="196">
        <f t="shared" si="96"/>
        <v>0</v>
      </c>
      <c r="S288" s="196">
        <f t="shared" si="96"/>
        <v>0</v>
      </c>
      <c r="T288" s="196">
        <f t="shared" si="96"/>
        <v>0</v>
      </c>
      <c r="U288" s="196">
        <f t="shared" si="96"/>
        <v>0</v>
      </c>
      <c r="V288" s="196">
        <f t="shared" si="96"/>
        <v>0</v>
      </c>
      <c r="W288" s="196">
        <f t="shared" si="96"/>
        <v>0</v>
      </c>
      <c r="X288" s="196">
        <f t="shared" si="96"/>
        <v>0</v>
      </c>
      <c r="Y288" s="196">
        <f t="shared" si="96"/>
        <v>0</v>
      </c>
      <c r="Z288" s="196">
        <f t="shared" si="96"/>
        <v>0</v>
      </c>
      <c r="AA288" s="196">
        <f t="shared" si="96"/>
        <v>0</v>
      </c>
      <c r="AB288" s="196">
        <f t="shared" si="96"/>
        <v>0</v>
      </c>
      <c r="AC288" s="196">
        <f t="shared" si="96"/>
        <v>0</v>
      </c>
    </row>
    <row r="289" spans="1:29" s="1" customFormat="1" x14ac:dyDescent="0.2">
      <c r="B289" s="5"/>
      <c r="C289" s="157"/>
      <c r="D289" s="27" t="s">
        <v>192</v>
      </c>
      <c r="E289" s="27"/>
      <c r="H289" s="39" t="s">
        <v>31</v>
      </c>
      <c r="I289" s="233">
        <f>SUM(I284:I288)</f>
        <v>19327.107339272086</v>
      </c>
      <c r="J289" s="233">
        <f t="shared" ref="J289:AC289" si="97">SUM(J284:J288)</f>
        <v>15448.282617520817</v>
      </c>
      <c r="K289" s="233">
        <f t="shared" si="97"/>
        <v>21321.883061640354</v>
      </c>
      <c r="L289" s="233">
        <f t="shared" si="97"/>
        <v>24209.991879513553</v>
      </c>
      <c r="M289" s="233">
        <f t="shared" si="97"/>
        <v>22304.564847757494</v>
      </c>
      <c r="N289" s="233">
        <f t="shared" si="97"/>
        <v>21797.831539560375</v>
      </c>
      <c r="O289" s="233">
        <f t="shared" si="97"/>
        <v>19638.536048557646</v>
      </c>
      <c r="P289" s="233">
        <f t="shared" si="97"/>
        <v>22074.084452198498</v>
      </c>
      <c r="Q289" s="233">
        <f t="shared" si="97"/>
        <v>29980.674062306683</v>
      </c>
      <c r="R289" s="233">
        <f t="shared" si="97"/>
        <v>31817.215298492305</v>
      </c>
      <c r="S289" s="233">
        <f t="shared" si="97"/>
        <v>21899.71880254268</v>
      </c>
      <c r="T289" s="233">
        <f t="shared" si="97"/>
        <v>20087.30734008109</v>
      </c>
      <c r="U289" s="233">
        <f t="shared" si="97"/>
        <v>18556.729225694162</v>
      </c>
      <c r="V289" s="233">
        <f t="shared" si="97"/>
        <v>16223.537501898727</v>
      </c>
      <c r="W289" s="233">
        <f t="shared" si="97"/>
        <v>20439.940741409086</v>
      </c>
      <c r="X289" s="233">
        <f t="shared" si="97"/>
        <v>16007.491120389035</v>
      </c>
      <c r="Y289" s="233">
        <f t="shared" si="97"/>
        <v>8264.8181010212938</v>
      </c>
      <c r="Z289" s="233">
        <f t="shared" si="97"/>
        <v>7491.8079711573428</v>
      </c>
      <c r="AA289" s="233">
        <f t="shared" si="97"/>
        <v>7442.3154837855036</v>
      </c>
      <c r="AB289" s="233">
        <f t="shared" si="97"/>
        <v>7922.1566996481033</v>
      </c>
      <c r="AC289" s="233">
        <f t="shared" si="97"/>
        <v>6002.0204813850232</v>
      </c>
    </row>
    <row r="290" spans="1:29" s="1" customFormat="1" x14ac:dyDescent="0.2">
      <c r="B290" s="5"/>
      <c r="C290" s="157"/>
      <c r="D290" s="27"/>
      <c r="E290" s="27"/>
      <c r="H290" s="39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</row>
    <row r="291" spans="1:29" s="1" customFormat="1" x14ac:dyDescent="0.2">
      <c r="B291" s="5"/>
      <c r="C291" s="157"/>
      <c r="D291" s="27" t="s">
        <v>163</v>
      </c>
      <c r="E291" s="27"/>
      <c r="H291" s="39" t="s">
        <v>31</v>
      </c>
      <c r="I291" s="93">
        <f>+I275+I276+I279+I281</f>
        <v>0</v>
      </c>
      <c r="J291" s="93">
        <f t="shared" ref="J291:AC291" si="98">+J275+J276+J279+J281</f>
        <v>0</v>
      </c>
      <c r="K291" s="93">
        <f t="shared" si="98"/>
        <v>0</v>
      </c>
      <c r="L291" s="93">
        <f t="shared" si="98"/>
        <v>0</v>
      </c>
      <c r="M291" s="93">
        <f t="shared" si="98"/>
        <v>0</v>
      </c>
      <c r="N291" s="93">
        <f t="shared" si="98"/>
        <v>0</v>
      </c>
      <c r="O291" s="93">
        <f t="shared" si="98"/>
        <v>0</v>
      </c>
      <c r="P291" s="93">
        <f t="shared" si="98"/>
        <v>0</v>
      </c>
      <c r="Q291" s="93">
        <f t="shared" si="98"/>
        <v>0</v>
      </c>
      <c r="R291" s="93">
        <f t="shared" si="98"/>
        <v>0</v>
      </c>
      <c r="S291" s="93">
        <f t="shared" si="98"/>
        <v>0</v>
      </c>
      <c r="T291" s="93">
        <f t="shared" si="98"/>
        <v>0</v>
      </c>
      <c r="U291" s="93">
        <f t="shared" si="98"/>
        <v>0</v>
      </c>
      <c r="V291" s="93">
        <f t="shared" si="98"/>
        <v>0</v>
      </c>
      <c r="W291" s="93">
        <f t="shared" si="98"/>
        <v>0</v>
      </c>
      <c r="X291" s="93">
        <f t="shared" si="98"/>
        <v>0</v>
      </c>
      <c r="Y291" s="93">
        <f t="shared" si="98"/>
        <v>0</v>
      </c>
      <c r="Z291" s="93">
        <f t="shared" si="98"/>
        <v>0</v>
      </c>
      <c r="AA291" s="93">
        <f t="shared" si="98"/>
        <v>0</v>
      </c>
      <c r="AB291" s="93">
        <f t="shared" si="98"/>
        <v>0</v>
      </c>
      <c r="AC291" s="93">
        <f t="shared" si="98"/>
        <v>0</v>
      </c>
    </row>
    <row r="292" spans="1:29" s="1" customFormat="1" x14ac:dyDescent="0.2">
      <c r="B292" s="5"/>
      <c r="C292" s="157"/>
      <c r="D292" s="27"/>
      <c r="E292" s="27"/>
      <c r="H292" s="39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164"/>
    </row>
    <row r="293" spans="1:29" s="1" customFormat="1" x14ac:dyDescent="0.2">
      <c r="B293" s="5"/>
      <c r="C293" s="157"/>
      <c r="D293" s="27"/>
      <c r="E293" s="27"/>
      <c r="F293" s="414" t="s">
        <v>127</v>
      </c>
      <c r="G293" s="415"/>
      <c r="H293" s="229" t="s">
        <v>128</v>
      </c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159"/>
    </row>
    <row r="294" spans="1:29" s="1" customFormat="1" x14ac:dyDescent="0.2">
      <c r="B294" s="5"/>
      <c r="C294" s="157"/>
      <c r="D294" s="27" t="s">
        <v>129</v>
      </c>
      <c r="E294" s="27"/>
      <c r="F294" s="412">
        <f>MIN(I294:AC294)</f>
        <v>0</v>
      </c>
      <c r="G294" s="413"/>
      <c r="H294" s="230" t="e">
        <f>AVERAGE(I294:T294)</f>
        <v>#DIV/0!</v>
      </c>
      <c r="I294" s="176" t="str">
        <f>IF(+I291=0,"NA",IF((+I289-I298)&gt;0,(+I289-I298)/I291,"NA"))</f>
        <v>NA</v>
      </c>
      <c r="J294" s="176" t="str">
        <f t="shared" ref="J294:T294" si="99">IF(+J291=0,"NA",IF((+J289-J298)&gt;0,(+J289-J298)/J291,"NA"))</f>
        <v>NA</v>
      </c>
      <c r="K294" s="176" t="str">
        <f t="shared" si="99"/>
        <v>NA</v>
      </c>
      <c r="L294" s="176" t="str">
        <f t="shared" si="99"/>
        <v>NA</v>
      </c>
      <c r="M294" s="176" t="str">
        <f t="shared" si="99"/>
        <v>NA</v>
      </c>
      <c r="N294" s="176" t="str">
        <f t="shared" si="99"/>
        <v>NA</v>
      </c>
      <c r="O294" s="176" t="str">
        <f t="shared" si="99"/>
        <v>NA</v>
      </c>
      <c r="P294" s="176" t="str">
        <f t="shared" si="99"/>
        <v>NA</v>
      </c>
      <c r="Q294" s="176" t="str">
        <f t="shared" si="99"/>
        <v>NA</v>
      </c>
      <c r="R294" s="176" t="str">
        <f t="shared" si="99"/>
        <v>NA</v>
      </c>
      <c r="S294" s="176" t="str">
        <f t="shared" si="99"/>
        <v>NA</v>
      </c>
      <c r="T294" s="176" t="str">
        <f t="shared" si="99"/>
        <v>NA</v>
      </c>
      <c r="U294" s="166"/>
      <c r="V294" s="166"/>
      <c r="W294" s="166"/>
      <c r="X294" s="166"/>
      <c r="Y294" s="166"/>
      <c r="Z294" s="166"/>
      <c r="AA294" s="166"/>
      <c r="AB294" s="166"/>
      <c r="AC294" s="167"/>
    </row>
    <row r="295" spans="1:29" s="1" customFormat="1" x14ac:dyDescent="0.2">
      <c r="B295" s="5"/>
      <c r="C295" s="157"/>
      <c r="D295" s="27" t="s">
        <v>125</v>
      </c>
      <c r="E295" s="27"/>
      <c r="F295" s="417">
        <v>1.3</v>
      </c>
      <c r="G295" s="418"/>
      <c r="H295" s="231">
        <v>1.55</v>
      </c>
      <c r="I295" s="177">
        <v>1.3</v>
      </c>
      <c r="J295" s="177">
        <v>1.3</v>
      </c>
      <c r="K295" s="177">
        <v>1.4</v>
      </c>
      <c r="L295" s="177">
        <v>1.45</v>
      </c>
      <c r="M295" s="177">
        <v>1.5</v>
      </c>
      <c r="N295" s="177">
        <v>1.6</v>
      </c>
      <c r="O295" s="177">
        <v>1.65</v>
      </c>
      <c r="P295" s="177">
        <v>1.7</v>
      </c>
      <c r="Q295" s="177" t="s">
        <v>197</v>
      </c>
      <c r="R295" s="177" t="s">
        <v>198</v>
      </c>
      <c r="S295" s="177" t="s">
        <v>199</v>
      </c>
      <c r="T295" s="177" t="s">
        <v>200</v>
      </c>
      <c r="U295" s="39"/>
      <c r="V295" s="39"/>
      <c r="W295" s="39"/>
      <c r="X295" s="39"/>
      <c r="Y295" s="39"/>
      <c r="Z295" s="39"/>
      <c r="AA295" s="39"/>
      <c r="AB295" s="39"/>
      <c r="AC295" s="159"/>
    </row>
    <row r="296" spans="1:29" s="1" customFormat="1" x14ac:dyDescent="0.2">
      <c r="B296" s="5"/>
      <c r="C296" s="160"/>
      <c r="D296" s="29"/>
      <c r="E296" s="29"/>
      <c r="F296" s="416"/>
      <c r="G296" s="416"/>
      <c r="H296" s="169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44"/>
      <c r="V296" s="44"/>
      <c r="W296" s="44"/>
      <c r="X296" s="44"/>
      <c r="Y296" s="44"/>
      <c r="Z296" s="44"/>
      <c r="AA296" s="44"/>
      <c r="AB296" s="44"/>
      <c r="AC296" s="161"/>
    </row>
    <row r="297" spans="1:29" s="1" customFormat="1" x14ac:dyDescent="0.2">
      <c r="B297" s="5"/>
      <c r="D297" s="5"/>
      <c r="E297" s="5"/>
      <c r="F297" s="5"/>
      <c r="G297" s="5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s="1" customFormat="1" x14ac:dyDescent="0.2">
      <c r="B298" s="5" t="s">
        <v>130</v>
      </c>
      <c r="E298" s="5"/>
      <c r="F298" s="5"/>
      <c r="G298" s="5"/>
      <c r="H298" s="39" t="s">
        <v>31</v>
      </c>
      <c r="I298" s="184">
        <f>IF(+I278&gt;0,400+(+I278*0.0125),0)</f>
        <v>0</v>
      </c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s="1" customFormat="1" x14ac:dyDescent="0.2">
      <c r="B299" s="5" t="s">
        <v>69</v>
      </c>
      <c r="E299" s="5"/>
      <c r="F299" s="5"/>
      <c r="G299" s="5"/>
      <c r="H299" s="39" t="s">
        <v>31</v>
      </c>
      <c r="I299" s="165">
        <f>SUM(I275:I276)</f>
        <v>0</v>
      </c>
      <c r="J299" s="165">
        <f t="shared" ref="J299:AC299" si="100">SUM(J275:J276)</f>
        <v>0</v>
      </c>
      <c r="K299" s="165">
        <f t="shared" si="100"/>
        <v>0</v>
      </c>
      <c r="L299" s="165">
        <f t="shared" si="100"/>
        <v>0</v>
      </c>
      <c r="M299" s="165">
        <f t="shared" si="100"/>
        <v>0</v>
      </c>
      <c r="N299" s="165">
        <f t="shared" si="100"/>
        <v>0</v>
      </c>
      <c r="O299" s="165">
        <f t="shared" si="100"/>
        <v>0</v>
      </c>
      <c r="P299" s="165">
        <f t="shared" si="100"/>
        <v>0</v>
      </c>
      <c r="Q299" s="165">
        <f t="shared" si="100"/>
        <v>0</v>
      </c>
      <c r="R299" s="165">
        <f t="shared" si="100"/>
        <v>0</v>
      </c>
      <c r="S299" s="165">
        <f t="shared" si="100"/>
        <v>0</v>
      </c>
      <c r="T299" s="165">
        <f t="shared" si="100"/>
        <v>0</v>
      </c>
      <c r="U299" s="165">
        <f t="shared" si="100"/>
        <v>0</v>
      </c>
      <c r="V299" s="165">
        <f t="shared" si="100"/>
        <v>0</v>
      </c>
      <c r="W299" s="165">
        <f t="shared" si="100"/>
        <v>0</v>
      </c>
      <c r="X299" s="165">
        <f t="shared" si="100"/>
        <v>0</v>
      </c>
      <c r="Y299" s="165">
        <f t="shared" si="100"/>
        <v>0</v>
      </c>
      <c r="Z299" s="165">
        <f t="shared" si="100"/>
        <v>0</v>
      </c>
      <c r="AA299" s="165">
        <f t="shared" si="100"/>
        <v>0</v>
      </c>
      <c r="AB299" s="165">
        <f t="shared" si="100"/>
        <v>0</v>
      </c>
      <c r="AC299" s="165">
        <f t="shared" si="100"/>
        <v>0</v>
      </c>
    </row>
    <row r="300" spans="1:29" s="1" customFormat="1" x14ac:dyDescent="0.2">
      <c r="B300" s="5" t="s">
        <v>70</v>
      </c>
      <c r="E300" s="5"/>
      <c r="F300" s="5"/>
      <c r="G300" s="5"/>
      <c r="H300" s="39" t="s">
        <v>31</v>
      </c>
      <c r="I300" s="219">
        <f>I279+I281</f>
        <v>0</v>
      </c>
      <c r="J300" s="219">
        <f t="shared" ref="J300:AC300" si="101">J279+J281</f>
        <v>0</v>
      </c>
      <c r="K300" s="219">
        <f t="shared" si="101"/>
        <v>0</v>
      </c>
      <c r="L300" s="219">
        <f t="shared" si="101"/>
        <v>0</v>
      </c>
      <c r="M300" s="219">
        <f t="shared" si="101"/>
        <v>0</v>
      </c>
      <c r="N300" s="219">
        <f t="shared" si="101"/>
        <v>0</v>
      </c>
      <c r="O300" s="219">
        <f t="shared" si="101"/>
        <v>0</v>
      </c>
      <c r="P300" s="219">
        <f t="shared" si="101"/>
        <v>0</v>
      </c>
      <c r="Q300" s="219">
        <f t="shared" si="101"/>
        <v>0</v>
      </c>
      <c r="R300" s="219">
        <f t="shared" si="101"/>
        <v>0</v>
      </c>
      <c r="S300" s="219">
        <f t="shared" si="101"/>
        <v>0</v>
      </c>
      <c r="T300" s="219">
        <f t="shared" si="101"/>
        <v>0</v>
      </c>
      <c r="U300" s="219">
        <f t="shared" si="101"/>
        <v>0</v>
      </c>
      <c r="V300" s="219">
        <f t="shared" si="101"/>
        <v>0</v>
      </c>
      <c r="W300" s="219">
        <f t="shared" si="101"/>
        <v>0</v>
      </c>
      <c r="X300" s="219">
        <f t="shared" si="101"/>
        <v>0</v>
      </c>
      <c r="Y300" s="219">
        <f t="shared" si="101"/>
        <v>0</v>
      </c>
      <c r="Z300" s="219">
        <f t="shared" si="101"/>
        <v>0</v>
      </c>
      <c r="AA300" s="219">
        <f t="shared" si="101"/>
        <v>0</v>
      </c>
      <c r="AB300" s="219">
        <f t="shared" si="101"/>
        <v>0</v>
      </c>
      <c r="AC300" s="219">
        <f t="shared" si="101"/>
        <v>0</v>
      </c>
    </row>
    <row r="301" spans="1:29" s="1" customFormat="1" x14ac:dyDescent="0.2">
      <c r="B301" s="5" t="s">
        <v>151</v>
      </c>
      <c r="H301" s="27"/>
      <c r="I301" s="178">
        <f>SUM(I298:I300)</f>
        <v>0</v>
      </c>
      <c r="J301" s="178">
        <f t="shared" ref="J301:AC301" si="102">SUM(J298:J300)</f>
        <v>0</v>
      </c>
      <c r="K301" s="178">
        <f t="shared" si="102"/>
        <v>0</v>
      </c>
      <c r="L301" s="178">
        <f t="shared" si="102"/>
        <v>0</v>
      </c>
      <c r="M301" s="178">
        <f t="shared" si="102"/>
        <v>0</v>
      </c>
      <c r="N301" s="178">
        <f t="shared" si="102"/>
        <v>0</v>
      </c>
      <c r="O301" s="178">
        <f t="shared" si="102"/>
        <v>0</v>
      </c>
      <c r="P301" s="178">
        <f t="shared" si="102"/>
        <v>0</v>
      </c>
      <c r="Q301" s="178">
        <f t="shared" si="102"/>
        <v>0</v>
      </c>
      <c r="R301" s="178">
        <f t="shared" si="102"/>
        <v>0</v>
      </c>
      <c r="S301" s="178">
        <f t="shared" si="102"/>
        <v>0</v>
      </c>
      <c r="T301" s="178">
        <f t="shared" si="102"/>
        <v>0</v>
      </c>
      <c r="U301" s="178">
        <f t="shared" si="102"/>
        <v>0</v>
      </c>
      <c r="V301" s="178">
        <f t="shared" si="102"/>
        <v>0</v>
      </c>
      <c r="W301" s="178">
        <f t="shared" si="102"/>
        <v>0</v>
      </c>
      <c r="X301" s="178">
        <f t="shared" si="102"/>
        <v>0</v>
      </c>
      <c r="Y301" s="178">
        <f t="shared" si="102"/>
        <v>0</v>
      </c>
      <c r="Z301" s="178">
        <f t="shared" si="102"/>
        <v>0</v>
      </c>
      <c r="AA301" s="178">
        <f t="shared" si="102"/>
        <v>0</v>
      </c>
      <c r="AB301" s="178">
        <f t="shared" si="102"/>
        <v>0</v>
      </c>
      <c r="AC301" s="178">
        <f t="shared" si="102"/>
        <v>0</v>
      </c>
    </row>
    <row r="302" spans="1:29" s="1" customFormat="1" x14ac:dyDescent="0.2">
      <c r="B302" s="5"/>
      <c r="H302" s="27"/>
      <c r="I302" s="178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8"/>
      <c r="V302" s="178"/>
      <c r="W302" s="178"/>
      <c r="X302" s="178"/>
      <c r="Y302" s="178"/>
      <c r="Z302" s="178"/>
      <c r="AA302" s="178"/>
      <c r="AB302" s="178"/>
      <c r="AC302" s="178"/>
    </row>
    <row r="303" spans="1:29" s="1" customFormat="1" x14ac:dyDescent="0.2">
      <c r="A303" s="13" t="s">
        <v>72</v>
      </c>
      <c r="B303" s="5"/>
      <c r="C303" s="5"/>
      <c r="D303" s="5"/>
      <c r="E303" s="5"/>
      <c r="F303" s="5"/>
      <c r="G303" s="5"/>
      <c r="H303" s="12"/>
    </row>
    <row r="304" spans="1:29" s="1" customFormat="1" x14ac:dyDescent="0.2">
      <c r="A304" s="13"/>
      <c r="B304" s="5"/>
      <c r="C304" s="5"/>
      <c r="D304" s="5"/>
      <c r="E304" s="5"/>
      <c r="F304" s="411" t="s">
        <v>169</v>
      </c>
      <c r="G304" s="411"/>
      <c r="H304" s="12"/>
    </row>
    <row r="305" spans="1:29" s="1" customFormat="1" x14ac:dyDescent="0.2">
      <c r="A305" s="5"/>
      <c r="B305" s="5" t="str">
        <f>+B250</f>
        <v>Project Debt</v>
      </c>
      <c r="C305" s="5"/>
      <c r="D305" s="5"/>
      <c r="E305" s="5"/>
      <c r="F305" s="352">
        <f>+$K$9</f>
        <v>0.5</v>
      </c>
      <c r="G305" s="353"/>
      <c r="H305" s="39" t="s">
        <v>31</v>
      </c>
      <c r="I305" s="7">
        <f>+N313-I252</f>
        <v>398720</v>
      </c>
      <c r="J305" s="7">
        <f t="shared" ref="J305:AC305" si="103">+I305-J252</f>
        <v>376032</v>
      </c>
      <c r="K305" s="7">
        <f t="shared" si="103"/>
        <v>352214</v>
      </c>
      <c r="L305" s="7">
        <f t="shared" si="103"/>
        <v>323650</v>
      </c>
      <c r="M305" s="7">
        <f t="shared" si="103"/>
        <v>278301</v>
      </c>
      <c r="N305" s="7">
        <f t="shared" si="103"/>
        <v>225660</v>
      </c>
      <c r="O305" s="7">
        <f t="shared" si="103"/>
        <v>171639</v>
      </c>
      <c r="P305" s="7">
        <f t="shared" si="103"/>
        <v>119838</v>
      </c>
      <c r="Q305" s="7">
        <f t="shared" si="103"/>
        <v>65222</v>
      </c>
      <c r="R305" s="7">
        <f t="shared" si="103"/>
        <v>0</v>
      </c>
      <c r="S305" s="7">
        <f t="shared" si="103"/>
        <v>0</v>
      </c>
      <c r="T305" s="7">
        <f t="shared" si="103"/>
        <v>0</v>
      </c>
      <c r="U305" s="7">
        <f t="shared" si="103"/>
        <v>0</v>
      </c>
      <c r="V305" s="7">
        <f t="shared" si="103"/>
        <v>0</v>
      </c>
      <c r="W305" s="7">
        <f t="shared" si="103"/>
        <v>0</v>
      </c>
      <c r="X305" s="7">
        <f t="shared" si="103"/>
        <v>0</v>
      </c>
      <c r="Y305" s="7">
        <f t="shared" si="103"/>
        <v>0</v>
      </c>
      <c r="Z305" s="7">
        <f t="shared" si="103"/>
        <v>0</v>
      </c>
      <c r="AA305" s="7">
        <f t="shared" si="103"/>
        <v>0</v>
      </c>
      <c r="AB305" s="7">
        <f t="shared" si="103"/>
        <v>0</v>
      </c>
      <c r="AC305" s="7">
        <f t="shared" si="103"/>
        <v>0</v>
      </c>
    </row>
    <row r="306" spans="1:29" s="1" customFormat="1" x14ac:dyDescent="0.2">
      <c r="A306" s="5"/>
      <c r="B306" s="5" t="str">
        <f>+B255</f>
        <v>NEEALP Debt (Existing Corporate)</v>
      </c>
      <c r="C306" s="5"/>
      <c r="D306" s="5"/>
      <c r="E306" s="5"/>
      <c r="F306" s="352">
        <f>+$K$9</f>
        <v>0.5</v>
      </c>
      <c r="G306" s="353"/>
      <c r="H306" s="39" t="s">
        <v>31</v>
      </c>
      <c r="I306" s="59">
        <f>+N314-I267</f>
        <v>220000</v>
      </c>
      <c r="J306" s="59">
        <f t="shared" ref="J306:AC306" si="104">+I306-J267</f>
        <v>211200</v>
      </c>
      <c r="K306" s="59">
        <f t="shared" si="104"/>
        <v>202400</v>
      </c>
      <c r="L306" s="59">
        <f t="shared" si="104"/>
        <v>193600</v>
      </c>
      <c r="M306" s="59">
        <f t="shared" si="104"/>
        <v>184800</v>
      </c>
      <c r="N306" s="59">
        <f t="shared" si="104"/>
        <v>171600</v>
      </c>
      <c r="O306" s="59">
        <f t="shared" si="104"/>
        <v>149600</v>
      </c>
      <c r="P306" s="59">
        <f t="shared" si="104"/>
        <v>127600</v>
      </c>
      <c r="Q306" s="59">
        <f t="shared" si="104"/>
        <v>101200</v>
      </c>
      <c r="R306" s="59">
        <f t="shared" si="104"/>
        <v>66000</v>
      </c>
      <c r="S306" s="59">
        <f t="shared" si="104"/>
        <v>0</v>
      </c>
      <c r="T306" s="59">
        <f t="shared" si="104"/>
        <v>0</v>
      </c>
      <c r="U306" s="59">
        <f t="shared" si="104"/>
        <v>0</v>
      </c>
      <c r="V306" s="59">
        <f t="shared" si="104"/>
        <v>0</v>
      </c>
      <c r="W306" s="59">
        <f t="shared" si="104"/>
        <v>0</v>
      </c>
      <c r="X306" s="59">
        <f t="shared" si="104"/>
        <v>0</v>
      </c>
      <c r="Y306" s="59">
        <f t="shared" si="104"/>
        <v>0</v>
      </c>
      <c r="Z306" s="59">
        <f t="shared" si="104"/>
        <v>0</v>
      </c>
      <c r="AA306" s="59">
        <f t="shared" si="104"/>
        <v>0</v>
      </c>
      <c r="AB306" s="59">
        <f t="shared" si="104"/>
        <v>0</v>
      </c>
      <c r="AC306" s="59">
        <f t="shared" si="104"/>
        <v>0</v>
      </c>
    </row>
    <row r="307" spans="1:29" s="1" customFormat="1" x14ac:dyDescent="0.2">
      <c r="A307" s="5"/>
      <c r="B307" s="5" t="str">
        <f>+B270</f>
        <v>Acquiring Co. Debt (New)</v>
      </c>
      <c r="C307" s="5"/>
      <c r="D307" s="5"/>
      <c r="E307" s="5"/>
      <c r="F307" s="352">
        <v>1</v>
      </c>
      <c r="G307" s="353"/>
      <c r="H307" s="39" t="s">
        <v>31</v>
      </c>
      <c r="I307" s="20">
        <f t="shared" ref="I307:AC307" si="105">+I282</f>
        <v>0</v>
      </c>
      <c r="J307" s="20">
        <f t="shared" si="105"/>
        <v>0</v>
      </c>
      <c r="K307" s="20">
        <f t="shared" si="105"/>
        <v>0</v>
      </c>
      <c r="L307" s="20">
        <f t="shared" si="105"/>
        <v>0</v>
      </c>
      <c r="M307" s="20">
        <f t="shared" si="105"/>
        <v>0</v>
      </c>
      <c r="N307" s="20">
        <f t="shared" si="105"/>
        <v>0</v>
      </c>
      <c r="O307" s="20">
        <f t="shared" si="105"/>
        <v>0</v>
      </c>
      <c r="P307" s="20">
        <f t="shared" si="105"/>
        <v>0</v>
      </c>
      <c r="Q307" s="20">
        <f t="shared" si="105"/>
        <v>0</v>
      </c>
      <c r="R307" s="20">
        <f t="shared" si="105"/>
        <v>0</v>
      </c>
      <c r="S307" s="20">
        <f t="shared" si="105"/>
        <v>0</v>
      </c>
      <c r="T307" s="20">
        <f t="shared" si="105"/>
        <v>0</v>
      </c>
      <c r="U307" s="20">
        <f t="shared" si="105"/>
        <v>0</v>
      </c>
      <c r="V307" s="20">
        <f t="shared" si="105"/>
        <v>0</v>
      </c>
      <c r="W307" s="20">
        <f t="shared" si="105"/>
        <v>0</v>
      </c>
      <c r="X307" s="20">
        <f t="shared" si="105"/>
        <v>0</v>
      </c>
      <c r="Y307" s="20">
        <f t="shared" si="105"/>
        <v>0</v>
      </c>
      <c r="Z307" s="20">
        <f t="shared" si="105"/>
        <v>0</v>
      </c>
      <c r="AA307" s="20">
        <f t="shared" si="105"/>
        <v>0</v>
      </c>
      <c r="AB307" s="20">
        <f t="shared" si="105"/>
        <v>0</v>
      </c>
      <c r="AC307" s="20">
        <f t="shared" si="105"/>
        <v>0</v>
      </c>
    </row>
    <row r="308" spans="1:29" s="1" customFormat="1" x14ac:dyDescent="0.2">
      <c r="A308" s="5"/>
      <c r="B308" s="5" t="s">
        <v>3</v>
      </c>
      <c r="C308" s="5"/>
      <c r="D308" s="5"/>
      <c r="E308" s="5"/>
      <c r="F308" s="5"/>
      <c r="G308" s="5"/>
      <c r="H308" s="39" t="s">
        <v>31</v>
      </c>
      <c r="I308" s="59">
        <f t="shared" ref="I308:AC308" si="106">SUM(I305:I307)</f>
        <v>618720</v>
      </c>
      <c r="J308" s="59">
        <f t="shared" si="106"/>
        <v>587232</v>
      </c>
      <c r="K308" s="59">
        <f t="shared" si="106"/>
        <v>554614</v>
      </c>
      <c r="L308" s="59">
        <f t="shared" si="106"/>
        <v>517250</v>
      </c>
      <c r="M308" s="59">
        <f t="shared" si="106"/>
        <v>463101</v>
      </c>
      <c r="N308" s="59">
        <f t="shared" si="106"/>
        <v>397260</v>
      </c>
      <c r="O308" s="59">
        <f t="shared" si="106"/>
        <v>321239</v>
      </c>
      <c r="P308" s="59">
        <f t="shared" si="106"/>
        <v>247438</v>
      </c>
      <c r="Q308" s="59">
        <f t="shared" si="106"/>
        <v>166422</v>
      </c>
      <c r="R308" s="59">
        <f t="shared" si="106"/>
        <v>66000</v>
      </c>
      <c r="S308" s="59">
        <f t="shared" si="106"/>
        <v>0</v>
      </c>
      <c r="T308" s="59">
        <f t="shared" si="106"/>
        <v>0</v>
      </c>
      <c r="U308" s="59">
        <f t="shared" si="106"/>
        <v>0</v>
      </c>
      <c r="V308" s="59">
        <f t="shared" si="106"/>
        <v>0</v>
      </c>
      <c r="W308" s="59">
        <f t="shared" si="106"/>
        <v>0</v>
      </c>
      <c r="X308" s="59">
        <f t="shared" si="106"/>
        <v>0</v>
      </c>
      <c r="Y308" s="59">
        <f t="shared" si="106"/>
        <v>0</v>
      </c>
      <c r="Z308" s="59">
        <f t="shared" si="106"/>
        <v>0</v>
      </c>
      <c r="AA308" s="59">
        <f t="shared" si="106"/>
        <v>0</v>
      </c>
      <c r="AB308" s="59">
        <f t="shared" si="106"/>
        <v>0</v>
      </c>
      <c r="AC308" s="59">
        <f t="shared" si="106"/>
        <v>0</v>
      </c>
    </row>
    <row r="309" spans="1:29" s="1" customFormat="1" x14ac:dyDescent="0.2">
      <c r="A309" s="5"/>
      <c r="B309" s="5"/>
      <c r="C309" s="5"/>
      <c r="D309" s="5"/>
      <c r="E309" s="5"/>
      <c r="F309" s="5"/>
      <c r="G309" s="5"/>
      <c r="H309" s="3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spans="1:29" s="1" customFormat="1" x14ac:dyDescent="0.2">
      <c r="A310" s="5"/>
      <c r="B310" s="5" t="s">
        <v>165</v>
      </c>
      <c r="D310" s="5"/>
      <c r="E310" s="5"/>
      <c r="F310" s="352">
        <f>SUM(I310:AC310)/SUM(I308:AC308)</f>
        <v>0.5</v>
      </c>
      <c r="G310" s="353"/>
      <c r="H310" s="39" t="s">
        <v>31</v>
      </c>
      <c r="I310" s="87">
        <f t="shared" ref="I310:AC310" si="107">(I305*$F$305)+(I306*$F$306)+(I307*$F$307)</f>
        <v>309360</v>
      </c>
      <c r="J310" s="87">
        <f t="shared" si="107"/>
        <v>293616</v>
      </c>
      <c r="K310" s="87">
        <f t="shared" si="107"/>
        <v>277307</v>
      </c>
      <c r="L310" s="87">
        <f t="shared" si="107"/>
        <v>258625</v>
      </c>
      <c r="M310" s="87">
        <f t="shared" si="107"/>
        <v>231550.5</v>
      </c>
      <c r="N310" s="87">
        <f t="shared" si="107"/>
        <v>198630</v>
      </c>
      <c r="O310" s="87">
        <f t="shared" si="107"/>
        <v>160619.5</v>
      </c>
      <c r="P310" s="87">
        <f t="shared" si="107"/>
        <v>123719</v>
      </c>
      <c r="Q310" s="87">
        <f t="shared" si="107"/>
        <v>83211</v>
      </c>
      <c r="R310" s="87">
        <f t="shared" si="107"/>
        <v>33000</v>
      </c>
      <c r="S310" s="87">
        <f t="shared" si="107"/>
        <v>0</v>
      </c>
      <c r="T310" s="87">
        <f t="shared" si="107"/>
        <v>0</v>
      </c>
      <c r="U310" s="87">
        <f t="shared" si="107"/>
        <v>0</v>
      </c>
      <c r="V310" s="87">
        <f t="shared" si="107"/>
        <v>0</v>
      </c>
      <c r="W310" s="87">
        <f t="shared" si="107"/>
        <v>0</v>
      </c>
      <c r="X310" s="87">
        <f t="shared" si="107"/>
        <v>0</v>
      </c>
      <c r="Y310" s="87">
        <f t="shared" si="107"/>
        <v>0</v>
      </c>
      <c r="Z310" s="87">
        <f t="shared" si="107"/>
        <v>0</v>
      </c>
      <c r="AA310" s="87">
        <f t="shared" si="107"/>
        <v>0</v>
      </c>
      <c r="AB310" s="87">
        <f t="shared" si="107"/>
        <v>0</v>
      </c>
      <c r="AC310" s="87">
        <f t="shared" si="107"/>
        <v>0</v>
      </c>
    </row>
    <row r="311" spans="1:29" s="1" customFormat="1" x14ac:dyDescent="0.2">
      <c r="A311" s="5"/>
      <c r="B311" s="5"/>
      <c r="C311" s="5"/>
      <c r="D311" s="5"/>
      <c r="E311" s="5"/>
      <c r="F311" s="5"/>
      <c r="G311" s="5"/>
      <c r="H311" s="12"/>
    </row>
    <row r="312" spans="1:29" s="1" customFormat="1" x14ac:dyDescent="0.2">
      <c r="I312" s="84" t="s">
        <v>294</v>
      </c>
      <c r="J312" s="122"/>
      <c r="K312" s="123"/>
      <c r="L312" s="124">
        <v>36525</v>
      </c>
      <c r="M312" s="125" t="s">
        <v>33</v>
      </c>
      <c r="N312" s="126">
        <f>+L312+366</f>
        <v>36891</v>
      </c>
    </row>
    <row r="313" spans="1:29" s="1" customFormat="1" x14ac:dyDescent="0.2">
      <c r="I313" s="38" t="s">
        <v>30</v>
      </c>
      <c r="J313" s="27"/>
      <c r="K313" s="39" t="s">
        <v>31</v>
      </c>
      <c r="L313" s="40">
        <v>418880</v>
      </c>
      <c r="M313" s="40">
        <v>0</v>
      </c>
      <c r="N313" s="41">
        <f>+L313-M313</f>
        <v>418880</v>
      </c>
    </row>
    <row r="314" spans="1:29" s="1" customFormat="1" x14ac:dyDescent="0.2">
      <c r="I314" s="38" t="s">
        <v>138</v>
      </c>
      <c r="J314" s="27"/>
      <c r="K314" s="39" t="s">
        <v>31</v>
      </c>
      <c r="L314" s="33">
        <v>220000</v>
      </c>
      <c r="M314" s="33">
        <v>0</v>
      </c>
      <c r="N314" s="42">
        <f>+L314-M314</f>
        <v>220000</v>
      </c>
    </row>
    <row r="315" spans="1:29" s="1" customFormat="1" x14ac:dyDescent="0.2">
      <c r="I315" s="43" t="s">
        <v>3</v>
      </c>
      <c r="J315" s="29"/>
      <c r="K315" s="44" t="s">
        <v>31</v>
      </c>
      <c r="L315" s="34">
        <f>SUM(L313:L314)</f>
        <v>638880</v>
      </c>
      <c r="M315" s="34"/>
      <c r="N315" s="42">
        <f>SUM(N313:N314)</f>
        <v>638880</v>
      </c>
    </row>
    <row r="316" spans="1:29" s="1" customFormat="1" x14ac:dyDescent="0.2">
      <c r="A316" s="5"/>
      <c r="B316" s="13"/>
      <c r="C316" s="5"/>
      <c r="D316" s="5"/>
      <c r="E316" s="5"/>
      <c r="F316" s="5"/>
      <c r="G316" s="5"/>
      <c r="H316" s="3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s="1" customFormat="1" ht="18" x14ac:dyDescent="0.25">
      <c r="A317" s="94" t="s">
        <v>186</v>
      </c>
      <c r="B317" s="5"/>
      <c r="C317" s="5"/>
      <c r="D317" s="5"/>
      <c r="E317" s="5"/>
      <c r="F317" s="5"/>
      <c r="G317" s="5"/>
      <c r="H317" s="12"/>
    </row>
    <row r="318" spans="1:29" s="1" customFormat="1" x14ac:dyDescent="0.2">
      <c r="A318" s="5"/>
      <c r="B318" s="5"/>
      <c r="C318" s="5"/>
      <c r="D318" s="5"/>
      <c r="E318" s="5"/>
      <c r="F318" s="5"/>
      <c r="G318" s="5"/>
      <c r="H318" s="12"/>
    </row>
    <row r="319" spans="1:29" s="1" customFormat="1" x14ac:dyDescent="0.2">
      <c r="A319" s="13" t="s">
        <v>75</v>
      </c>
      <c r="B319" s="5"/>
      <c r="C319" s="5"/>
      <c r="D319" s="5"/>
      <c r="E319" s="5"/>
      <c r="F319" s="5"/>
      <c r="G319" s="5"/>
      <c r="H319" s="12"/>
    </row>
    <row r="320" spans="1:29" s="1" customFormat="1" x14ac:dyDescent="0.2">
      <c r="A320" s="5"/>
      <c r="B320" s="5"/>
      <c r="C320" s="5"/>
      <c r="D320" s="5"/>
      <c r="E320" s="5"/>
      <c r="F320" s="5"/>
      <c r="G320" s="5"/>
      <c r="H320" s="12"/>
    </row>
    <row r="321" spans="1:29" s="1" customFormat="1" x14ac:dyDescent="0.2">
      <c r="A321" s="5"/>
      <c r="B321" s="13" t="s">
        <v>73</v>
      </c>
      <c r="C321" s="5"/>
      <c r="D321" s="5"/>
      <c r="E321" s="5"/>
      <c r="F321" s="5"/>
      <c r="G321" s="5"/>
      <c r="H321" s="12"/>
    </row>
    <row r="322" spans="1:29" s="1" customFormat="1" x14ac:dyDescent="0.2">
      <c r="A322" s="5"/>
      <c r="B322" s="5" t="s">
        <v>2</v>
      </c>
      <c r="C322" s="5"/>
      <c r="E322" s="5"/>
      <c r="F322" s="5"/>
      <c r="G322" s="5"/>
      <c r="H322" s="12" t="s">
        <v>31</v>
      </c>
      <c r="I322" s="7">
        <f>+I134-I132</f>
        <v>166870.85215034769</v>
      </c>
      <c r="J322" s="7">
        <f t="shared" ref="J322:AC322" si="108">+J134-J132</f>
        <v>160969.33176591384</v>
      </c>
      <c r="K322" s="7">
        <f t="shared" si="108"/>
        <v>180871.10856513586</v>
      </c>
      <c r="L322" s="7">
        <f t="shared" si="108"/>
        <v>182161.54376878991</v>
      </c>
      <c r="M322" s="7">
        <f t="shared" si="108"/>
        <v>194768.02054410029</v>
      </c>
      <c r="N322" s="7">
        <f t="shared" si="108"/>
        <v>204016.77345548983</v>
      </c>
      <c r="O322" s="7">
        <f t="shared" si="108"/>
        <v>211402.76207382718</v>
      </c>
      <c r="P322" s="7">
        <f t="shared" si="108"/>
        <v>205254.74753515373</v>
      </c>
      <c r="Q322" s="7">
        <f t="shared" si="108"/>
        <v>231987.04161622067</v>
      </c>
      <c r="R322" s="7">
        <f t="shared" si="108"/>
        <v>235073.19047839905</v>
      </c>
      <c r="S322" s="7">
        <f t="shared" si="108"/>
        <v>216462.2613844818</v>
      </c>
      <c r="T322" s="7">
        <f t="shared" si="108"/>
        <v>137364.08743113483</v>
      </c>
      <c r="U322" s="7">
        <f t="shared" si="108"/>
        <v>139773.80732556045</v>
      </c>
      <c r="V322" s="7">
        <f t="shared" si="108"/>
        <v>133771.70830478991</v>
      </c>
      <c r="W322" s="7">
        <f t="shared" si="108"/>
        <v>147400.18487388885</v>
      </c>
      <c r="X322" s="7">
        <f t="shared" si="108"/>
        <v>114301.11787110729</v>
      </c>
      <c r="Y322" s="7">
        <f t="shared" si="108"/>
        <v>28171.55158436318</v>
      </c>
      <c r="Z322" s="7">
        <f t="shared" si="108"/>
        <v>28681.672431527113</v>
      </c>
      <c r="AA322" s="7">
        <f t="shared" si="108"/>
        <v>29217.050600757793</v>
      </c>
      <c r="AB322" s="7">
        <f t="shared" si="108"/>
        <v>29778.771290430617</v>
      </c>
      <c r="AC322" s="7">
        <f t="shared" si="108"/>
        <v>27500.520152594028</v>
      </c>
    </row>
    <row r="323" spans="1:29" s="1" customFormat="1" x14ac:dyDescent="0.2">
      <c r="A323" s="5"/>
      <c r="B323" s="5" t="s">
        <v>53</v>
      </c>
      <c r="C323" s="5"/>
      <c r="E323" s="5"/>
      <c r="F323" s="5"/>
      <c r="G323" s="5"/>
      <c r="H323" s="12" t="s">
        <v>31</v>
      </c>
      <c r="I323" s="7">
        <f t="shared" ref="I323:AC323" si="109">+I186</f>
        <v>149149.79999999999</v>
      </c>
      <c r="J323" s="7">
        <f t="shared" si="109"/>
        <v>147798</v>
      </c>
      <c r="K323" s="7">
        <f t="shared" si="109"/>
        <v>145174.79999999999</v>
      </c>
      <c r="L323" s="7">
        <f t="shared" si="109"/>
        <v>158042.20000000001</v>
      </c>
      <c r="M323" s="7">
        <f t="shared" si="109"/>
        <v>159996</v>
      </c>
      <c r="N323" s="7">
        <f t="shared" si="109"/>
        <v>162810</v>
      </c>
      <c r="O323" s="7">
        <f t="shared" si="109"/>
        <v>166732.5</v>
      </c>
      <c r="P323" s="7">
        <f t="shared" si="109"/>
        <v>164611</v>
      </c>
      <c r="Q323" s="7">
        <f t="shared" si="109"/>
        <v>161035.79999999999</v>
      </c>
      <c r="R323" s="7">
        <f t="shared" si="109"/>
        <v>175624.9</v>
      </c>
      <c r="S323" s="7">
        <f t="shared" si="109"/>
        <v>113575.2</v>
      </c>
      <c r="T323" s="7">
        <f t="shared" si="109"/>
        <v>0</v>
      </c>
      <c r="U323" s="7">
        <f t="shared" si="109"/>
        <v>0</v>
      </c>
      <c r="V323" s="7">
        <f t="shared" si="109"/>
        <v>0</v>
      </c>
      <c r="W323" s="7">
        <f t="shared" si="109"/>
        <v>0</v>
      </c>
      <c r="X323" s="7">
        <f t="shared" si="109"/>
        <v>0</v>
      </c>
      <c r="Y323" s="7">
        <f t="shared" si="109"/>
        <v>0</v>
      </c>
      <c r="Z323" s="7">
        <f t="shared" si="109"/>
        <v>0</v>
      </c>
      <c r="AA323" s="7">
        <f t="shared" si="109"/>
        <v>0</v>
      </c>
      <c r="AB323" s="7">
        <f t="shared" si="109"/>
        <v>0</v>
      </c>
      <c r="AC323" s="7">
        <f t="shared" si="109"/>
        <v>0</v>
      </c>
    </row>
    <row r="324" spans="1:29" s="1" customFormat="1" x14ac:dyDescent="0.2">
      <c r="A324" s="5"/>
      <c r="B324" s="5" t="s">
        <v>3</v>
      </c>
      <c r="C324" s="5"/>
      <c r="E324" s="5"/>
      <c r="F324" s="5"/>
      <c r="G324" s="5"/>
      <c r="H324" s="12" t="s">
        <v>31</v>
      </c>
      <c r="I324" s="207">
        <f t="shared" ref="I324:AC324" si="110">SUM(I322:I323)</f>
        <v>316020.65215034771</v>
      </c>
      <c r="J324" s="207">
        <f t="shared" si="110"/>
        <v>308767.33176591387</v>
      </c>
      <c r="K324" s="207">
        <f t="shared" si="110"/>
        <v>326045.90856513585</v>
      </c>
      <c r="L324" s="207">
        <f t="shared" si="110"/>
        <v>340203.74376878992</v>
      </c>
      <c r="M324" s="207">
        <f t="shared" si="110"/>
        <v>354764.02054410032</v>
      </c>
      <c r="N324" s="207">
        <f t="shared" si="110"/>
        <v>366826.77345548983</v>
      </c>
      <c r="O324" s="207">
        <f t="shared" si="110"/>
        <v>378135.26207382721</v>
      </c>
      <c r="P324" s="207">
        <f t="shared" si="110"/>
        <v>369865.74753515376</v>
      </c>
      <c r="Q324" s="207">
        <f t="shared" si="110"/>
        <v>393022.84161622066</v>
      </c>
      <c r="R324" s="207">
        <f t="shared" si="110"/>
        <v>410698.09047839907</v>
      </c>
      <c r="S324" s="207">
        <f t="shared" si="110"/>
        <v>330037.46138448181</v>
      </c>
      <c r="T324" s="207">
        <f t="shared" si="110"/>
        <v>137364.08743113483</v>
      </c>
      <c r="U324" s="207">
        <f t="shared" si="110"/>
        <v>139773.80732556045</v>
      </c>
      <c r="V324" s="207">
        <f t="shared" si="110"/>
        <v>133771.70830478991</v>
      </c>
      <c r="W324" s="207">
        <f t="shared" si="110"/>
        <v>147400.18487388885</v>
      </c>
      <c r="X324" s="207">
        <f t="shared" si="110"/>
        <v>114301.11787110729</v>
      </c>
      <c r="Y324" s="207">
        <f t="shared" si="110"/>
        <v>28171.55158436318</v>
      </c>
      <c r="Z324" s="207">
        <f t="shared" si="110"/>
        <v>28681.672431527113</v>
      </c>
      <c r="AA324" s="207">
        <f t="shared" si="110"/>
        <v>29217.050600757793</v>
      </c>
      <c r="AB324" s="207">
        <f t="shared" si="110"/>
        <v>29778.771290430617</v>
      </c>
      <c r="AC324" s="207">
        <f t="shared" si="110"/>
        <v>27500.520152594028</v>
      </c>
    </row>
    <row r="325" spans="1:29" s="1" customFormat="1" x14ac:dyDescent="0.2">
      <c r="A325" s="5"/>
      <c r="B325" s="5"/>
      <c r="C325" s="5"/>
      <c r="D325" s="5"/>
      <c r="E325" s="5"/>
      <c r="F325" s="5"/>
      <c r="G325" s="5"/>
      <c r="H325" s="12"/>
    </row>
    <row r="326" spans="1:29" s="1" customFormat="1" x14ac:dyDescent="0.2">
      <c r="A326" s="5"/>
      <c r="B326" s="13" t="s">
        <v>185</v>
      </c>
      <c r="C326" s="5"/>
      <c r="D326" s="5"/>
      <c r="E326" s="5"/>
      <c r="F326" s="356" t="s">
        <v>368</v>
      </c>
      <c r="G326" s="357"/>
      <c r="H326" s="12"/>
    </row>
    <row r="327" spans="1:29" s="1" customFormat="1" x14ac:dyDescent="0.2">
      <c r="A327" s="5"/>
      <c r="B327" s="5" t="s">
        <v>2</v>
      </c>
      <c r="D327" s="5"/>
      <c r="E327" s="5"/>
      <c r="F327" s="5"/>
      <c r="G327" s="5"/>
      <c r="H327" s="12" t="s">
        <v>31</v>
      </c>
      <c r="I327" s="227">
        <f t="shared" ref="I327:AC327" si="111">IF(+$F$326="Mid",+I99*I49/1000,IF(+$F$326="Offer",+I99*I50/1000,"Input Error"))</f>
        <v>91870.290617592997</v>
      </c>
      <c r="J327" s="227">
        <f t="shared" si="111"/>
        <v>80169.195940031612</v>
      </c>
      <c r="K327" s="227">
        <f t="shared" si="111"/>
        <v>83246.212766006778</v>
      </c>
      <c r="L327" s="227">
        <f t="shared" si="111"/>
        <v>78843.356992686182</v>
      </c>
      <c r="M327" s="227">
        <f t="shared" si="111"/>
        <v>80991.575975688713</v>
      </c>
      <c r="N327" s="227">
        <f t="shared" si="111"/>
        <v>81674.875623131185</v>
      </c>
      <c r="O327" s="227">
        <f t="shared" si="111"/>
        <v>81797.004433817317</v>
      </c>
      <c r="P327" s="227">
        <f t="shared" si="111"/>
        <v>76752.542299999055</v>
      </c>
      <c r="Q327" s="227">
        <f t="shared" si="111"/>
        <v>83777.144701110286</v>
      </c>
      <c r="R327" s="227">
        <f t="shared" si="111"/>
        <v>81990.569834599897</v>
      </c>
      <c r="S327" s="227">
        <f t="shared" si="111"/>
        <v>77921.778965246427</v>
      </c>
      <c r="T327" s="227">
        <f t="shared" si="111"/>
        <v>61455.546578330192</v>
      </c>
      <c r="U327" s="227">
        <f t="shared" si="111"/>
        <v>61865.119155708591</v>
      </c>
      <c r="V327" s="227">
        <f t="shared" si="111"/>
        <v>58305.223833255426</v>
      </c>
      <c r="W327" s="227">
        <f t="shared" si="111"/>
        <v>63786.845188392894</v>
      </c>
      <c r="X327" s="227">
        <f t="shared" si="111"/>
        <v>48614.647049141902</v>
      </c>
      <c r="Y327" s="227">
        <f t="shared" si="111"/>
        <v>7800.1657620248425</v>
      </c>
      <c r="Z327" s="227">
        <f t="shared" si="111"/>
        <v>7887.0440238237506</v>
      </c>
      <c r="AA327" s="227">
        <f t="shared" si="111"/>
        <v>7974.8899358756744</v>
      </c>
      <c r="AB327" s="227">
        <f t="shared" si="111"/>
        <v>8063.7142758710643</v>
      </c>
      <c r="AC327" s="227">
        <f t="shared" si="111"/>
        <v>6115.1459561567244</v>
      </c>
    </row>
    <row r="328" spans="1:29" s="1" customFormat="1" x14ac:dyDescent="0.2">
      <c r="A328" s="5"/>
      <c r="B328" s="5" t="s">
        <v>53</v>
      </c>
      <c r="D328" s="5"/>
      <c r="E328" s="5"/>
      <c r="F328" s="5"/>
      <c r="G328" s="5"/>
      <c r="H328" s="12" t="s">
        <v>31</v>
      </c>
      <c r="I328" s="228">
        <f t="shared" ref="I328:AC328" si="112">IF(+$F$326="Mid",+I163*I51/1000,IF(+$F$326="Offer",+I163*I52/1000,"Input Error"))</f>
        <v>63951.399555288663</v>
      </c>
      <c r="J328" s="228">
        <f t="shared" si="112"/>
        <v>61320.552946785494</v>
      </c>
      <c r="K328" s="228">
        <f t="shared" si="112"/>
        <v>58014.486088167854</v>
      </c>
      <c r="L328" s="228">
        <f t="shared" si="112"/>
        <v>63075.318812605183</v>
      </c>
      <c r="M328" s="228">
        <f t="shared" si="112"/>
        <v>63561.523177780051</v>
      </c>
      <c r="N328" s="228">
        <f t="shared" si="112"/>
        <v>64608.14786666532</v>
      </c>
      <c r="O328" s="228">
        <f t="shared" si="112"/>
        <v>66241.082180416197</v>
      </c>
      <c r="P328" s="228">
        <f t="shared" si="112"/>
        <v>65189.643386163698</v>
      </c>
      <c r="Q328" s="228">
        <f t="shared" si="112"/>
        <v>63612.608629074246</v>
      </c>
      <c r="R328" s="228">
        <f t="shared" si="112"/>
        <v>69944.19328487711</v>
      </c>
      <c r="S328" s="228">
        <f t="shared" si="112"/>
        <v>44625.78121355988</v>
      </c>
      <c r="T328" s="228">
        <f t="shared" si="112"/>
        <v>0</v>
      </c>
      <c r="U328" s="228">
        <f t="shared" si="112"/>
        <v>0</v>
      </c>
      <c r="V328" s="228">
        <f t="shared" si="112"/>
        <v>0</v>
      </c>
      <c r="W328" s="228">
        <f t="shared" si="112"/>
        <v>0</v>
      </c>
      <c r="X328" s="228">
        <f t="shared" si="112"/>
        <v>0</v>
      </c>
      <c r="Y328" s="228">
        <f t="shared" si="112"/>
        <v>0</v>
      </c>
      <c r="Z328" s="228">
        <f t="shared" si="112"/>
        <v>0</v>
      </c>
      <c r="AA328" s="228">
        <f t="shared" si="112"/>
        <v>0</v>
      </c>
      <c r="AB328" s="228">
        <f t="shared" si="112"/>
        <v>0</v>
      </c>
      <c r="AC328" s="228">
        <f t="shared" si="112"/>
        <v>0</v>
      </c>
    </row>
    <row r="329" spans="1:29" s="1" customFormat="1" x14ac:dyDescent="0.2">
      <c r="A329" s="5"/>
      <c r="B329" s="5" t="s">
        <v>3</v>
      </c>
      <c r="D329" s="5"/>
      <c r="E329" s="5"/>
      <c r="F329" s="5"/>
      <c r="G329" s="5"/>
      <c r="H329" s="12" t="s">
        <v>31</v>
      </c>
      <c r="I329" s="59">
        <f t="shared" ref="I329:AC329" si="113">SUM(I327:I328)</f>
        <v>155821.69017288164</v>
      </c>
      <c r="J329" s="59">
        <f t="shared" si="113"/>
        <v>141489.74888681711</v>
      </c>
      <c r="K329" s="59">
        <f t="shared" si="113"/>
        <v>141260.69885417464</v>
      </c>
      <c r="L329" s="59">
        <f t="shared" si="113"/>
        <v>141918.67580529136</v>
      </c>
      <c r="M329" s="59">
        <f t="shared" si="113"/>
        <v>144553.09915346876</v>
      </c>
      <c r="N329" s="59">
        <f t="shared" si="113"/>
        <v>146283.0234897965</v>
      </c>
      <c r="O329" s="59">
        <f t="shared" si="113"/>
        <v>148038.0866142335</v>
      </c>
      <c r="P329" s="59">
        <f t="shared" si="113"/>
        <v>141942.18568616276</v>
      </c>
      <c r="Q329" s="59">
        <f t="shared" si="113"/>
        <v>147389.75333018453</v>
      </c>
      <c r="R329" s="59">
        <f t="shared" si="113"/>
        <v>151934.76311947702</v>
      </c>
      <c r="S329" s="59">
        <f t="shared" si="113"/>
        <v>122547.56017880631</v>
      </c>
      <c r="T329" s="59">
        <f t="shared" si="113"/>
        <v>61455.546578330192</v>
      </c>
      <c r="U329" s="59">
        <f t="shared" si="113"/>
        <v>61865.119155708591</v>
      </c>
      <c r="V329" s="59">
        <f t="shared" si="113"/>
        <v>58305.223833255426</v>
      </c>
      <c r="W329" s="59">
        <f t="shared" si="113"/>
        <v>63786.845188392894</v>
      </c>
      <c r="X329" s="59">
        <f t="shared" si="113"/>
        <v>48614.647049141902</v>
      </c>
      <c r="Y329" s="59">
        <f t="shared" si="113"/>
        <v>7800.1657620248425</v>
      </c>
      <c r="Z329" s="59">
        <f t="shared" si="113"/>
        <v>7887.0440238237506</v>
      </c>
      <c r="AA329" s="59">
        <f t="shared" si="113"/>
        <v>7974.8899358756744</v>
      </c>
      <c r="AB329" s="59">
        <f t="shared" si="113"/>
        <v>8063.7142758710643</v>
      </c>
      <c r="AC329" s="59">
        <f t="shared" si="113"/>
        <v>6115.1459561567244</v>
      </c>
    </row>
    <row r="330" spans="1:29" s="1" customFormat="1" x14ac:dyDescent="0.2">
      <c r="A330" s="5"/>
      <c r="C330" s="5"/>
      <c r="D330" s="5"/>
      <c r="E330" s="5"/>
      <c r="F330" s="5"/>
      <c r="G330" s="5"/>
      <c r="H330" s="12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spans="1:29" s="1" customFormat="1" x14ac:dyDescent="0.2">
      <c r="A331" s="5"/>
      <c r="B331" s="13" t="s">
        <v>25</v>
      </c>
      <c r="C331" s="5"/>
      <c r="D331" s="5"/>
      <c r="E331" s="5"/>
      <c r="F331" s="5"/>
      <c r="G331" s="5"/>
      <c r="H331" s="12"/>
    </row>
    <row r="332" spans="1:29" s="1" customFormat="1" x14ac:dyDescent="0.2">
      <c r="A332" s="5"/>
      <c r="B332" s="5" t="s">
        <v>2</v>
      </c>
      <c r="D332" s="5"/>
      <c r="E332" s="5"/>
      <c r="F332" s="5"/>
      <c r="G332" s="5"/>
      <c r="H332" s="12" t="s">
        <v>31</v>
      </c>
      <c r="I332" s="7">
        <f t="shared" ref="I332:AC332" si="114">+I322-I327</f>
        <v>75000.561532754698</v>
      </c>
      <c r="J332" s="7">
        <f t="shared" si="114"/>
        <v>80800.135825882229</v>
      </c>
      <c r="K332" s="7">
        <f t="shared" si="114"/>
        <v>97624.895799129081</v>
      </c>
      <c r="L332" s="7">
        <f t="shared" si="114"/>
        <v>103318.18677610373</v>
      </c>
      <c r="M332" s="7">
        <f t="shared" si="114"/>
        <v>113776.44456841158</v>
      </c>
      <c r="N332" s="7">
        <f t="shared" si="114"/>
        <v>122341.89783235865</v>
      </c>
      <c r="O332" s="7">
        <f t="shared" si="114"/>
        <v>129605.75764000986</v>
      </c>
      <c r="P332" s="7">
        <f t="shared" si="114"/>
        <v>128502.20523515467</v>
      </c>
      <c r="Q332" s="7">
        <f t="shared" si="114"/>
        <v>148209.89691511038</v>
      </c>
      <c r="R332" s="7">
        <f t="shared" si="114"/>
        <v>153082.62064379913</v>
      </c>
      <c r="S332" s="7">
        <f t="shared" si="114"/>
        <v>138540.48241923537</v>
      </c>
      <c r="T332" s="7">
        <f t="shared" si="114"/>
        <v>75908.540852804639</v>
      </c>
      <c r="U332" s="7">
        <f t="shared" si="114"/>
        <v>77908.68816985187</v>
      </c>
      <c r="V332" s="7">
        <f t="shared" si="114"/>
        <v>75466.484471534481</v>
      </c>
      <c r="W332" s="7">
        <f t="shared" si="114"/>
        <v>83613.339685495957</v>
      </c>
      <c r="X332" s="7">
        <f t="shared" si="114"/>
        <v>65686.470821965384</v>
      </c>
      <c r="Y332" s="7">
        <f t="shared" si="114"/>
        <v>20371.385822338336</v>
      </c>
      <c r="Z332" s="7">
        <f t="shared" si="114"/>
        <v>20794.628407703363</v>
      </c>
      <c r="AA332" s="7">
        <f t="shared" si="114"/>
        <v>21242.160664882118</v>
      </c>
      <c r="AB332" s="7">
        <f t="shared" si="114"/>
        <v>21715.057014559552</v>
      </c>
      <c r="AC332" s="7">
        <f t="shared" si="114"/>
        <v>21385.374196437304</v>
      </c>
    </row>
    <row r="333" spans="1:29" s="1" customFormat="1" x14ac:dyDescent="0.2">
      <c r="A333" s="5"/>
      <c r="B333" s="5" t="s">
        <v>53</v>
      </c>
      <c r="D333" s="5"/>
      <c r="E333" s="5"/>
      <c r="F333" s="5"/>
      <c r="G333" s="5"/>
      <c r="H333" s="12" t="s">
        <v>31</v>
      </c>
      <c r="I333" s="20">
        <f t="shared" ref="I333:AC333" si="115">+I323-I328</f>
        <v>85198.400444711326</v>
      </c>
      <c r="J333" s="20">
        <f t="shared" si="115"/>
        <v>86477.447053214506</v>
      </c>
      <c r="K333" s="20">
        <f t="shared" si="115"/>
        <v>87160.313911832141</v>
      </c>
      <c r="L333" s="20">
        <f t="shared" si="115"/>
        <v>94966.881187394829</v>
      </c>
      <c r="M333" s="20">
        <f t="shared" si="115"/>
        <v>96434.476822219949</v>
      </c>
      <c r="N333" s="20">
        <f t="shared" si="115"/>
        <v>98201.852133334673</v>
      </c>
      <c r="O333" s="20">
        <f t="shared" si="115"/>
        <v>100491.4178195838</v>
      </c>
      <c r="P333" s="20">
        <f t="shared" si="115"/>
        <v>99421.356613836309</v>
      </c>
      <c r="Q333" s="20">
        <f t="shared" si="115"/>
        <v>97423.19137092575</v>
      </c>
      <c r="R333" s="20">
        <f t="shared" si="115"/>
        <v>105680.70671512288</v>
      </c>
      <c r="S333" s="20">
        <f t="shared" si="115"/>
        <v>68949.418786440117</v>
      </c>
      <c r="T333" s="20">
        <f t="shared" si="115"/>
        <v>0</v>
      </c>
      <c r="U333" s="20">
        <f t="shared" si="115"/>
        <v>0</v>
      </c>
      <c r="V333" s="20">
        <f t="shared" si="115"/>
        <v>0</v>
      </c>
      <c r="W333" s="20">
        <f t="shared" si="115"/>
        <v>0</v>
      </c>
      <c r="X333" s="20">
        <f t="shared" si="115"/>
        <v>0</v>
      </c>
      <c r="Y333" s="20">
        <f t="shared" si="115"/>
        <v>0</v>
      </c>
      <c r="Z333" s="20">
        <f t="shared" si="115"/>
        <v>0</v>
      </c>
      <c r="AA333" s="20">
        <f t="shared" si="115"/>
        <v>0</v>
      </c>
      <c r="AB333" s="20">
        <f t="shared" si="115"/>
        <v>0</v>
      </c>
      <c r="AC333" s="20">
        <f t="shared" si="115"/>
        <v>0</v>
      </c>
    </row>
    <row r="334" spans="1:29" s="1" customFormat="1" x14ac:dyDescent="0.2">
      <c r="A334" s="5"/>
      <c r="B334" s="5" t="s">
        <v>3</v>
      </c>
      <c r="D334" s="5"/>
      <c r="E334" s="5"/>
      <c r="F334" s="5"/>
      <c r="G334" s="5"/>
      <c r="H334" s="12" t="s">
        <v>31</v>
      </c>
      <c r="I334" s="7">
        <f t="shared" ref="I334:AC334" si="116">SUM(I332:I333)</f>
        <v>160198.96197746601</v>
      </c>
      <c r="J334" s="7">
        <f t="shared" si="116"/>
        <v>167277.58287909674</v>
      </c>
      <c r="K334" s="7">
        <f t="shared" si="116"/>
        <v>184785.20971096121</v>
      </c>
      <c r="L334" s="7">
        <f t="shared" si="116"/>
        <v>198285.06796349856</v>
      </c>
      <c r="M334" s="7">
        <f t="shared" si="116"/>
        <v>210210.92139063153</v>
      </c>
      <c r="N334" s="7">
        <f t="shared" si="116"/>
        <v>220543.74996569334</v>
      </c>
      <c r="O334" s="7">
        <f t="shared" si="116"/>
        <v>230097.17545959365</v>
      </c>
      <c r="P334" s="7">
        <f t="shared" si="116"/>
        <v>227923.56184899097</v>
      </c>
      <c r="Q334" s="7">
        <f t="shared" si="116"/>
        <v>245633.08828603613</v>
      </c>
      <c r="R334" s="7">
        <f t="shared" si="116"/>
        <v>258763.32735892202</v>
      </c>
      <c r="S334" s="7">
        <f t="shared" si="116"/>
        <v>207489.9012056755</v>
      </c>
      <c r="T334" s="7">
        <f t="shared" si="116"/>
        <v>75908.540852804639</v>
      </c>
      <c r="U334" s="7">
        <f t="shared" si="116"/>
        <v>77908.68816985187</v>
      </c>
      <c r="V334" s="7">
        <f t="shared" si="116"/>
        <v>75466.484471534481</v>
      </c>
      <c r="W334" s="7">
        <f t="shared" si="116"/>
        <v>83613.339685495957</v>
      </c>
      <c r="X334" s="7">
        <f t="shared" si="116"/>
        <v>65686.470821965384</v>
      </c>
      <c r="Y334" s="7">
        <f t="shared" si="116"/>
        <v>20371.385822338336</v>
      </c>
      <c r="Z334" s="7">
        <f t="shared" si="116"/>
        <v>20794.628407703363</v>
      </c>
      <c r="AA334" s="7">
        <f t="shared" si="116"/>
        <v>21242.160664882118</v>
      </c>
      <c r="AB334" s="7">
        <f t="shared" si="116"/>
        <v>21715.057014559552</v>
      </c>
      <c r="AC334" s="7">
        <f t="shared" si="116"/>
        <v>21385.374196437304</v>
      </c>
    </row>
    <row r="335" spans="1:29" s="1" customFormat="1" x14ac:dyDescent="0.2">
      <c r="A335" s="5"/>
      <c r="B335" s="5"/>
      <c r="C335" s="5"/>
      <c r="D335" s="5"/>
      <c r="E335" s="5"/>
      <c r="F335" s="5"/>
      <c r="G335" s="5"/>
      <c r="H335" s="12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s="1" customFormat="1" x14ac:dyDescent="0.2">
      <c r="A336" s="5"/>
      <c r="B336" s="5" t="s">
        <v>113</v>
      </c>
      <c r="D336" s="5"/>
      <c r="E336" s="5"/>
      <c r="F336" s="352">
        <f>+$K$9</f>
        <v>0.5</v>
      </c>
      <c r="G336" s="353"/>
      <c r="H336" s="12" t="s">
        <v>31</v>
      </c>
      <c r="I336" s="7">
        <f>+I334*$F$336</f>
        <v>80099.480988733005</v>
      </c>
      <c r="J336" s="7">
        <f t="shared" ref="J336:AC336" si="117">+J334*$F$336</f>
        <v>83638.791439548368</v>
      </c>
      <c r="K336" s="7">
        <f t="shared" si="117"/>
        <v>92392.604855480604</v>
      </c>
      <c r="L336" s="7">
        <f t="shared" si="117"/>
        <v>99142.533981749279</v>
      </c>
      <c r="M336" s="7">
        <f t="shared" si="117"/>
        <v>105105.46069531576</v>
      </c>
      <c r="N336" s="7">
        <f t="shared" si="117"/>
        <v>110271.87498284667</v>
      </c>
      <c r="O336" s="7">
        <f t="shared" si="117"/>
        <v>115048.58772979683</v>
      </c>
      <c r="P336" s="7">
        <f t="shared" si="117"/>
        <v>113961.78092449548</v>
      </c>
      <c r="Q336" s="7">
        <f t="shared" si="117"/>
        <v>122816.54414301807</v>
      </c>
      <c r="R336" s="7">
        <f t="shared" si="117"/>
        <v>129381.66367946101</v>
      </c>
      <c r="S336" s="7">
        <f t="shared" si="117"/>
        <v>103744.95060283775</v>
      </c>
      <c r="T336" s="7">
        <f t="shared" si="117"/>
        <v>37954.27042640232</v>
      </c>
      <c r="U336" s="7">
        <f t="shared" si="117"/>
        <v>38954.344084925935</v>
      </c>
      <c r="V336" s="7">
        <f t="shared" si="117"/>
        <v>37733.24223576724</v>
      </c>
      <c r="W336" s="7">
        <f t="shared" si="117"/>
        <v>41806.669842747979</v>
      </c>
      <c r="X336" s="7">
        <f t="shared" si="117"/>
        <v>32843.235410982692</v>
      </c>
      <c r="Y336" s="7">
        <f t="shared" si="117"/>
        <v>10185.692911169168</v>
      </c>
      <c r="Z336" s="7">
        <f t="shared" si="117"/>
        <v>10397.314203851682</v>
      </c>
      <c r="AA336" s="7">
        <f t="shared" si="117"/>
        <v>10621.080332441059</v>
      </c>
      <c r="AB336" s="7">
        <f t="shared" si="117"/>
        <v>10857.528507279776</v>
      </c>
      <c r="AC336" s="7">
        <f t="shared" si="117"/>
        <v>10692.687098218652</v>
      </c>
    </row>
    <row r="337" spans="1:29" s="1" customFormat="1" x14ac:dyDescent="0.2">
      <c r="A337" s="5"/>
      <c r="B337" s="5"/>
      <c r="D337" s="5"/>
      <c r="E337" s="5"/>
      <c r="F337" s="5"/>
      <c r="G337" s="5"/>
      <c r="H337" s="12"/>
      <c r="I337" s="7"/>
      <c r="J337" s="10">
        <v>85054.112582585803</v>
      </c>
      <c r="K337" s="10">
        <v>92128.031989723269</v>
      </c>
      <c r="L337" s="10">
        <v>97804.233336263249</v>
      </c>
      <c r="M337" s="10">
        <v>103402.24891721015</v>
      </c>
      <c r="N337" s="10">
        <v>108128.23501273677</v>
      </c>
      <c r="O337" s="10">
        <v>112511.11398735218</v>
      </c>
      <c r="P337" s="10">
        <v>111293.37182736088</v>
      </c>
      <c r="Q337" s="10">
        <v>120199.65403795731</v>
      </c>
      <c r="R337" s="10">
        <v>126332.99994640517</v>
      </c>
      <c r="S337" s="10">
        <v>115236.14669987008</v>
      </c>
      <c r="T337" s="10">
        <v>45580.658959441898</v>
      </c>
      <c r="U337" s="10">
        <v>46684.544578929737</v>
      </c>
      <c r="V337" s="10">
        <v>45802.9752271943</v>
      </c>
      <c r="W337" s="10">
        <v>49861.964863705944</v>
      </c>
      <c r="X337" s="10">
        <v>50655.438667374438</v>
      </c>
      <c r="Y337" s="10">
        <v>39786.174374545553</v>
      </c>
      <c r="Z337" s="10">
        <v>39962.110228912279</v>
      </c>
      <c r="AA337" s="10">
        <v>40022.906130554868</v>
      </c>
      <c r="AB337" s="10">
        <v>40096.144320770713</v>
      </c>
      <c r="AC337" s="10">
        <v>40169.685086180289</v>
      </c>
    </row>
    <row r="338" spans="1:29" s="1" customFormat="1" x14ac:dyDescent="0.2">
      <c r="A338" s="5"/>
      <c r="B338" s="5" t="s">
        <v>188</v>
      </c>
      <c r="D338" s="5"/>
      <c r="E338" s="5"/>
      <c r="F338" s="363">
        <f>Q11</f>
        <v>0.08</v>
      </c>
      <c r="G338" s="364"/>
      <c r="H338" s="12" t="s">
        <v>31</v>
      </c>
      <c r="I338" s="98">
        <f>NPV($F338,J336:$AC336)</f>
        <v>789248.97223964601</v>
      </c>
      <c r="J338" s="98">
        <f>NPV($F338,K336:$AC336)</f>
        <v>768750.09857926925</v>
      </c>
      <c r="K338" s="98">
        <f>NPV($F338,L336:$AC336)</f>
        <v>737857.50161013007</v>
      </c>
      <c r="L338" s="98">
        <f>NPV($F338,M336:$AC336)</f>
        <v>697743.56775719149</v>
      </c>
      <c r="M338" s="98">
        <f>NPV($F338,N336:$AC336)</f>
        <v>648457.59248245077</v>
      </c>
      <c r="N338" s="98">
        <f>NPV($F338,O336:$AC336)</f>
        <v>590062.32489820046</v>
      </c>
      <c r="O338" s="98">
        <f>NPV($F338,P336:$AC336)</f>
        <v>522218.72316025983</v>
      </c>
      <c r="P338" s="98">
        <f>NPV($F338,Q336:$AC336)</f>
        <v>450034.44008858496</v>
      </c>
      <c r="Q338" s="98">
        <f>NPV($F338,R336:$AC336)</f>
        <v>363220.65115265368</v>
      </c>
      <c r="R338" s="98">
        <f>NPV($F338,S336:$AC336)</f>
        <v>262896.63956540509</v>
      </c>
      <c r="S338" s="98">
        <f>NPV($F338,T336:$AC336)</f>
        <v>180183.42012779971</v>
      </c>
      <c r="T338" s="98">
        <f>NPV($F338,U336:$AC336)</f>
        <v>156643.82331162141</v>
      </c>
      <c r="U338" s="98">
        <f>NPV($F338,V336:$AC336)</f>
        <v>130220.98509162516</v>
      </c>
      <c r="V338" s="98">
        <f>NPV($F338,W336:$AC336)</f>
        <v>102905.42166318795</v>
      </c>
      <c r="W338" s="98">
        <f>NPV($F338,X336:$AC336)</f>
        <v>69331.185553495015</v>
      </c>
      <c r="X338" s="98">
        <f>NPV($F338,Y336:$AC336)</f>
        <v>42034.444986791925</v>
      </c>
      <c r="Y338" s="98">
        <f>NPV($F338,Z336:$AC336)</f>
        <v>35211.507674566106</v>
      </c>
      <c r="Z338" s="98">
        <f>NPV($F338,AA336:$AC336)</f>
        <v>27631.114084679717</v>
      </c>
      <c r="AA338" s="98">
        <f>NPV($F338,AB336:$AC336)</f>
        <v>19220.522879013039</v>
      </c>
      <c r="AB338" s="98">
        <f>NPV($F338,AC336:$AC336)</f>
        <v>9900.6362020543074</v>
      </c>
      <c r="AC338" s="99"/>
    </row>
    <row r="339" spans="1:29" s="1" customFormat="1" x14ac:dyDescent="0.2">
      <c r="A339" s="5"/>
      <c r="B339" s="5"/>
      <c r="C339" s="5"/>
      <c r="D339" s="5"/>
      <c r="E339" s="5"/>
      <c r="F339" s="5"/>
      <c r="G339" s="5"/>
      <c r="H339" s="12"/>
    </row>
    <row r="340" spans="1:29" s="1" customFormat="1" x14ac:dyDescent="0.2">
      <c r="A340" s="13" t="s">
        <v>203</v>
      </c>
      <c r="B340" s="5"/>
      <c r="C340" s="5"/>
      <c r="D340" s="5"/>
      <c r="E340" s="5"/>
      <c r="F340" s="5"/>
      <c r="G340" s="5"/>
      <c r="H340" s="12"/>
    </row>
    <row r="341" spans="1:29" s="1" customFormat="1" x14ac:dyDescent="0.2">
      <c r="A341" s="5"/>
      <c r="B341" s="5"/>
      <c r="C341" s="5"/>
      <c r="D341" s="5"/>
      <c r="E341" s="5"/>
      <c r="F341" s="5"/>
      <c r="G341" s="5"/>
      <c r="H341" s="12"/>
    </row>
    <row r="342" spans="1:29" s="1" customFormat="1" x14ac:dyDescent="0.2">
      <c r="A342" s="5"/>
      <c r="B342" s="5" t="s">
        <v>204</v>
      </c>
      <c r="C342" s="5"/>
      <c r="D342" s="5"/>
      <c r="E342" s="5"/>
      <c r="F342" s="5"/>
      <c r="G342" s="5"/>
      <c r="H342" s="12"/>
    </row>
    <row r="343" spans="1:29" s="1" customFormat="1" x14ac:dyDescent="0.2">
      <c r="A343" s="5"/>
      <c r="B343" s="5" t="s">
        <v>205</v>
      </c>
      <c r="C343" s="5"/>
      <c r="D343" s="5"/>
      <c r="E343" s="5"/>
      <c r="F343" s="5"/>
      <c r="G343" s="5"/>
      <c r="H343" s="12"/>
    </row>
    <row r="344" spans="1:29" s="1" customFormat="1" x14ac:dyDescent="0.2">
      <c r="A344" s="5"/>
      <c r="B344" s="5" t="s">
        <v>206</v>
      </c>
      <c r="C344" s="5"/>
      <c r="D344" s="5"/>
      <c r="E344" s="5"/>
      <c r="F344" s="5"/>
      <c r="G344" s="5"/>
      <c r="H344" s="12"/>
      <c r="I344" s="7">
        <f>I190</f>
        <v>2747</v>
      </c>
      <c r="J344" s="7">
        <f t="shared" ref="J344:AC344" si="118">J190</f>
        <v>2785</v>
      </c>
      <c r="K344" s="7">
        <f t="shared" si="118"/>
        <v>2823</v>
      </c>
      <c r="L344" s="7">
        <f t="shared" si="118"/>
        <v>2861</v>
      </c>
      <c r="M344" s="7">
        <f t="shared" si="118"/>
        <v>2900</v>
      </c>
      <c r="N344" s="7">
        <f t="shared" si="118"/>
        <v>2939</v>
      </c>
      <c r="O344" s="7">
        <f t="shared" si="118"/>
        <v>2979</v>
      </c>
      <c r="P344" s="7">
        <f t="shared" si="118"/>
        <v>3019</v>
      </c>
      <c r="Q344" s="7">
        <f t="shared" si="118"/>
        <v>3060</v>
      </c>
      <c r="R344" s="7">
        <f t="shared" si="118"/>
        <v>3101</v>
      </c>
      <c r="S344" s="7">
        <f t="shared" si="118"/>
        <v>1965</v>
      </c>
      <c r="T344" s="7">
        <f t="shared" si="118"/>
        <v>0</v>
      </c>
      <c r="U344" s="7">
        <f t="shared" si="118"/>
        <v>0</v>
      </c>
      <c r="V344" s="7">
        <f t="shared" si="118"/>
        <v>0</v>
      </c>
      <c r="W344" s="7">
        <f t="shared" si="118"/>
        <v>0</v>
      </c>
      <c r="X344" s="7">
        <f t="shared" si="118"/>
        <v>0</v>
      </c>
      <c r="Y344" s="7">
        <f t="shared" si="118"/>
        <v>0</v>
      </c>
      <c r="Z344" s="7">
        <f t="shared" si="118"/>
        <v>0</v>
      </c>
      <c r="AA344" s="7">
        <f t="shared" si="118"/>
        <v>0</v>
      </c>
      <c r="AB344" s="7">
        <f t="shared" si="118"/>
        <v>0</v>
      </c>
      <c r="AC344" s="7">
        <f t="shared" si="118"/>
        <v>0</v>
      </c>
    </row>
    <row r="345" spans="1:29" s="1" customFormat="1" x14ac:dyDescent="0.2">
      <c r="A345" s="5"/>
      <c r="B345" s="13" t="s">
        <v>1</v>
      </c>
      <c r="C345" s="5"/>
      <c r="D345" s="5"/>
      <c r="E345" s="5"/>
      <c r="F345" s="5"/>
      <c r="G345" s="5"/>
      <c r="H345" s="12"/>
    </row>
    <row r="346" spans="1:29" s="1" customFormat="1" x14ac:dyDescent="0.2">
      <c r="A346" s="5"/>
      <c r="B346" s="5" t="s">
        <v>260</v>
      </c>
      <c r="C346" s="5"/>
      <c r="D346" s="5"/>
      <c r="E346" s="5"/>
      <c r="F346" s="5"/>
      <c r="G346" s="5"/>
      <c r="H346" s="12"/>
      <c r="I346" s="10">
        <f t="shared" ref="I346:S346" si="119">I182*I77*$F$500</f>
        <v>6313.141274333334</v>
      </c>
      <c r="J346" s="10">
        <f t="shared" si="119"/>
        <v>5560.0664378333331</v>
      </c>
      <c r="K346" s="10">
        <f t="shared" si="119"/>
        <v>5192.7013124999994</v>
      </c>
      <c r="L346" s="10">
        <f t="shared" si="119"/>
        <v>5122.5776537499996</v>
      </c>
      <c r="M346" s="10">
        <f t="shared" si="119"/>
        <v>5114.2930020833328</v>
      </c>
      <c r="N346" s="10">
        <f t="shared" si="119"/>
        <v>5132.6375879166671</v>
      </c>
      <c r="O346" s="10">
        <f t="shared" si="119"/>
        <v>5161.0421079166672</v>
      </c>
      <c r="P346" s="10">
        <f t="shared" si="119"/>
        <v>5260.4579279166664</v>
      </c>
      <c r="Q346" s="10">
        <f t="shared" si="119"/>
        <v>5260.4579279166664</v>
      </c>
      <c r="R346" s="10">
        <f t="shared" si="119"/>
        <v>5331.4692279166666</v>
      </c>
      <c r="S346" s="10">
        <f t="shared" si="119"/>
        <v>3384.7583462500002</v>
      </c>
    </row>
    <row r="347" spans="1:29" s="1" customFormat="1" x14ac:dyDescent="0.2">
      <c r="A347" s="5"/>
      <c r="B347" s="301" t="s">
        <v>244</v>
      </c>
      <c r="C347" s="5"/>
      <c r="D347" s="5"/>
      <c r="E347" s="5"/>
      <c r="F347" s="5"/>
      <c r="G347" s="5"/>
      <c r="H347" s="12"/>
      <c r="I347" s="10">
        <f>(M489+F481*(1+I27))/1000</f>
        <v>237.8</v>
      </c>
      <c r="J347" s="10">
        <f t="shared" ref="J347:S347" si="120">I347*(1+I$28)</f>
        <v>245.17878449142813</v>
      </c>
      <c r="K347" s="10">
        <f t="shared" si="120"/>
        <v>252.54072792353062</v>
      </c>
      <c r="L347" s="10">
        <f t="shared" si="120"/>
        <v>259.87056761872572</v>
      </c>
      <c r="M347" s="10">
        <f t="shared" si="120"/>
        <v>267.28290584392659</v>
      </c>
      <c r="N347" s="10">
        <f t="shared" si="120"/>
        <v>274.77271260899568</v>
      </c>
      <c r="O347" s="10">
        <f t="shared" si="120"/>
        <v>282.2520768945069</v>
      </c>
      <c r="P347" s="10">
        <f t="shared" si="120"/>
        <v>289.79358902749732</v>
      </c>
      <c r="Q347" s="10">
        <f t="shared" si="120"/>
        <v>297.39138834491257</v>
      </c>
      <c r="R347" s="10">
        <f t="shared" si="120"/>
        <v>305.06917321818673</v>
      </c>
      <c r="S347" s="10">
        <f t="shared" si="120"/>
        <v>312.82288929598889</v>
      </c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s="1" customFormat="1" x14ac:dyDescent="0.2">
      <c r="A348" s="5"/>
      <c r="B348" s="301" t="s">
        <v>245</v>
      </c>
      <c r="C348" s="5"/>
      <c r="D348" s="5"/>
      <c r="E348" s="5"/>
      <c r="F348" s="5"/>
      <c r="G348" s="5"/>
      <c r="H348" s="12"/>
      <c r="I348" s="10">
        <f>(F479*(1+I27))/1000</f>
        <v>123.84</v>
      </c>
      <c r="J348" s="10">
        <f t="shared" ref="J348:S348" si="121">I348*(1+I$28)</f>
        <v>127.68267733985896</v>
      </c>
      <c r="K348" s="10">
        <f t="shared" si="121"/>
        <v>131.51658429793957</v>
      </c>
      <c r="L348" s="10">
        <f t="shared" si="121"/>
        <v>135.33377247225815</v>
      </c>
      <c r="M348" s="10">
        <f t="shared" si="121"/>
        <v>139.19392371619793</v>
      </c>
      <c r="N348" s="10">
        <f t="shared" si="121"/>
        <v>143.09441854288485</v>
      </c>
      <c r="O348" s="10">
        <f t="shared" si="121"/>
        <v>146.98947520023435</v>
      </c>
      <c r="P348" s="10">
        <f t="shared" si="121"/>
        <v>150.91689682575804</v>
      </c>
      <c r="Q348" s="10">
        <f t="shared" si="121"/>
        <v>154.87363133992417</v>
      </c>
      <c r="R348" s="10">
        <f t="shared" si="121"/>
        <v>158.8720202327176</v>
      </c>
      <c r="S348" s="10">
        <f t="shared" si="121"/>
        <v>162.90995210435352</v>
      </c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s="1" customFormat="1" x14ac:dyDescent="0.2">
      <c r="A349" s="5"/>
      <c r="B349" s="301" t="s">
        <v>246</v>
      </c>
      <c r="C349" s="5"/>
      <c r="D349" s="5"/>
      <c r="E349" s="5"/>
      <c r="F349" s="5"/>
      <c r="G349" s="5"/>
      <c r="H349" s="12"/>
      <c r="I349" s="10">
        <f>(F477*(1+I27))/1000</f>
        <v>129</v>
      </c>
      <c r="J349" s="10">
        <f t="shared" ref="J349:S349" si="122">I349*(1+I$28)</f>
        <v>133.00278889568642</v>
      </c>
      <c r="K349" s="10">
        <f t="shared" si="122"/>
        <v>136.99644197702042</v>
      </c>
      <c r="L349" s="10">
        <f t="shared" si="122"/>
        <v>140.97267965860229</v>
      </c>
      <c r="M349" s="10">
        <f t="shared" si="122"/>
        <v>144.99367053770621</v>
      </c>
      <c r="N349" s="10">
        <f t="shared" si="122"/>
        <v>149.05668598217176</v>
      </c>
      <c r="O349" s="10">
        <f t="shared" si="122"/>
        <v>153.11403666691083</v>
      </c>
      <c r="P349" s="10">
        <f t="shared" si="122"/>
        <v>157.20510086016469</v>
      </c>
      <c r="Q349" s="10">
        <f t="shared" si="122"/>
        <v>161.32669931242108</v>
      </c>
      <c r="R349" s="10">
        <f t="shared" si="122"/>
        <v>165.49168774241423</v>
      </c>
      <c r="S349" s="10">
        <f t="shared" si="122"/>
        <v>169.69786677536831</v>
      </c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s="1" customFormat="1" x14ac:dyDescent="0.2">
      <c r="A350" s="5"/>
      <c r="B350" s="301" t="s">
        <v>247</v>
      </c>
      <c r="C350" s="5"/>
      <c r="D350" s="5"/>
      <c r="E350" s="5"/>
      <c r="F350" s="5"/>
      <c r="G350" s="5"/>
      <c r="H350" s="12"/>
      <c r="I350" s="10">
        <f>I182/$F$502*F505*(1+I27)</f>
        <v>258.20515662650598</v>
      </c>
      <c r="J350" s="10">
        <f t="shared" ref="J350:S350" si="123">I350*(1+I$28)</f>
        <v>266.21710029901408</v>
      </c>
      <c r="K350" s="10">
        <f t="shared" si="123"/>
        <v>274.21075781357047</v>
      </c>
      <c r="L350" s="10">
        <f t="shared" si="123"/>
        <v>282.16955683184221</v>
      </c>
      <c r="M350" s="10">
        <f t="shared" si="123"/>
        <v>290.21793341891805</v>
      </c>
      <c r="N350" s="10">
        <f t="shared" si="123"/>
        <v>298.35042597096566</v>
      </c>
      <c r="O350" s="10">
        <f t="shared" si="123"/>
        <v>306.47157999454481</v>
      </c>
      <c r="P350" s="10">
        <f t="shared" si="123"/>
        <v>314.66021465181768</v>
      </c>
      <c r="Q350" s="10">
        <f t="shared" si="123"/>
        <v>322.9099663876039</v>
      </c>
      <c r="R350" s="10">
        <f t="shared" si="123"/>
        <v>331.2465670846114</v>
      </c>
      <c r="S350" s="10">
        <f t="shared" si="123"/>
        <v>339.6656144954876</v>
      </c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s="1" customFormat="1" x14ac:dyDescent="0.2">
      <c r="A351" s="5"/>
      <c r="B351" s="301" t="s">
        <v>248</v>
      </c>
      <c r="C351" s="5"/>
      <c r="D351" s="5"/>
      <c r="E351" s="5"/>
      <c r="F351" s="5"/>
      <c r="G351" s="5"/>
      <c r="H351" s="12"/>
      <c r="I351" s="10">
        <f>($F$506*I182*$F$501*Merchant!G41)/1000</f>
        <v>9081.9785639999991</v>
      </c>
      <c r="J351" s="10">
        <f>($F$506*J182*$F$501*Merchant!H41)/1000</f>
        <v>9086.5127520000005</v>
      </c>
      <c r="K351" s="10">
        <f>($F$506*K182*$F$501*Merchant!I41)/1000</f>
        <v>9091.0469400000002</v>
      </c>
      <c r="L351" s="10">
        <f>($F$506*L182*$F$501*Merchant!J41)/1000</f>
        <v>9095.5811279999998</v>
      </c>
      <c r="M351" s="10">
        <f>($F$506*M182*$F$501*Merchant!K41)/1000</f>
        <v>9100.1153159999994</v>
      </c>
      <c r="N351" s="10">
        <f>($F$506*N182*$F$501*Merchant!L41)/1000</f>
        <v>9104.6495040000009</v>
      </c>
      <c r="O351" s="10">
        <f>($F$506*O182*$F$501*Merchant!M41)/1000</f>
        <v>9109.1836920000005</v>
      </c>
      <c r="P351" s="10">
        <f>($F$506*P182*$F$501*Merchant!N41)/1000</f>
        <v>9113.7178800000002</v>
      </c>
      <c r="Q351" s="10">
        <f>($F$506*Q182*$F$501*Merchant!O41)/1000</f>
        <v>9118.2520679999998</v>
      </c>
      <c r="R351" s="10">
        <f>($F$506*R182*$F$501*Merchant!P41)/1000</f>
        <v>9122.7862560000012</v>
      </c>
      <c r="S351" s="10">
        <f>($F$506*S182*$F$501*Merchant!Q41)/1000</f>
        <v>5703.4490040000001</v>
      </c>
      <c r="T351" s="10"/>
      <c r="U351" s="10"/>
      <c r="V351" s="10"/>
      <c r="W351" s="10"/>
      <c r="X351" s="10"/>
      <c r="Y351" s="249"/>
      <c r="Z351" s="249"/>
      <c r="AA351" s="249"/>
      <c r="AB351" s="249"/>
      <c r="AC351" s="249"/>
    </row>
    <row r="352" spans="1:29" s="1" customFormat="1" x14ac:dyDescent="0.2">
      <c r="A352" s="5"/>
      <c r="B352" s="301" t="s">
        <v>249</v>
      </c>
      <c r="C352" s="5"/>
      <c r="D352" s="5"/>
      <c r="E352" s="5"/>
      <c r="F352" s="5"/>
      <c r="G352" s="5"/>
      <c r="H352" s="12"/>
      <c r="I352" s="10">
        <f>F507*(1+I27)</f>
        <v>129</v>
      </c>
      <c r="J352" s="10">
        <f t="shared" ref="J352:S352" si="124">I352*(1+I27)</f>
        <v>133.12800000000001</v>
      </c>
      <c r="K352" s="10">
        <f t="shared" si="124"/>
        <v>136.98871199999999</v>
      </c>
      <c r="L352" s="10">
        <f t="shared" si="124"/>
        <v>140.68740722399997</v>
      </c>
      <c r="M352" s="10">
        <f t="shared" si="124"/>
        <v>144.24679862676717</v>
      </c>
      <c r="N352" s="10">
        <f t="shared" si="124"/>
        <v>147.70872179380959</v>
      </c>
      <c r="O352" s="10">
        <f t="shared" si="124"/>
        <v>151.0321680341703</v>
      </c>
      <c r="P352" s="10">
        <f t="shared" si="124"/>
        <v>154.20384356288787</v>
      </c>
      <c r="Q352" s="10">
        <f t="shared" si="124"/>
        <v>157.28792043414563</v>
      </c>
      <c r="R352" s="10">
        <f t="shared" si="124"/>
        <v>160.30784850648124</v>
      </c>
      <c r="S352" s="10">
        <f t="shared" si="124"/>
        <v>163.19338977959791</v>
      </c>
      <c r="T352" s="10"/>
      <c r="U352" s="10"/>
      <c r="V352" s="10"/>
      <c r="W352" s="10"/>
      <c r="X352" s="10"/>
      <c r="Y352" s="249"/>
      <c r="Z352" s="249"/>
      <c r="AA352" s="249"/>
      <c r="AB352" s="249"/>
      <c r="AC352" s="249"/>
    </row>
    <row r="353" spans="1:29" s="1" customFormat="1" x14ac:dyDescent="0.2">
      <c r="A353" s="5"/>
      <c r="B353" s="301" t="s">
        <v>250</v>
      </c>
      <c r="C353" s="5"/>
      <c r="D353" s="5"/>
      <c r="E353" s="5"/>
      <c r="F353" s="5"/>
      <c r="G353" s="5"/>
      <c r="H353" s="12"/>
      <c r="I353" s="10">
        <f>(F483*(1+I27))/1000</f>
        <v>65.181120000000007</v>
      </c>
      <c r="J353" s="10">
        <f t="shared" ref="J353:S353" si="125">I353*(1+I27)</f>
        <v>67.26691584000001</v>
      </c>
      <c r="K353" s="10">
        <f t="shared" si="125"/>
        <v>69.21765639936001</v>
      </c>
      <c r="L353" s="10">
        <f t="shared" si="125"/>
        <v>71.086533122142725</v>
      </c>
      <c r="M353" s="10">
        <f t="shared" si="125"/>
        <v>72.885022410132947</v>
      </c>
      <c r="N353" s="10">
        <f t="shared" si="125"/>
        <v>74.63426294797614</v>
      </c>
      <c r="O353" s="10">
        <f t="shared" si="125"/>
        <v>76.313533864305597</v>
      </c>
      <c r="P353" s="10">
        <f t="shared" si="125"/>
        <v>77.916118075456012</v>
      </c>
      <c r="Q353" s="10">
        <f t="shared" si="125"/>
        <v>79.474440436965139</v>
      </c>
      <c r="R353" s="10">
        <f t="shared" si="125"/>
        <v>81.000349693354877</v>
      </c>
      <c r="S353" s="10">
        <f t="shared" si="125"/>
        <v>82.458355987835262</v>
      </c>
      <c r="T353" s="10"/>
      <c r="U353" s="10"/>
      <c r="V353" s="10"/>
      <c r="W353" s="10"/>
      <c r="X353" s="10"/>
      <c r="Y353" s="249"/>
      <c r="Z353" s="249"/>
      <c r="AA353" s="249"/>
      <c r="AB353" s="249"/>
      <c r="AC353" s="249"/>
    </row>
    <row r="354" spans="1:29" s="1" customFormat="1" x14ac:dyDescent="0.2">
      <c r="A354" s="5"/>
      <c r="B354" s="250" t="s">
        <v>251</v>
      </c>
      <c r="C354" s="5"/>
      <c r="D354" s="5"/>
      <c r="E354" s="5"/>
      <c r="F354" s="5"/>
      <c r="G354" s="5"/>
      <c r="H354" s="12"/>
      <c r="I354" s="34">
        <f>(F485*(1+I27))/1000</f>
        <v>118.68</v>
      </c>
      <c r="J354" s="34">
        <f t="shared" ref="J354:S354" si="126">I354*(1+I27)</f>
        <v>122.47776</v>
      </c>
      <c r="K354" s="34">
        <f t="shared" si="126"/>
        <v>126.02961504</v>
      </c>
      <c r="L354" s="34">
        <f t="shared" si="126"/>
        <v>129.43241464607999</v>
      </c>
      <c r="M354" s="34">
        <f t="shared" si="126"/>
        <v>132.70705473662582</v>
      </c>
      <c r="N354" s="34">
        <f t="shared" si="126"/>
        <v>135.89202405030485</v>
      </c>
      <c r="O354" s="34">
        <f t="shared" si="126"/>
        <v>138.94959459143672</v>
      </c>
      <c r="P354" s="34">
        <f t="shared" si="126"/>
        <v>141.86753607785687</v>
      </c>
      <c r="Q354" s="34">
        <f t="shared" si="126"/>
        <v>144.704886799414</v>
      </c>
      <c r="R354" s="34">
        <f t="shared" si="126"/>
        <v>147.48322062596276</v>
      </c>
      <c r="S354" s="34">
        <f t="shared" si="126"/>
        <v>150.13791859723008</v>
      </c>
      <c r="T354" s="34"/>
      <c r="U354" s="34"/>
      <c r="V354" s="34"/>
      <c r="W354" s="34"/>
      <c r="X354" s="34"/>
      <c r="Y354" s="252"/>
      <c r="Z354" s="252"/>
      <c r="AA354" s="252"/>
      <c r="AB354" s="252"/>
      <c r="AC354" s="252"/>
    </row>
    <row r="355" spans="1:29" s="1" customFormat="1" x14ac:dyDescent="0.2">
      <c r="A355" s="5"/>
      <c r="B355" s="5" t="s">
        <v>259</v>
      </c>
      <c r="C355"/>
      <c r="D355" s="5"/>
      <c r="E355" s="5"/>
      <c r="F355" s="5"/>
      <c r="G355" s="5"/>
      <c r="H355" s="12"/>
      <c r="I355" s="7">
        <f>SUM(I346:I354)</f>
        <v>16456.826114959837</v>
      </c>
      <c r="J355" s="7">
        <f t="shared" ref="J355:S355" si="127">SUM(J346:J354)</f>
        <v>15741.533216699321</v>
      </c>
      <c r="K355" s="7">
        <f t="shared" si="127"/>
        <v>15411.24874795142</v>
      </c>
      <c r="L355" s="7">
        <f t="shared" si="127"/>
        <v>15377.71171332365</v>
      </c>
      <c r="M355" s="7">
        <f t="shared" si="127"/>
        <v>15405.935627373607</v>
      </c>
      <c r="N355" s="7">
        <f t="shared" si="127"/>
        <v>15460.796343813778</v>
      </c>
      <c r="O355" s="7">
        <f t="shared" si="127"/>
        <v>15525.348265162778</v>
      </c>
      <c r="P355" s="7">
        <f t="shared" si="127"/>
        <v>15660.739106998106</v>
      </c>
      <c r="Q355" s="7">
        <f t="shared" si="127"/>
        <v>15696.678928972053</v>
      </c>
      <c r="R355" s="7">
        <f t="shared" si="127"/>
        <v>15803.726351020397</v>
      </c>
      <c r="S355" s="7">
        <f t="shared" si="127"/>
        <v>10469.093337285862</v>
      </c>
    </row>
    <row r="356" spans="1:29" s="1" customFormat="1" x14ac:dyDescent="0.2">
      <c r="A356" s="5"/>
      <c r="B356" s="5"/>
      <c r="C356" s="5"/>
      <c r="D356" s="5"/>
      <c r="E356" s="5"/>
      <c r="F356" s="5"/>
      <c r="G356" s="5"/>
      <c r="H356" s="12"/>
    </row>
    <row r="357" spans="1:29" s="1" customFormat="1" x14ac:dyDescent="0.2">
      <c r="A357" s="5"/>
      <c r="B357" s="5" t="s">
        <v>261</v>
      </c>
      <c r="C357" s="5"/>
      <c r="D357" s="5"/>
      <c r="E357" s="5"/>
      <c r="F357" s="5"/>
      <c r="G357" s="5"/>
      <c r="H357" s="12"/>
      <c r="I357" s="7">
        <f>I344-I355</f>
        <v>-13709.826114959837</v>
      </c>
      <c r="J357" s="7">
        <f t="shared" ref="J357:S357" si="128">J344-J355</f>
        <v>-12956.533216699321</v>
      </c>
      <c r="K357" s="7">
        <f t="shared" si="128"/>
        <v>-12588.24874795142</v>
      </c>
      <c r="L357" s="7">
        <f t="shared" si="128"/>
        <v>-12516.71171332365</v>
      </c>
      <c r="M357" s="7">
        <f t="shared" si="128"/>
        <v>-12505.935627373607</v>
      </c>
      <c r="N357" s="7">
        <f t="shared" si="128"/>
        <v>-12521.796343813778</v>
      </c>
      <c r="O357" s="7">
        <f t="shared" si="128"/>
        <v>-12546.348265162778</v>
      </c>
      <c r="P357" s="7">
        <f t="shared" si="128"/>
        <v>-12641.739106998106</v>
      </c>
      <c r="Q357" s="7">
        <f t="shared" si="128"/>
        <v>-12636.678928972053</v>
      </c>
      <c r="R357" s="7">
        <f t="shared" si="128"/>
        <v>-12702.726351020397</v>
      </c>
      <c r="S357" s="7">
        <f t="shared" si="128"/>
        <v>-8504.0933372858617</v>
      </c>
    </row>
    <row r="358" spans="1:29" s="1" customFormat="1" x14ac:dyDescent="0.2">
      <c r="A358" s="5"/>
      <c r="B358" s="5"/>
      <c r="C358" s="5"/>
      <c r="D358" s="5"/>
      <c r="E358" s="5"/>
      <c r="F358" s="5"/>
      <c r="G358" s="5"/>
      <c r="H358" s="12"/>
    </row>
    <row r="359" spans="1:29" s="1" customFormat="1" x14ac:dyDescent="0.2">
      <c r="A359" s="5"/>
      <c r="B359" s="5" t="s">
        <v>113</v>
      </c>
      <c r="D359" s="5"/>
      <c r="E359" s="5"/>
      <c r="F359" s="352">
        <f>+$K$9</f>
        <v>0.5</v>
      </c>
      <c r="G359" s="353"/>
      <c r="H359" s="12" t="s">
        <v>31</v>
      </c>
      <c r="I359" s="7">
        <f>+I357*$F$336</f>
        <v>-6854.9130574799183</v>
      </c>
      <c r="J359" s="7">
        <f t="shared" ref="J359:S359" si="129">+J357*$F$336</f>
        <v>-6478.2666083496606</v>
      </c>
      <c r="K359" s="7">
        <f t="shared" si="129"/>
        <v>-6294.1243739757101</v>
      </c>
      <c r="L359" s="7">
        <f t="shared" si="129"/>
        <v>-6258.3558566618249</v>
      </c>
      <c r="M359" s="7">
        <f t="shared" si="129"/>
        <v>-6252.9678136868033</v>
      </c>
      <c r="N359" s="7">
        <f t="shared" si="129"/>
        <v>-6260.8981719068888</v>
      </c>
      <c r="O359" s="7">
        <f t="shared" si="129"/>
        <v>-6273.1741325813891</v>
      </c>
      <c r="P359" s="7">
        <f t="shared" si="129"/>
        <v>-6320.8695534990529</v>
      </c>
      <c r="Q359" s="7">
        <f t="shared" si="129"/>
        <v>-6318.3394644860264</v>
      </c>
      <c r="R359" s="7">
        <f t="shared" si="129"/>
        <v>-6351.3631755101987</v>
      </c>
      <c r="S359" s="7">
        <f t="shared" si="129"/>
        <v>-4252.0466686429309</v>
      </c>
    </row>
    <row r="360" spans="1:29" s="1" customFormat="1" x14ac:dyDescent="0.2">
      <c r="A360" s="5"/>
      <c r="B360" s="5"/>
      <c r="C360" s="5"/>
      <c r="D360" s="5"/>
      <c r="E360" s="5"/>
      <c r="F360" s="5"/>
      <c r="G360" s="5"/>
      <c r="H360" s="12"/>
    </row>
    <row r="361" spans="1:29" s="1" customFormat="1" x14ac:dyDescent="0.2">
      <c r="A361" s="5"/>
      <c r="B361" s="5" t="s">
        <v>188</v>
      </c>
      <c r="D361" s="5"/>
      <c r="E361" s="5"/>
      <c r="F361" s="354">
        <f>K10</f>
        <v>0.11</v>
      </c>
      <c r="G361" s="355"/>
      <c r="H361" s="12" t="s">
        <v>31</v>
      </c>
      <c r="I361" s="98">
        <f>NPV($F361,J359:$AC359)</f>
        <v>-36475.846532399089</v>
      </c>
      <c r="J361" s="98">
        <f>NPV($F361,K359:$AC359)</f>
        <v>-34009.923042613336</v>
      </c>
      <c r="K361" s="98">
        <f>NPV($F361,L359:$AC359)</f>
        <v>-31456.890203325096</v>
      </c>
      <c r="L361" s="98">
        <f>NPV($F361,M359:$AC359)</f>
        <v>-28658.792269029036</v>
      </c>
      <c r="M361" s="98">
        <f>NPV($F361,N359:$AC359)</f>
        <v>-25558.291604935428</v>
      </c>
      <c r="N361" s="98">
        <f>NPV($F361,O359:$AC359)</f>
        <v>-22108.805509571437</v>
      </c>
      <c r="O361" s="98">
        <f>NPV($F361,P359:$AC359)</f>
        <v>-18267.599983042906</v>
      </c>
      <c r="P361" s="98">
        <f>NPV($F361,Q359:$AC359)</f>
        <v>-13956.166427678578</v>
      </c>
      <c r="Q361" s="98">
        <f>NPV($F361,R359:$AC359)</f>
        <v>-9173.0052702371977</v>
      </c>
      <c r="R361" s="98">
        <f>NPV($F361,S359:$AC359)</f>
        <v>-3830.6726744530906</v>
      </c>
      <c r="S361" s="98">
        <f>NPV($F361,T359:$AC359)</f>
        <v>0</v>
      </c>
    </row>
    <row r="362" spans="1:29" s="1" customFormat="1" x14ac:dyDescent="0.2">
      <c r="A362" s="5"/>
      <c r="B362" s="5"/>
      <c r="D362" s="5"/>
      <c r="E362" s="5"/>
      <c r="F362" s="149"/>
      <c r="G362" s="149"/>
      <c r="H362" s="12"/>
      <c r="I362" s="178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</row>
    <row r="363" spans="1:29" s="1" customFormat="1" x14ac:dyDescent="0.2">
      <c r="A363" s="13" t="s">
        <v>76</v>
      </c>
      <c r="B363" s="5"/>
      <c r="C363" s="5"/>
      <c r="D363" s="5"/>
      <c r="E363" s="5"/>
      <c r="F363" s="5"/>
      <c r="G363" s="5"/>
      <c r="H363" s="12"/>
      <c r="I363" s="223"/>
    </row>
    <row r="364" spans="1:29" s="1" customFormat="1" x14ac:dyDescent="0.2">
      <c r="A364" s="5"/>
      <c r="B364" s="5"/>
      <c r="C364" s="5"/>
      <c r="D364" s="5"/>
      <c r="E364" s="5"/>
      <c r="F364" s="5"/>
      <c r="G364" s="5"/>
      <c r="H364" s="12"/>
    </row>
    <row r="365" spans="1:29" s="1" customFormat="1" x14ac:dyDescent="0.2">
      <c r="A365" s="5"/>
      <c r="B365" s="13" t="s">
        <v>97</v>
      </c>
      <c r="C365" s="5"/>
      <c r="D365" s="5"/>
      <c r="E365" s="5"/>
      <c r="F365" s="5"/>
      <c r="G365" s="5"/>
      <c r="H365" s="12"/>
    </row>
    <row r="366" spans="1:29" s="1" customFormat="1" x14ac:dyDescent="0.2">
      <c r="A366" s="5"/>
      <c r="B366" s="5" t="s">
        <v>95</v>
      </c>
      <c r="D366" s="5"/>
      <c r="E366" s="5"/>
      <c r="F366" s="409">
        <f>50000*0.75</f>
        <v>37500</v>
      </c>
      <c r="G366" s="410"/>
      <c r="H366" s="12" t="s">
        <v>31</v>
      </c>
      <c r="I366" s="7">
        <f>$F366*(I$25/24)*I63/1000</f>
        <v>63920.625</v>
      </c>
      <c r="J366" s="7">
        <f t="shared" ref="J366:T366" si="130">$F$366*(J25/24)*J63/1000</f>
        <v>65836.874999999985</v>
      </c>
      <c r="K366" s="7">
        <f t="shared" si="130"/>
        <v>68985</v>
      </c>
      <c r="L366" s="7">
        <f t="shared" si="130"/>
        <v>69585.75</v>
      </c>
      <c r="M366" s="7">
        <f t="shared" si="130"/>
        <v>71859.375</v>
      </c>
      <c r="N366" s="7">
        <f t="shared" si="130"/>
        <v>72817.5</v>
      </c>
      <c r="O366" s="7">
        <f t="shared" si="130"/>
        <v>74870.625</v>
      </c>
      <c r="P366" s="7">
        <f t="shared" si="130"/>
        <v>76997.25</v>
      </c>
      <c r="Q366" s="7">
        <f t="shared" si="130"/>
        <v>80208.75</v>
      </c>
      <c r="R366" s="7">
        <f t="shared" si="130"/>
        <v>80893.125</v>
      </c>
      <c r="S366" s="7">
        <f t="shared" si="130"/>
        <v>83493.75</v>
      </c>
      <c r="T366" s="7">
        <f t="shared" si="130"/>
        <v>86414.086294416236</v>
      </c>
      <c r="U366" s="7">
        <f>$F$366*(U25/24)*U63/1000*11/12</f>
        <v>81536.133782684963</v>
      </c>
      <c r="V366" s="136">
        <v>0</v>
      </c>
      <c r="W366" s="136">
        <v>0</v>
      </c>
      <c r="X366" s="136">
        <v>0</v>
      </c>
      <c r="Y366" s="136">
        <v>0</v>
      </c>
      <c r="Z366" s="136">
        <v>0</v>
      </c>
      <c r="AA366" s="136">
        <v>0</v>
      </c>
      <c r="AB366" s="136">
        <v>0</v>
      </c>
      <c r="AC366" s="136">
        <v>0</v>
      </c>
    </row>
    <row r="367" spans="1:29" s="1" customFormat="1" x14ac:dyDescent="0.2">
      <c r="A367" s="5"/>
      <c r="B367" s="5" t="s">
        <v>96</v>
      </c>
      <c r="D367" s="5"/>
      <c r="E367" s="5"/>
      <c r="F367" s="409">
        <f>0.75*23000+25000</f>
        <v>42250</v>
      </c>
      <c r="G367" s="410"/>
      <c r="H367" s="12" t="s">
        <v>31</v>
      </c>
      <c r="I367" s="20">
        <f>$F367*(I$25/24)*I64/1000</f>
        <v>57521.262499999997</v>
      </c>
      <c r="J367" s="20">
        <f t="shared" ref="J367:S367" si="131">$F$367*(J$25/24)*J64/1000</f>
        <v>59834.45</v>
      </c>
      <c r="K367" s="20">
        <f t="shared" si="131"/>
        <v>62301.85</v>
      </c>
      <c r="L367" s="20">
        <f t="shared" si="131"/>
        <v>63554.985000000008</v>
      </c>
      <c r="M367" s="20">
        <f t="shared" si="131"/>
        <v>65386.1</v>
      </c>
      <c r="N367" s="20">
        <f t="shared" si="131"/>
        <v>67236.649999999994</v>
      </c>
      <c r="O367" s="20">
        <f t="shared" si="131"/>
        <v>69087.199999999997</v>
      </c>
      <c r="P367" s="20">
        <f t="shared" si="131"/>
        <v>71596.005000000005</v>
      </c>
      <c r="Q367" s="20">
        <f t="shared" si="131"/>
        <v>73867.787500000006</v>
      </c>
      <c r="R367" s="20">
        <f t="shared" si="131"/>
        <v>74793.0625</v>
      </c>
      <c r="S367" s="20">
        <f t="shared" si="131"/>
        <v>77106.25</v>
      </c>
      <c r="T367" s="20">
        <f>$F$367*(T$25/24)*T77/1000</f>
        <v>60059.589687500018</v>
      </c>
      <c r="U367" s="20">
        <f>$F$367*(U$25/24)*U77/1000*11/12</f>
        <v>56035.093077256948</v>
      </c>
      <c r="V367" s="137">
        <v>0</v>
      </c>
      <c r="W367" s="137">
        <v>0</v>
      </c>
      <c r="X367" s="137">
        <v>0</v>
      </c>
      <c r="Y367" s="137">
        <v>0</v>
      </c>
      <c r="Z367" s="137">
        <v>0</v>
      </c>
      <c r="AA367" s="137">
        <v>0</v>
      </c>
      <c r="AB367" s="137">
        <v>0</v>
      </c>
      <c r="AC367" s="137">
        <v>0</v>
      </c>
    </row>
    <row r="368" spans="1:29" s="1" customFormat="1" x14ac:dyDescent="0.2">
      <c r="A368" s="5"/>
      <c r="B368" s="5" t="s">
        <v>3</v>
      </c>
      <c r="D368" s="5"/>
      <c r="E368" s="5"/>
      <c r="F368" s="5"/>
      <c r="G368" s="5"/>
      <c r="H368" s="12" t="s">
        <v>31</v>
      </c>
      <c r="I368" s="59">
        <f t="shared" ref="I368:AC368" si="132">SUM(I366:I367)</f>
        <v>121441.8875</v>
      </c>
      <c r="J368" s="59">
        <f t="shared" si="132"/>
        <v>125671.32499999998</v>
      </c>
      <c r="K368" s="59">
        <f t="shared" si="132"/>
        <v>131286.85</v>
      </c>
      <c r="L368" s="59">
        <f t="shared" si="132"/>
        <v>133140.73500000002</v>
      </c>
      <c r="M368" s="59">
        <f t="shared" si="132"/>
        <v>137245.47500000001</v>
      </c>
      <c r="N368" s="59">
        <f t="shared" si="132"/>
        <v>140054.15</v>
      </c>
      <c r="O368" s="59">
        <f t="shared" si="132"/>
        <v>143957.82500000001</v>
      </c>
      <c r="P368" s="59">
        <f t="shared" si="132"/>
        <v>148593.255</v>
      </c>
      <c r="Q368" s="59">
        <f t="shared" si="132"/>
        <v>154076.53750000001</v>
      </c>
      <c r="R368" s="59">
        <f t="shared" si="132"/>
        <v>155686.1875</v>
      </c>
      <c r="S368" s="59">
        <f t="shared" si="132"/>
        <v>160600</v>
      </c>
      <c r="T368" s="59">
        <f t="shared" si="132"/>
        <v>146473.67598191625</v>
      </c>
      <c r="U368" s="59">
        <f t="shared" si="132"/>
        <v>137571.2268599419</v>
      </c>
      <c r="V368" s="59">
        <f t="shared" si="132"/>
        <v>0</v>
      </c>
      <c r="W368" s="59">
        <f t="shared" si="132"/>
        <v>0</v>
      </c>
      <c r="X368" s="59">
        <f t="shared" si="132"/>
        <v>0</v>
      </c>
      <c r="Y368" s="59">
        <f t="shared" si="132"/>
        <v>0</v>
      </c>
      <c r="Z368" s="59">
        <f t="shared" si="132"/>
        <v>0</v>
      </c>
      <c r="AA368" s="59">
        <f t="shared" si="132"/>
        <v>0</v>
      </c>
      <c r="AB368" s="59">
        <f t="shared" si="132"/>
        <v>0</v>
      </c>
      <c r="AC368" s="59">
        <f t="shared" si="132"/>
        <v>0</v>
      </c>
    </row>
    <row r="369" spans="1:29" s="1" customFormat="1" x14ac:dyDescent="0.2">
      <c r="A369" s="5"/>
      <c r="B369" s="5"/>
      <c r="C369" s="5"/>
      <c r="D369" s="5"/>
      <c r="E369" s="5"/>
      <c r="F369" s="5"/>
      <c r="G369" s="5"/>
      <c r="H369" s="12"/>
    </row>
    <row r="370" spans="1:29" s="1" customFormat="1" x14ac:dyDescent="0.2">
      <c r="A370" s="5"/>
      <c r="B370" s="13" t="s">
        <v>98</v>
      </c>
      <c r="C370" s="5"/>
      <c r="D370" s="5"/>
      <c r="E370" s="5"/>
      <c r="F370" s="5"/>
      <c r="G370" s="5"/>
      <c r="H370" s="12"/>
    </row>
    <row r="371" spans="1:29" s="1" customFormat="1" x14ac:dyDescent="0.2">
      <c r="A371" s="5"/>
      <c r="B371" s="5" t="s">
        <v>95</v>
      </c>
      <c r="D371" s="5"/>
      <c r="E371" s="5"/>
      <c r="F371" s="406">
        <f>+F366</f>
        <v>37500</v>
      </c>
      <c r="G371" s="407"/>
      <c r="H371" s="12" t="s">
        <v>31</v>
      </c>
      <c r="I371" s="7">
        <f>$F371*(I$25/24)*I80/1000</f>
        <v>48727.5</v>
      </c>
      <c r="J371" s="7">
        <f t="shared" ref="J371:U371" si="133">$F371*(J$25/24)*J80/1000</f>
        <v>48727.5</v>
      </c>
      <c r="K371" s="7">
        <f t="shared" si="133"/>
        <v>48727.5</v>
      </c>
      <c r="L371" s="7">
        <f t="shared" si="133"/>
        <v>48861</v>
      </c>
      <c r="M371" s="7">
        <f t="shared" si="133"/>
        <v>48727.5</v>
      </c>
      <c r="N371" s="7">
        <f t="shared" si="133"/>
        <v>48727.5</v>
      </c>
      <c r="O371" s="7">
        <f t="shared" si="133"/>
        <v>48727.5</v>
      </c>
      <c r="P371" s="7">
        <f t="shared" si="133"/>
        <v>48861</v>
      </c>
      <c r="Q371" s="7">
        <f t="shared" si="133"/>
        <v>48727.5</v>
      </c>
      <c r="R371" s="7">
        <f t="shared" si="133"/>
        <v>48727.5</v>
      </c>
      <c r="S371" s="7">
        <f t="shared" si="133"/>
        <v>48727.5</v>
      </c>
      <c r="T371" s="7">
        <f t="shared" si="133"/>
        <v>48861</v>
      </c>
      <c r="U371" s="7">
        <f t="shared" si="133"/>
        <v>48727.5</v>
      </c>
      <c r="V371" s="136">
        <v>0</v>
      </c>
      <c r="W371" s="136">
        <v>0</v>
      </c>
      <c r="X371" s="136">
        <v>0</v>
      </c>
      <c r="Y371" s="136">
        <v>0</v>
      </c>
      <c r="Z371" s="136">
        <v>0</v>
      </c>
      <c r="AA371" s="136">
        <v>0</v>
      </c>
      <c r="AB371" s="136">
        <v>0</v>
      </c>
      <c r="AC371" s="136">
        <v>0</v>
      </c>
    </row>
    <row r="372" spans="1:29" s="1" customFormat="1" x14ac:dyDescent="0.2">
      <c r="A372" s="5"/>
      <c r="B372" s="5" t="s">
        <v>96</v>
      </c>
      <c r="D372" s="5"/>
      <c r="E372" s="5"/>
      <c r="F372" s="406">
        <f>+F367</f>
        <v>42250</v>
      </c>
      <c r="G372" s="407"/>
      <c r="H372" s="12" t="s">
        <v>31</v>
      </c>
      <c r="I372" s="20">
        <f>$F372*(I$25/24)*I81/1000</f>
        <v>58909.175000000003</v>
      </c>
      <c r="J372" s="20">
        <f t="shared" ref="J372:U372" si="134">$F372*(J$25/24)*J81/1000</f>
        <v>58909.175000000003</v>
      </c>
      <c r="K372" s="20">
        <f t="shared" si="134"/>
        <v>58909.175000000003</v>
      </c>
      <c r="L372" s="20">
        <f t="shared" si="134"/>
        <v>59070.57</v>
      </c>
      <c r="M372" s="20">
        <f t="shared" si="134"/>
        <v>58909.175000000003</v>
      </c>
      <c r="N372" s="20">
        <f t="shared" si="134"/>
        <v>58909.175000000003</v>
      </c>
      <c r="O372" s="20">
        <f t="shared" si="134"/>
        <v>58909.175000000003</v>
      </c>
      <c r="P372" s="20">
        <f t="shared" si="134"/>
        <v>59070.57</v>
      </c>
      <c r="Q372" s="20">
        <f t="shared" si="134"/>
        <v>58909.175000000003</v>
      </c>
      <c r="R372" s="20">
        <f t="shared" si="134"/>
        <v>58909.175000000003</v>
      </c>
      <c r="S372" s="20">
        <f t="shared" si="134"/>
        <v>58909.175000000003</v>
      </c>
      <c r="T372" s="20">
        <f t="shared" si="134"/>
        <v>59070.57</v>
      </c>
      <c r="U372" s="20">
        <f t="shared" si="134"/>
        <v>58909.175000000003</v>
      </c>
      <c r="V372" s="137">
        <v>0</v>
      </c>
      <c r="W372" s="137">
        <v>0</v>
      </c>
      <c r="X372" s="137">
        <v>0</v>
      </c>
      <c r="Y372" s="137">
        <v>0</v>
      </c>
      <c r="Z372" s="137">
        <v>0</v>
      </c>
      <c r="AA372" s="137">
        <v>0</v>
      </c>
      <c r="AB372" s="137">
        <v>0</v>
      </c>
      <c r="AC372" s="137">
        <v>0</v>
      </c>
    </row>
    <row r="373" spans="1:29" s="1" customFormat="1" x14ac:dyDescent="0.2">
      <c r="A373" s="5"/>
      <c r="B373" s="5" t="s">
        <v>3</v>
      </c>
      <c r="D373" s="5"/>
      <c r="E373" s="5"/>
      <c r="F373" s="5"/>
      <c r="G373" s="5"/>
      <c r="H373" s="12" t="s">
        <v>31</v>
      </c>
      <c r="I373" s="59">
        <f t="shared" ref="I373:AC373" si="135">SUM(I371:I372)</f>
        <v>107636.675</v>
      </c>
      <c r="J373" s="59">
        <f t="shared" si="135"/>
        <v>107636.675</v>
      </c>
      <c r="K373" s="59">
        <f t="shared" si="135"/>
        <v>107636.675</v>
      </c>
      <c r="L373" s="59">
        <f t="shared" si="135"/>
        <v>107931.57</v>
      </c>
      <c r="M373" s="59">
        <f t="shared" si="135"/>
        <v>107636.675</v>
      </c>
      <c r="N373" s="59">
        <f t="shared" si="135"/>
        <v>107636.675</v>
      </c>
      <c r="O373" s="59">
        <f t="shared" si="135"/>
        <v>107636.675</v>
      </c>
      <c r="P373" s="59">
        <f t="shared" si="135"/>
        <v>107931.57</v>
      </c>
      <c r="Q373" s="59">
        <f t="shared" si="135"/>
        <v>107636.675</v>
      </c>
      <c r="R373" s="59">
        <f t="shared" si="135"/>
        <v>107636.675</v>
      </c>
      <c r="S373" s="59">
        <f t="shared" si="135"/>
        <v>107636.675</v>
      </c>
      <c r="T373" s="59">
        <f t="shared" si="135"/>
        <v>107931.57</v>
      </c>
      <c r="U373" s="59">
        <f t="shared" si="135"/>
        <v>107636.675</v>
      </c>
      <c r="V373" s="59">
        <f t="shared" si="135"/>
        <v>0</v>
      </c>
      <c r="W373" s="59">
        <f t="shared" si="135"/>
        <v>0</v>
      </c>
      <c r="X373" s="59">
        <f t="shared" si="135"/>
        <v>0</v>
      </c>
      <c r="Y373" s="59">
        <f t="shared" si="135"/>
        <v>0</v>
      </c>
      <c r="Z373" s="59">
        <f t="shared" si="135"/>
        <v>0</v>
      </c>
      <c r="AA373" s="59">
        <f t="shared" si="135"/>
        <v>0</v>
      </c>
      <c r="AB373" s="59">
        <f t="shared" si="135"/>
        <v>0</v>
      </c>
      <c r="AC373" s="59">
        <f t="shared" si="135"/>
        <v>0</v>
      </c>
    </row>
    <row r="374" spans="1:29" s="1" customFormat="1" x14ac:dyDescent="0.2">
      <c r="A374" s="5"/>
      <c r="C374" s="5"/>
      <c r="D374" s="5"/>
      <c r="E374" s="5"/>
      <c r="F374" s="5"/>
      <c r="G374" s="5"/>
      <c r="H374" s="12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spans="1:29" s="1" customFormat="1" x14ac:dyDescent="0.2">
      <c r="A375" s="5"/>
      <c r="B375" s="13" t="s">
        <v>77</v>
      </c>
      <c r="C375" s="5"/>
      <c r="D375" s="5"/>
      <c r="E375" s="5"/>
      <c r="F375" s="5"/>
      <c r="G375" s="5"/>
      <c r="H375" s="12"/>
    </row>
    <row r="376" spans="1:29" s="1" customFormat="1" x14ac:dyDescent="0.2">
      <c r="A376" s="5"/>
      <c r="B376" s="5" t="s">
        <v>2</v>
      </c>
      <c r="D376" s="5"/>
      <c r="E376" s="5"/>
      <c r="F376" s="5"/>
      <c r="G376" s="5"/>
      <c r="H376" s="12" t="s">
        <v>31</v>
      </c>
      <c r="I376" s="7">
        <f t="shared" ref="I376:AC376" si="136">+I366-I371</f>
        <v>15193.125</v>
      </c>
      <c r="J376" s="7">
        <f t="shared" si="136"/>
        <v>17109.374999999985</v>
      </c>
      <c r="K376" s="7">
        <f t="shared" si="136"/>
        <v>20257.5</v>
      </c>
      <c r="L376" s="7">
        <f t="shared" si="136"/>
        <v>20724.75</v>
      </c>
      <c r="M376" s="7">
        <f t="shared" si="136"/>
        <v>23131.875</v>
      </c>
      <c r="N376" s="7">
        <f t="shared" si="136"/>
        <v>24090</v>
      </c>
      <c r="O376" s="7">
        <f t="shared" si="136"/>
        <v>26143.125</v>
      </c>
      <c r="P376" s="7">
        <f t="shared" si="136"/>
        <v>28136.25</v>
      </c>
      <c r="Q376" s="7">
        <f t="shared" si="136"/>
        <v>31481.25</v>
      </c>
      <c r="R376" s="7">
        <f t="shared" si="136"/>
        <v>32165.625</v>
      </c>
      <c r="S376" s="7">
        <f t="shared" si="136"/>
        <v>34766.25</v>
      </c>
      <c r="T376" s="7">
        <f t="shared" si="136"/>
        <v>37553.086294416236</v>
      </c>
      <c r="U376" s="7">
        <f t="shared" si="136"/>
        <v>32808.633782684963</v>
      </c>
      <c r="V376" s="7">
        <f t="shared" si="136"/>
        <v>0</v>
      </c>
      <c r="W376" s="7">
        <f t="shared" si="136"/>
        <v>0</v>
      </c>
      <c r="X376" s="7">
        <f t="shared" si="136"/>
        <v>0</v>
      </c>
      <c r="Y376" s="7">
        <f t="shared" si="136"/>
        <v>0</v>
      </c>
      <c r="Z376" s="7">
        <f t="shared" si="136"/>
        <v>0</v>
      </c>
      <c r="AA376" s="7">
        <f t="shared" si="136"/>
        <v>0</v>
      </c>
      <c r="AB376" s="7">
        <f t="shared" si="136"/>
        <v>0</v>
      </c>
      <c r="AC376" s="7">
        <f t="shared" si="136"/>
        <v>0</v>
      </c>
    </row>
    <row r="377" spans="1:29" s="1" customFormat="1" x14ac:dyDescent="0.2">
      <c r="A377" s="5"/>
      <c r="B377" s="5" t="s">
        <v>53</v>
      </c>
      <c r="D377" s="5"/>
      <c r="E377" s="5"/>
      <c r="F377" s="5"/>
      <c r="G377" s="5"/>
      <c r="H377" s="12" t="s">
        <v>31</v>
      </c>
      <c r="I377" s="20">
        <f t="shared" ref="I377:AC377" si="137">+I367-I372</f>
        <v>-1387.9125000000058</v>
      </c>
      <c r="J377" s="20">
        <f t="shared" si="137"/>
        <v>925.27499999999418</v>
      </c>
      <c r="K377" s="20">
        <f t="shared" si="137"/>
        <v>3392.6749999999956</v>
      </c>
      <c r="L377" s="20">
        <f t="shared" si="137"/>
        <v>4484.4150000000081</v>
      </c>
      <c r="M377" s="20">
        <f t="shared" si="137"/>
        <v>6476.9249999999956</v>
      </c>
      <c r="N377" s="20">
        <f t="shared" si="137"/>
        <v>8327.4749999999913</v>
      </c>
      <c r="O377" s="20">
        <f t="shared" si="137"/>
        <v>10178.024999999994</v>
      </c>
      <c r="P377" s="20">
        <f t="shared" si="137"/>
        <v>12525.435000000005</v>
      </c>
      <c r="Q377" s="20">
        <f t="shared" si="137"/>
        <v>14958.612500000003</v>
      </c>
      <c r="R377" s="20">
        <f t="shared" si="137"/>
        <v>15883.887499999997</v>
      </c>
      <c r="S377" s="20">
        <f t="shared" si="137"/>
        <v>18197.074999999997</v>
      </c>
      <c r="T377" s="20">
        <f t="shared" si="137"/>
        <v>989.01968750001834</v>
      </c>
      <c r="U377" s="20">
        <f t="shared" si="137"/>
        <v>-2874.0819227430547</v>
      </c>
      <c r="V377" s="20">
        <f t="shared" si="137"/>
        <v>0</v>
      </c>
      <c r="W377" s="20">
        <f t="shared" si="137"/>
        <v>0</v>
      </c>
      <c r="X377" s="20">
        <f t="shared" si="137"/>
        <v>0</v>
      </c>
      <c r="Y377" s="20">
        <f t="shared" si="137"/>
        <v>0</v>
      </c>
      <c r="Z377" s="20">
        <f t="shared" si="137"/>
        <v>0</v>
      </c>
      <c r="AA377" s="20">
        <f t="shared" si="137"/>
        <v>0</v>
      </c>
      <c r="AB377" s="20">
        <f t="shared" si="137"/>
        <v>0</v>
      </c>
      <c r="AC377" s="20">
        <f t="shared" si="137"/>
        <v>0</v>
      </c>
    </row>
    <row r="378" spans="1:29" s="1" customFormat="1" x14ac:dyDescent="0.2">
      <c r="B378" s="5" t="s">
        <v>3</v>
      </c>
      <c r="D378" s="5"/>
      <c r="E378" s="5"/>
      <c r="F378" s="5"/>
      <c r="G378" s="5"/>
      <c r="H378" s="12" t="s">
        <v>31</v>
      </c>
      <c r="I378" s="7">
        <f t="shared" ref="I378:AC378" si="138">SUM(I376:I377)</f>
        <v>13805.212499999994</v>
      </c>
      <c r="J378" s="7">
        <f t="shared" si="138"/>
        <v>18034.64999999998</v>
      </c>
      <c r="K378" s="7">
        <f t="shared" si="138"/>
        <v>23650.174999999996</v>
      </c>
      <c r="L378" s="7">
        <f t="shared" si="138"/>
        <v>25209.165000000008</v>
      </c>
      <c r="M378" s="7">
        <f t="shared" si="138"/>
        <v>29608.799999999996</v>
      </c>
      <c r="N378" s="7">
        <f t="shared" si="138"/>
        <v>32417.474999999991</v>
      </c>
      <c r="O378" s="7">
        <f t="shared" si="138"/>
        <v>36321.149999999994</v>
      </c>
      <c r="P378" s="7">
        <f t="shared" si="138"/>
        <v>40661.685000000005</v>
      </c>
      <c r="Q378" s="7">
        <f t="shared" si="138"/>
        <v>46439.862500000003</v>
      </c>
      <c r="R378" s="7">
        <f t="shared" si="138"/>
        <v>48049.512499999997</v>
      </c>
      <c r="S378" s="7">
        <f t="shared" si="138"/>
        <v>52963.324999999997</v>
      </c>
      <c r="T378" s="7">
        <f t="shared" si="138"/>
        <v>38542.105981916255</v>
      </c>
      <c r="U378" s="7">
        <f t="shared" si="138"/>
        <v>29934.551859941908</v>
      </c>
      <c r="V378" s="7">
        <f t="shared" si="138"/>
        <v>0</v>
      </c>
      <c r="W378" s="7">
        <f t="shared" si="138"/>
        <v>0</v>
      </c>
      <c r="X378" s="7">
        <f t="shared" si="138"/>
        <v>0</v>
      </c>
      <c r="Y378" s="7">
        <f t="shared" si="138"/>
        <v>0</v>
      </c>
      <c r="Z378" s="7">
        <f t="shared" si="138"/>
        <v>0</v>
      </c>
      <c r="AA378" s="7">
        <f t="shared" si="138"/>
        <v>0</v>
      </c>
      <c r="AB378" s="7">
        <f t="shared" si="138"/>
        <v>0</v>
      </c>
      <c r="AC378" s="7">
        <f t="shared" si="138"/>
        <v>0</v>
      </c>
    </row>
    <row r="379" spans="1:29" s="1" customFormat="1" x14ac:dyDescent="0.2"/>
    <row r="380" spans="1:29" s="1" customFormat="1" x14ac:dyDescent="0.2">
      <c r="B380" s="5" t="s">
        <v>113</v>
      </c>
      <c r="D380" s="5"/>
      <c r="E380" s="5"/>
      <c r="F380" s="352">
        <f>+$K$9</f>
        <v>0.5</v>
      </c>
      <c r="G380" s="353"/>
      <c r="H380" s="12" t="s">
        <v>31</v>
      </c>
      <c r="I380" s="10">
        <f>+I378*$F$380</f>
        <v>6902.6062499999971</v>
      </c>
      <c r="J380" s="10">
        <f t="shared" ref="J380:AC380" si="139">+J378*$F$380</f>
        <v>9017.3249999999898</v>
      </c>
      <c r="K380" s="10">
        <f t="shared" si="139"/>
        <v>11825.087499999998</v>
      </c>
      <c r="L380" s="10">
        <f t="shared" si="139"/>
        <v>12604.582500000004</v>
      </c>
      <c r="M380" s="10">
        <f t="shared" si="139"/>
        <v>14804.399999999998</v>
      </c>
      <c r="N380" s="10">
        <f t="shared" si="139"/>
        <v>16208.737499999996</v>
      </c>
      <c r="O380" s="10">
        <f t="shared" si="139"/>
        <v>18160.574999999997</v>
      </c>
      <c r="P380" s="10">
        <f t="shared" si="139"/>
        <v>20330.842500000002</v>
      </c>
      <c r="Q380" s="10">
        <f t="shared" si="139"/>
        <v>23219.931250000001</v>
      </c>
      <c r="R380" s="10">
        <f t="shared" si="139"/>
        <v>24024.756249999999</v>
      </c>
      <c r="S380" s="10">
        <f t="shared" si="139"/>
        <v>26481.662499999999</v>
      </c>
      <c r="T380" s="10">
        <f t="shared" si="139"/>
        <v>19271.052990958127</v>
      </c>
      <c r="U380" s="10">
        <f t="shared" si="139"/>
        <v>14967.275929970954</v>
      </c>
      <c r="V380" s="10">
        <f t="shared" si="139"/>
        <v>0</v>
      </c>
      <c r="W380" s="10">
        <f t="shared" si="139"/>
        <v>0</v>
      </c>
      <c r="X380" s="10">
        <f t="shared" si="139"/>
        <v>0</v>
      </c>
      <c r="Y380" s="10">
        <f t="shared" si="139"/>
        <v>0</v>
      </c>
      <c r="Z380" s="10">
        <f t="shared" si="139"/>
        <v>0</v>
      </c>
      <c r="AA380" s="10">
        <f t="shared" si="139"/>
        <v>0</v>
      </c>
      <c r="AB380" s="10">
        <f t="shared" si="139"/>
        <v>0</v>
      </c>
      <c r="AC380" s="10">
        <f t="shared" si="139"/>
        <v>0</v>
      </c>
    </row>
    <row r="381" spans="1:29" s="1" customFormat="1" x14ac:dyDescent="0.2"/>
    <row r="382" spans="1:29" s="1" customFormat="1" x14ac:dyDescent="0.2">
      <c r="A382" s="5"/>
      <c r="B382" s="5" t="s">
        <v>188</v>
      </c>
      <c r="D382" s="5"/>
      <c r="E382" s="5"/>
      <c r="F382" s="354">
        <f>+U13</f>
        <v>8.6879999999999999E-2</v>
      </c>
      <c r="G382" s="355"/>
      <c r="H382" s="12" t="s">
        <v>31</v>
      </c>
      <c r="I382" s="98">
        <f>NPV($F382,J380:$AC380)</f>
        <v>119783.499513168</v>
      </c>
      <c r="J382" s="98">
        <f>NPV($F382,K380:$AC380)</f>
        <v>121172.96495087208</v>
      </c>
      <c r="K382" s="98">
        <f>NPV($F382,L380:$AC380)</f>
        <v>119875.38464580383</v>
      </c>
      <c r="L382" s="98">
        <f>NPV($F382,M380:$AC380)</f>
        <v>117685.57556383128</v>
      </c>
      <c r="M382" s="98">
        <f>NPV($F382,N380:$AC380)</f>
        <v>113105.69836881694</v>
      </c>
      <c r="N382" s="98">
        <f>NPV($F382,O380:$AC380)</f>
        <v>106723.58394309979</v>
      </c>
      <c r="O382" s="98">
        <f>NPV($F382,P380:$AC380)</f>
        <v>97835.153916076277</v>
      </c>
      <c r="P382" s="98">
        <f>NPV($F382,Q380:$AC380)</f>
        <v>86004.229588304996</v>
      </c>
      <c r="Q382" s="98">
        <f>NPV($F382,R380:$AC380)</f>
        <v>70256.345804936951</v>
      </c>
      <c r="R382" s="98">
        <f>NPV($F382,S380:$AC380)</f>
        <v>52335.460878469872</v>
      </c>
      <c r="S382" s="98">
        <f>NPV($F382,T380:$AC380)</f>
        <v>30400.703219591342</v>
      </c>
      <c r="T382" s="98">
        <f>NPV($F382,U380:$AC380)</f>
        <v>13770.86332435131</v>
      </c>
      <c r="U382" s="98">
        <f>NPV($F382,V380:$AC380)</f>
        <v>0</v>
      </c>
      <c r="V382" s="98">
        <f>NPV($F382,W380:$AC380)</f>
        <v>0</v>
      </c>
      <c r="W382" s="98">
        <f>NPV($F382,X380:$AC380)</f>
        <v>0</v>
      </c>
      <c r="X382" s="98">
        <f>NPV($F382,Y380:$AC380)</f>
        <v>0</v>
      </c>
      <c r="Y382" s="98">
        <f>NPV($F382,Z380:$AC380)</f>
        <v>0</v>
      </c>
      <c r="Z382" s="98">
        <f>NPV($F382,AA380:$AC380)</f>
        <v>0</v>
      </c>
      <c r="AA382" s="98">
        <f>NPV($F382,AB380:$AC380)</f>
        <v>0</v>
      </c>
      <c r="AB382" s="98">
        <f>NPV($F382,AC380:$AC380)</f>
        <v>0</v>
      </c>
      <c r="AC382" s="99"/>
    </row>
    <row r="383" spans="1:29" s="1" customFormat="1" x14ac:dyDescent="0.2">
      <c r="A383" s="5"/>
      <c r="B383" s="5"/>
      <c r="C383" s="5"/>
      <c r="D383" s="5"/>
      <c r="E383" s="5"/>
      <c r="F383" s="5"/>
      <c r="G383" s="5"/>
      <c r="H383" s="12"/>
    </row>
    <row r="384" spans="1:29" s="1" customFormat="1" x14ac:dyDescent="0.2">
      <c r="A384" s="13" t="s">
        <v>131</v>
      </c>
      <c r="B384" s="5"/>
      <c r="C384" s="5"/>
      <c r="D384" s="5"/>
      <c r="E384" s="5"/>
      <c r="F384" s="5"/>
      <c r="G384" s="5"/>
      <c r="H384" s="12"/>
    </row>
    <row r="385" spans="1:29" s="1" customFormat="1" x14ac:dyDescent="0.2">
      <c r="A385" s="5"/>
      <c r="B385" s="5"/>
      <c r="C385" s="5"/>
      <c r="D385" s="5"/>
      <c r="E385" s="5"/>
      <c r="F385" s="5"/>
      <c r="G385" s="5"/>
      <c r="H385" s="12"/>
    </row>
    <row r="386" spans="1:29" s="1" customFormat="1" x14ac:dyDescent="0.2">
      <c r="A386" s="5"/>
      <c r="B386" s="13" t="s">
        <v>178</v>
      </c>
      <c r="C386" s="5"/>
      <c r="D386" s="5"/>
      <c r="E386" s="5"/>
      <c r="F386" s="5"/>
      <c r="G386" s="5"/>
      <c r="H386" s="12"/>
    </row>
    <row r="387" spans="1:29" s="1" customFormat="1" x14ac:dyDescent="0.2">
      <c r="A387" s="5"/>
      <c r="B387" s="5" t="s">
        <v>134</v>
      </c>
      <c r="D387" s="5"/>
      <c r="E387" s="5"/>
      <c r="F387" s="361">
        <v>43465</v>
      </c>
      <c r="G387" s="362"/>
      <c r="H387" s="12"/>
    </row>
    <row r="388" spans="1:29" s="1" customFormat="1" x14ac:dyDescent="0.2">
      <c r="A388" s="5"/>
      <c r="B388" s="5" t="s">
        <v>132</v>
      </c>
      <c r="D388" s="5"/>
      <c r="E388" s="5"/>
      <c r="F388" s="367">
        <v>600</v>
      </c>
      <c r="G388" s="368"/>
      <c r="H388" s="12" t="s">
        <v>31</v>
      </c>
    </row>
    <row r="389" spans="1:29" s="1" customFormat="1" x14ac:dyDescent="0.2">
      <c r="A389" s="5"/>
      <c r="B389" s="5" t="s">
        <v>133</v>
      </c>
      <c r="D389" s="5"/>
      <c r="E389" s="5"/>
      <c r="F389" s="365">
        <v>1</v>
      </c>
      <c r="G389" s="366"/>
      <c r="H389" s="12" t="s">
        <v>31</v>
      </c>
      <c r="I389" s="10">
        <f>IF(+I$5&lt;=$F387,+$F388*$F389,0)</f>
        <v>600</v>
      </c>
      <c r="J389" s="10">
        <f t="shared" ref="J389:AC389" si="140">IF(+J$5&lt;=$F387,+$F388*$F389,0)</f>
        <v>600</v>
      </c>
      <c r="K389" s="10">
        <f t="shared" si="140"/>
        <v>600</v>
      </c>
      <c r="L389" s="10">
        <f t="shared" si="140"/>
        <v>600</v>
      </c>
      <c r="M389" s="10">
        <f t="shared" si="140"/>
        <v>600</v>
      </c>
      <c r="N389" s="10">
        <f t="shared" si="140"/>
        <v>600</v>
      </c>
      <c r="O389" s="10">
        <f t="shared" si="140"/>
        <v>600</v>
      </c>
      <c r="P389" s="10">
        <f t="shared" si="140"/>
        <v>600</v>
      </c>
      <c r="Q389" s="10">
        <f t="shared" si="140"/>
        <v>600</v>
      </c>
      <c r="R389" s="10">
        <f t="shared" si="140"/>
        <v>600</v>
      </c>
      <c r="S389" s="10">
        <f t="shared" si="140"/>
        <v>600</v>
      </c>
      <c r="T389" s="10">
        <f t="shared" si="140"/>
        <v>600</v>
      </c>
      <c r="U389" s="10">
        <f t="shared" si="140"/>
        <v>600</v>
      </c>
      <c r="V389" s="10">
        <f t="shared" si="140"/>
        <v>600</v>
      </c>
      <c r="W389" s="10">
        <f t="shared" si="140"/>
        <v>600</v>
      </c>
      <c r="X389" s="10">
        <f t="shared" si="140"/>
        <v>600</v>
      </c>
      <c r="Y389" s="10">
        <f t="shared" si="140"/>
        <v>600</v>
      </c>
      <c r="Z389" s="10">
        <f t="shared" si="140"/>
        <v>600</v>
      </c>
      <c r="AA389" s="10">
        <f t="shared" si="140"/>
        <v>0</v>
      </c>
      <c r="AB389" s="10">
        <f t="shared" si="140"/>
        <v>0</v>
      </c>
      <c r="AC389" s="10">
        <f t="shared" si="140"/>
        <v>0</v>
      </c>
    </row>
    <row r="390" spans="1:29" s="1" customFormat="1" x14ac:dyDescent="0.2">
      <c r="A390" s="5"/>
      <c r="B390" s="5"/>
      <c r="C390" s="5"/>
      <c r="D390" s="5"/>
      <c r="E390" s="5"/>
      <c r="F390" s="5"/>
      <c r="G390" s="5"/>
      <c r="H390" s="12"/>
    </row>
    <row r="391" spans="1:29" s="1" customFormat="1" x14ac:dyDescent="0.2">
      <c r="A391" s="5"/>
      <c r="B391" s="13" t="s">
        <v>179</v>
      </c>
      <c r="C391" s="5"/>
      <c r="D391" s="5"/>
      <c r="E391" s="5"/>
      <c r="F391" s="5"/>
      <c r="G391" s="5"/>
      <c r="H391" s="12"/>
    </row>
    <row r="392" spans="1:29" s="1" customFormat="1" x14ac:dyDescent="0.2">
      <c r="A392" s="5"/>
      <c r="B392" s="5" t="s">
        <v>134</v>
      </c>
      <c r="D392" s="5"/>
      <c r="E392" s="5"/>
      <c r="F392" s="361">
        <v>42735</v>
      </c>
      <c r="G392" s="362"/>
      <c r="H392" s="12"/>
    </row>
    <row r="393" spans="1:29" s="1" customFormat="1" x14ac:dyDescent="0.2">
      <c r="A393" s="5"/>
      <c r="B393" s="5" t="s">
        <v>132</v>
      </c>
      <c r="D393" s="5"/>
      <c r="E393" s="5"/>
      <c r="F393" s="367">
        <v>1500</v>
      </c>
      <c r="G393" s="368"/>
      <c r="H393" s="12" t="s">
        <v>31</v>
      </c>
    </row>
    <row r="394" spans="1:29" s="1" customFormat="1" x14ac:dyDescent="0.2">
      <c r="A394" s="5"/>
      <c r="B394" s="5" t="s">
        <v>133</v>
      </c>
      <c r="D394" s="5"/>
      <c r="E394" s="5"/>
      <c r="F394" s="365">
        <v>1</v>
      </c>
      <c r="G394" s="366"/>
      <c r="H394" s="12" t="s">
        <v>31</v>
      </c>
      <c r="I394" s="10">
        <f t="shared" ref="I394:AC394" si="141">IF(+I$5&lt;=$F392,+$F393*$F394,0)</f>
        <v>1500</v>
      </c>
      <c r="J394" s="10">
        <f t="shared" si="141"/>
        <v>1500</v>
      </c>
      <c r="K394" s="10">
        <f t="shared" si="141"/>
        <v>1500</v>
      </c>
      <c r="L394" s="10">
        <f t="shared" si="141"/>
        <v>1500</v>
      </c>
      <c r="M394" s="10">
        <f t="shared" si="141"/>
        <v>1500</v>
      </c>
      <c r="N394" s="10">
        <f t="shared" si="141"/>
        <v>1500</v>
      </c>
      <c r="O394" s="10">
        <f t="shared" si="141"/>
        <v>1500</v>
      </c>
      <c r="P394" s="10">
        <f t="shared" si="141"/>
        <v>1500</v>
      </c>
      <c r="Q394" s="10">
        <f t="shared" si="141"/>
        <v>1500</v>
      </c>
      <c r="R394" s="10">
        <f t="shared" si="141"/>
        <v>1500</v>
      </c>
      <c r="S394" s="10">
        <f t="shared" si="141"/>
        <v>1500</v>
      </c>
      <c r="T394" s="10">
        <f t="shared" si="141"/>
        <v>1500</v>
      </c>
      <c r="U394" s="10">
        <f t="shared" si="141"/>
        <v>1500</v>
      </c>
      <c r="V394" s="10">
        <f t="shared" si="141"/>
        <v>1500</v>
      </c>
      <c r="W394" s="10">
        <f t="shared" si="141"/>
        <v>1500</v>
      </c>
      <c r="X394" s="10">
        <f t="shared" si="141"/>
        <v>1500</v>
      </c>
      <c r="Y394" s="10">
        <f t="shared" si="141"/>
        <v>0</v>
      </c>
      <c r="Z394" s="10">
        <f t="shared" si="141"/>
        <v>0</v>
      </c>
      <c r="AA394" s="10">
        <f t="shared" si="141"/>
        <v>0</v>
      </c>
      <c r="AB394" s="10">
        <f t="shared" si="141"/>
        <v>0</v>
      </c>
      <c r="AC394" s="10">
        <f t="shared" si="141"/>
        <v>0</v>
      </c>
    </row>
    <row r="395" spans="1:29" s="1" customFormat="1" x14ac:dyDescent="0.2">
      <c r="A395" s="5"/>
      <c r="B395" s="5"/>
      <c r="C395" s="5"/>
      <c r="D395" s="5"/>
      <c r="E395" s="5"/>
      <c r="F395" s="5"/>
      <c r="G395" s="5"/>
      <c r="H395" s="12"/>
    </row>
    <row r="396" spans="1:29" s="1" customFormat="1" x14ac:dyDescent="0.2">
      <c r="A396" s="5"/>
      <c r="B396" s="13" t="s">
        <v>180</v>
      </c>
      <c r="C396" s="5"/>
      <c r="D396" s="5"/>
      <c r="E396" s="5"/>
      <c r="F396" s="5"/>
      <c r="G396" s="5"/>
      <c r="H396" s="12"/>
    </row>
    <row r="397" spans="1:29" s="1" customFormat="1" x14ac:dyDescent="0.2">
      <c r="A397" s="5"/>
      <c r="B397" s="5" t="s">
        <v>134</v>
      </c>
      <c r="D397" s="5"/>
      <c r="E397" s="5"/>
      <c r="F397" s="361">
        <v>45291</v>
      </c>
      <c r="G397" s="362"/>
      <c r="H397" s="12"/>
    </row>
    <row r="398" spans="1:29" s="1" customFormat="1" x14ac:dyDescent="0.2">
      <c r="A398" s="5"/>
      <c r="B398" s="5" t="s">
        <v>132</v>
      </c>
      <c r="D398" s="5"/>
      <c r="E398" s="5"/>
      <c r="F398" s="367">
        <v>450</v>
      </c>
      <c r="G398" s="368"/>
      <c r="H398" s="12" t="s">
        <v>31</v>
      </c>
    </row>
    <row r="399" spans="1:29" s="1" customFormat="1" x14ac:dyDescent="0.2">
      <c r="A399" s="5"/>
      <c r="B399" s="5" t="s">
        <v>133</v>
      </c>
      <c r="D399" s="5"/>
      <c r="E399" s="5"/>
      <c r="F399" s="365">
        <v>1</v>
      </c>
      <c r="G399" s="366"/>
      <c r="H399" s="12" t="s">
        <v>31</v>
      </c>
      <c r="I399" s="34">
        <f t="shared" ref="I399:AC399" si="142">IF(+I$5&lt;=$F397,+$F398*$F399,0)</f>
        <v>450</v>
      </c>
      <c r="J399" s="34">
        <f t="shared" si="142"/>
        <v>450</v>
      </c>
      <c r="K399" s="34">
        <f t="shared" si="142"/>
        <v>450</v>
      </c>
      <c r="L399" s="34">
        <f t="shared" si="142"/>
        <v>450</v>
      </c>
      <c r="M399" s="34">
        <f t="shared" si="142"/>
        <v>450</v>
      </c>
      <c r="N399" s="34">
        <f t="shared" si="142"/>
        <v>450</v>
      </c>
      <c r="O399" s="34">
        <f t="shared" si="142"/>
        <v>450</v>
      </c>
      <c r="P399" s="34">
        <f t="shared" si="142"/>
        <v>450</v>
      </c>
      <c r="Q399" s="34">
        <f t="shared" si="142"/>
        <v>450</v>
      </c>
      <c r="R399" s="34">
        <f t="shared" si="142"/>
        <v>450</v>
      </c>
      <c r="S399" s="34">
        <f t="shared" si="142"/>
        <v>450</v>
      </c>
      <c r="T399" s="34">
        <f t="shared" si="142"/>
        <v>450</v>
      </c>
      <c r="U399" s="34">
        <f t="shared" si="142"/>
        <v>450</v>
      </c>
      <c r="V399" s="34">
        <f t="shared" si="142"/>
        <v>450</v>
      </c>
      <c r="W399" s="34">
        <f t="shared" si="142"/>
        <v>450</v>
      </c>
      <c r="X399" s="34">
        <f t="shared" si="142"/>
        <v>450</v>
      </c>
      <c r="Y399" s="34">
        <f t="shared" si="142"/>
        <v>450</v>
      </c>
      <c r="Z399" s="34">
        <f t="shared" si="142"/>
        <v>450</v>
      </c>
      <c r="AA399" s="34">
        <f t="shared" si="142"/>
        <v>450</v>
      </c>
      <c r="AB399" s="34">
        <f t="shared" si="142"/>
        <v>450</v>
      </c>
      <c r="AC399" s="34">
        <f t="shared" si="142"/>
        <v>450</v>
      </c>
    </row>
    <row r="400" spans="1:29" s="1" customFormat="1" x14ac:dyDescent="0.2">
      <c r="A400" s="5"/>
      <c r="B400" s="5"/>
      <c r="D400" s="5"/>
      <c r="E400" s="5"/>
      <c r="F400" s="5"/>
      <c r="G400" s="5"/>
      <c r="H400" s="12"/>
    </row>
    <row r="401" spans="1:39" s="1" customFormat="1" x14ac:dyDescent="0.2">
      <c r="A401" s="5"/>
      <c r="B401" s="5" t="s">
        <v>135</v>
      </c>
      <c r="D401" s="5"/>
      <c r="E401" s="5"/>
      <c r="F401" s="5"/>
      <c r="G401" s="5"/>
      <c r="H401" s="12" t="s">
        <v>31</v>
      </c>
      <c r="I401" s="10">
        <f>SUM(I387:I399)</f>
        <v>2550</v>
      </c>
      <c r="J401" s="10">
        <f t="shared" ref="J401:AC401" si="143">SUM(J387:J399)</f>
        <v>2550</v>
      </c>
      <c r="K401" s="10">
        <f t="shared" si="143"/>
        <v>2550</v>
      </c>
      <c r="L401" s="10">
        <f t="shared" si="143"/>
        <v>2550</v>
      </c>
      <c r="M401" s="10">
        <f t="shared" si="143"/>
        <v>2550</v>
      </c>
      <c r="N401" s="10">
        <f t="shared" si="143"/>
        <v>2550</v>
      </c>
      <c r="O401" s="10">
        <f t="shared" si="143"/>
        <v>2550</v>
      </c>
      <c r="P401" s="10">
        <f t="shared" si="143"/>
        <v>2550</v>
      </c>
      <c r="Q401" s="10">
        <f t="shared" si="143"/>
        <v>2550</v>
      </c>
      <c r="R401" s="10">
        <f t="shared" si="143"/>
        <v>2550</v>
      </c>
      <c r="S401" s="10">
        <f t="shared" si="143"/>
        <v>2550</v>
      </c>
      <c r="T401" s="10">
        <f t="shared" si="143"/>
        <v>2550</v>
      </c>
      <c r="U401" s="10">
        <f t="shared" si="143"/>
        <v>2550</v>
      </c>
      <c r="V401" s="10">
        <f t="shared" si="143"/>
        <v>2550</v>
      </c>
      <c r="W401" s="10">
        <f t="shared" si="143"/>
        <v>2550</v>
      </c>
      <c r="X401" s="10">
        <f t="shared" si="143"/>
        <v>2550</v>
      </c>
      <c r="Y401" s="10">
        <f t="shared" si="143"/>
        <v>1050</v>
      </c>
      <c r="Z401" s="10">
        <f t="shared" si="143"/>
        <v>1050</v>
      </c>
      <c r="AA401" s="10">
        <f t="shared" si="143"/>
        <v>450</v>
      </c>
      <c r="AB401" s="10">
        <f t="shared" si="143"/>
        <v>450</v>
      </c>
      <c r="AC401" s="10">
        <f t="shared" si="143"/>
        <v>450</v>
      </c>
    </row>
    <row r="402" spans="1:39" s="1" customFormat="1" x14ac:dyDescent="0.2">
      <c r="A402" s="5"/>
      <c r="B402" s="5"/>
      <c r="D402" s="5"/>
      <c r="E402" s="5"/>
      <c r="F402" s="5"/>
      <c r="G402" s="5"/>
      <c r="H402" s="12"/>
    </row>
    <row r="403" spans="1:39" s="1" customFormat="1" x14ac:dyDescent="0.2">
      <c r="A403" s="5"/>
      <c r="B403" s="5" t="s">
        <v>113</v>
      </c>
      <c r="D403" s="5"/>
      <c r="E403" s="5"/>
      <c r="F403" s="352">
        <f>+$K$9</f>
        <v>0.5</v>
      </c>
      <c r="G403" s="353"/>
      <c r="H403" s="12" t="s">
        <v>31</v>
      </c>
      <c r="I403" s="10">
        <f>+I401*$F$403</f>
        <v>1275</v>
      </c>
      <c r="J403" s="10">
        <f t="shared" ref="J403:AC403" si="144">+J401*$F$403</f>
        <v>1275</v>
      </c>
      <c r="K403" s="10">
        <f t="shared" si="144"/>
        <v>1275</v>
      </c>
      <c r="L403" s="10">
        <f t="shared" si="144"/>
        <v>1275</v>
      </c>
      <c r="M403" s="10">
        <f t="shared" si="144"/>
        <v>1275</v>
      </c>
      <c r="N403" s="10">
        <f t="shared" si="144"/>
        <v>1275</v>
      </c>
      <c r="O403" s="10">
        <f t="shared" si="144"/>
        <v>1275</v>
      </c>
      <c r="P403" s="10">
        <f t="shared" si="144"/>
        <v>1275</v>
      </c>
      <c r="Q403" s="10">
        <f t="shared" si="144"/>
        <v>1275</v>
      </c>
      <c r="R403" s="10">
        <f t="shared" si="144"/>
        <v>1275</v>
      </c>
      <c r="S403" s="10">
        <f t="shared" si="144"/>
        <v>1275</v>
      </c>
      <c r="T403" s="10">
        <f t="shared" si="144"/>
        <v>1275</v>
      </c>
      <c r="U403" s="10">
        <f t="shared" si="144"/>
        <v>1275</v>
      </c>
      <c r="V403" s="10">
        <f t="shared" si="144"/>
        <v>1275</v>
      </c>
      <c r="W403" s="10">
        <f t="shared" si="144"/>
        <v>1275</v>
      </c>
      <c r="X403" s="10">
        <f t="shared" si="144"/>
        <v>1275</v>
      </c>
      <c r="Y403" s="10">
        <f t="shared" si="144"/>
        <v>525</v>
      </c>
      <c r="Z403" s="10">
        <f t="shared" si="144"/>
        <v>525</v>
      </c>
      <c r="AA403" s="10">
        <f t="shared" si="144"/>
        <v>225</v>
      </c>
      <c r="AB403" s="10">
        <f t="shared" si="144"/>
        <v>225</v>
      </c>
      <c r="AC403" s="10">
        <f t="shared" si="144"/>
        <v>225</v>
      </c>
    </row>
    <row r="404" spans="1:39" s="1" customFormat="1" x14ac:dyDescent="0.2">
      <c r="A404" s="5"/>
      <c r="B404" s="5"/>
      <c r="D404" s="5"/>
      <c r="E404" s="5"/>
      <c r="F404" s="5"/>
      <c r="G404" s="5"/>
      <c r="H404" s="12"/>
    </row>
    <row r="405" spans="1:39" s="1" customFormat="1" x14ac:dyDescent="0.2">
      <c r="A405" s="5"/>
      <c r="B405" s="5" t="s">
        <v>188</v>
      </c>
      <c r="D405" s="5"/>
      <c r="E405" s="5"/>
      <c r="F405" s="354">
        <f>+AC13</f>
        <v>8.6879999999999999E-2</v>
      </c>
      <c r="G405" s="355"/>
      <c r="H405" s="12" t="s">
        <v>31</v>
      </c>
      <c r="I405" s="98">
        <f>NPV($F405,J403:$AC403)</f>
        <v>10874.200679128722</v>
      </c>
      <c r="J405" s="98">
        <f>NPV($F405,K403:$AC403)</f>
        <v>10543.951234131426</v>
      </c>
      <c r="K405" s="98">
        <f>NPV($F405,L403:$AC403)</f>
        <v>10185.009717352763</v>
      </c>
      <c r="L405" s="98">
        <f>NPV($F405,M403:$AC403)</f>
        <v>9794.8833615963704</v>
      </c>
      <c r="M405" s="98">
        <f>NPV($F405,N403:$AC403)</f>
        <v>9370.8628280518678</v>
      </c>
      <c r="N405" s="98">
        <f>NPV($F405,O403:$AC403)</f>
        <v>8910.0033905530108</v>
      </c>
      <c r="O405" s="98">
        <f>NPV($F405,P403:$AC403)</f>
        <v>8409.1044851242568</v>
      </c>
      <c r="P405" s="98">
        <f>NPV($F405,Q403:$AC403)</f>
        <v>7864.6874827918546</v>
      </c>
      <c r="Q405" s="98">
        <f>NPV($F405,R403:$AC403)</f>
        <v>7272.971531296811</v>
      </c>
      <c r="R405" s="98">
        <f>NPV($F405,S403:$AC403)</f>
        <v>6629.8472979358785</v>
      </c>
      <c r="S405" s="98">
        <f>NPV($F405,T403:$AC403)</f>
        <v>5930.8484311805478</v>
      </c>
      <c r="T405" s="98">
        <f>NPV($F405,U403:$AC403)</f>
        <v>5171.1205428815147</v>
      </c>
      <c r="U405" s="98">
        <f>NPV($F405,V403:$AC403)</f>
        <v>4345.3874956470609</v>
      </c>
      <c r="V405" s="98">
        <f>NPV($F405,W403:$AC403)</f>
        <v>3447.9147612688776</v>
      </c>
      <c r="W405" s="98">
        <f>NPV($F405,X403:$AC403)</f>
        <v>2472.4695957279177</v>
      </c>
      <c r="X405" s="98">
        <f>NPV($F405,Y403:$AC403)</f>
        <v>1412.2777542047593</v>
      </c>
      <c r="Y405" s="98">
        <f>NPV($F405,Z403:$AC403)</f>
        <v>1009.9764454900687</v>
      </c>
      <c r="Z405" s="98">
        <f>NPV($F405,AA403:$AC403)</f>
        <v>572.72319907424594</v>
      </c>
      <c r="AA405" s="98">
        <f>NPV($F405,AB403:$AC403)</f>
        <v>397.48139060981646</v>
      </c>
      <c r="AB405" s="98">
        <f>NPV($F405,AC403:$AC403)</f>
        <v>207.01457382599733</v>
      </c>
      <c r="AC405" s="99"/>
    </row>
    <row r="406" spans="1:39" s="1" customFormat="1" x14ac:dyDescent="0.2">
      <c r="A406" s="5"/>
      <c r="B406" s="5"/>
      <c r="C406" s="5"/>
      <c r="D406" s="5"/>
      <c r="E406" s="5"/>
      <c r="F406" s="5"/>
      <c r="G406" s="5"/>
      <c r="H406" s="221"/>
      <c r="I406" s="221"/>
    </row>
    <row r="407" spans="1:39" s="1" customFormat="1" ht="18" x14ac:dyDescent="0.25">
      <c r="A407" s="94" t="s">
        <v>187</v>
      </c>
      <c r="B407" s="5"/>
      <c r="C407" s="5"/>
      <c r="D407" s="5"/>
      <c r="E407" s="5"/>
      <c r="F407" s="5"/>
      <c r="G407" s="5"/>
      <c r="H407" s="221"/>
      <c r="I407" s="221"/>
    </row>
    <row r="408" spans="1:39" s="1" customFormat="1" x14ac:dyDescent="0.2">
      <c r="A408" s="5"/>
      <c r="B408" s="5"/>
      <c r="C408" s="5"/>
      <c r="D408" s="5"/>
      <c r="E408" s="5"/>
      <c r="F408" s="5"/>
      <c r="G408" s="5"/>
      <c r="H408" s="221"/>
      <c r="I408" s="221"/>
    </row>
    <row r="409" spans="1:39" s="1" customFormat="1" x14ac:dyDescent="0.2">
      <c r="A409" s="13" t="s">
        <v>147</v>
      </c>
      <c r="H409" s="27"/>
      <c r="I409" s="27"/>
      <c r="J409" s="39"/>
      <c r="K409" s="178"/>
      <c r="L409" s="178"/>
      <c r="M409" s="178"/>
    </row>
    <row r="410" spans="1:39" s="1" customFormat="1" x14ac:dyDescent="0.2">
      <c r="H410" s="27"/>
      <c r="I410" s="27"/>
      <c r="J410" s="39"/>
      <c r="K410" s="178"/>
      <c r="L410" s="178"/>
      <c r="M410" s="178"/>
    </row>
    <row r="411" spans="1:39" s="1" customFormat="1" x14ac:dyDescent="0.2">
      <c r="A411" s="5"/>
      <c r="B411" s="188" t="s">
        <v>140</v>
      </c>
      <c r="C411" s="5"/>
      <c r="D411" s="5"/>
      <c r="E411" s="1" t="s">
        <v>276</v>
      </c>
      <c r="F411" s="1">
        <v>0</v>
      </c>
      <c r="G411" s="267" t="s">
        <v>1</v>
      </c>
      <c r="H411" s="12" t="s">
        <v>31</v>
      </c>
      <c r="I411" s="199">
        <f>IF($F$411=1,(+O418-(+$M$418/9))*1,0)</f>
        <v>0</v>
      </c>
      <c r="J411" s="199">
        <f>IF(F411=1,+I411-(+$M$418/9),0)</f>
        <v>0</v>
      </c>
      <c r="K411" s="199">
        <f>IF(F411=1,+J411-(+$M$418/9),0)</f>
        <v>0</v>
      </c>
      <c r="L411" s="199">
        <f>IF(F411=1,+K411-(+$M$418/9),0)</f>
        <v>0</v>
      </c>
      <c r="M411" s="199">
        <f>IF(F411=1,+L411-(+$M$418/9),0)</f>
        <v>0</v>
      </c>
      <c r="N411" s="199">
        <f>IF(F411=1,+M411-(+$M$418/9),0)</f>
        <v>0</v>
      </c>
      <c r="O411" s="200">
        <f>IF(F411=1,+N411-(+$M$418/9),0)</f>
        <v>0</v>
      </c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1"/>
      <c r="AG411" s="201"/>
      <c r="AH411" s="201"/>
      <c r="AI411" s="201"/>
      <c r="AJ411" s="201"/>
      <c r="AK411" s="201"/>
      <c r="AL411" s="201"/>
      <c r="AM411" s="201"/>
    </row>
    <row r="412" spans="1:39" s="1" customFormat="1" x14ac:dyDescent="0.2">
      <c r="A412" s="5"/>
      <c r="B412" s="188" t="s">
        <v>139</v>
      </c>
      <c r="C412" s="5"/>
      <c r="D412" s="5"/>
      <c r="G412" s="267" t="s">
        <v>1</v>
      </c>
      <c r="H412" s="12" t="s">
        <v>31</v>
      </c>
      <c r="I412" s="202">
        <f>+O419+(60000-$M$419)/13</f>
        <v>34556.677976661522</v>
      </c>
      <c r="J412" s="202">
        <f t="shared" ref="J412:AC412" si="145">+I412+(60000-$M$419)/13</f>
        <v>37101.01017899537</v>
      </c>
      <c r="K412" s="202">
        <f t="shared" si="145"/>
        <v>39645.342381329217</v>
      </c>
      <c r="L412" s="202">
        <f t="shared" si="145"/>
        <v>42189.674583663065</v>
      </c>
      <c r="M412" s="202">
        <f t="shared" si="145"/>
        <v>44734.006785996913</v>
      </c>
      <c r="N412" s="202">
        <f t="shared" si="145"/>
        <v>47278.338988330761</v>
      </c>
      <c r="O412" s="202">
        <f t="shared" si="145"/>
        <v>49822.671190664609</v>
      </c>
      <c r="P412" s="202">
        <f t="shared" si="145"/>
        <v>52367.003392998457</v>
      </c>
      <c r="Q412" s="202">
        <f t="shared" si="145"/>
        <v>54911.335595332304</v>
      </c>
      <c r="R412" s="202">
        <f t="shared" si="145"/>
        <v>57455.667797666152</v>
      </c>
      <c r="S412" s="203">
        <f t="shared" si="145"/>
        <v>60000</v>
      </c>
      <c r="T412" s="202">
        <f t="shared" si="145"/>
        <v>62544.332202333848</v>
      </c>
      <c r="U412" s="202">
        <f t="shared" si="145"/>
        <v>65088.664404667696</v>
      </c>
      <c r="V412" s="202">
        <f t="shared" si="145"/>
        <v>67632.996607001551</v>
      </c>
      <c r="W412" s="202">
        <f t="shared" si="145"/>
        <v>70177.328809335406</v>
      </c>
      <c r="X412" s="202">
        <f t="shared" si="145"/>
        <v>72721.661011669261</v>
      </c>
      <c r="Y412" s="202">
        <f t="shared" si="145"/>
        <v>75265.993214003116</v>
      </c>
      <c r="Z412" s="202">
        <f t="shared" si="145"/>
        <v>77810.325416336971</v>
      </c>
      <c r="AA412" s="202">
        <f t="shared" si="145"/>
        <v>80354.657618670826</v>
      </c>
      <c r="AB412" s="202">
        <f t="shared" si="145"/>
        <v>82898.989821004681</v>
      </c>
      <c r="AC412" s="202">
        <f t="shared" si="145"/>
        <v>85443.322023338536</v>
      </c>
      <c r="AD412" s="201"/>
      <c r="AE412" s="201"/>
      <c r="AF412" s="201"/>
      <c r="AG412" s="201"/>
      <c r="AH412" s="201"/>
      <c r="AI412" s="201"/>
      <c r="AJ412" s="201"/>
      <c r="AK412" s="201"/>
      <c r="AL412" s="201"/>
      <c r="AM412" s="201"/>
    </row>
    <row r="413" spans="1:39" s="1" customFormat="1" x14ac:dyDescent="0.2">
      <c r="A413" s="5"/>
      <c r="B413" s="5" t="s">
        <v>3</v>
      </c>
      <c r="C413" s="5"/>
      <c r="D413" s="5"/>
      <c r="G413" s="12"/>
      <c r="H413" s="12" t="s">
        <v>31</v>
      </c>
      <c r="I413" s="207">
        <f t="shared" ref="I413:S413" si="146">SUM(I411:I412)</f>
        <v>34556.677976661522</v>
      </c>
      <c r="J413" s="207">
        <f t="shared" si="146"/>
        <v>37101.01017899537</v>
      </c>
      <c r="K413" s="207">
        <f t="shared" si="146"/>
        <v>39645.342381329217</v>
      </c>
      <c r="L413" s="207">
        <f t="shared" si="146"/>
        <v>42189.674583663065</v>
      </c>
      <c r="M413" s="207">
        <f t="shared" si="146"/>
        <v>44734.006785996913</v>
      </c>
      <c r="N413" s="207">
        <f t="shared" si="146"/>
        <v>47278.338988330761</v>
      </c>
      <c r="O413" s="207">
        <f t="shared" si="146"/>
        <v>49822.671190664609</v>
      </c>
      <c r="P413" s="207">
        <f t="shared" si="146"/>
        <v>52367.003392998457</v>
      </c>
      <c r="Q413" s="207">
        <f t="shared" si="146"/>
        <v>54911.335595332304</v>
      </c>
      <c r="R413" s="207">
        <f t="shared" si="146"/>
        <v>57455.667797666152</v>
      </c>
      <c r="S413" s="207">
        <f t="shared" si="146"/>
        <v>60000</v>
      </c>
      <c r="T413" s="207">
        <f t="shared" ref="T413:AC413" si="147">SUM(T411:T412)</f>
        <v>62544.332202333848</v>
      </c>
      <c r="U413" s="207">
        <f t="shared" si="147"/>
        <v>65088.664404667696</v>
      </c>
      <c r="V413" s="207">
        <f t="shared" si="147"/>
        <v>67632.996607001551</v>
      </c>
      <c r="W413" s="207">
        <f t="shared" si="147"/>
        <v>70177.328809335406</v>
      </c>
      <c r="X413" s="207">
        <f t="shared" si="147"/>
        <v>72721.661011669261</v>
      </c>
      <c r="Y413" s="207">
        <f t="shared" si="147"/>
        <v>75265.993214003116</v>
      </c>
      <c r="Z413" s="207">
        <f t="shared" si="147"/>
        <v>77810.325416336971</v>
      </c>
      <c r="AA413" s="207">
        <f t="shared" si="147"/>
        <v>80354.657618670826</v>
      </c>
      <c r="AB413" s="207">
        <f t="shared" si="147"/>
        <v>82898.989821004681</v>
      </c>
      <c r="AC413" s="207">
        <f t="shared" si="147"/>
        <v>85443.322023338536</v>
      </c>
    </row>
    <row r="414" spans="1:39" s="1" customFormat="1" x14ac:dyDescent="0.2">
      <c r="A414" s="5"/>
      <c r="B414" s="5"/>
      <c r="C414" s="5"/>
      <c r="D414" s="5"/>
      <c r="F414" s="5"/>
      <c r="G414" s="5"/>
      <c r="H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39" s="1" customFormat="1" x14ac:dyDescent="0.2">
      <c r="A415" s="5"/>
      <c r="B415" s="5" t="s">
        <v>173</v>
      </c>
      <c r="C415" s="5"/>
      <c r="D415" s="5"/>
      <c r="E415" s="5"/>
      <c r="F415" s="352">
        <f>+$K$9</f>
        <v>0.5</v>
      </c>
      <c r="G415" s="353"/>
      <c r="H415" s="12" t="s">
        <v>31</v>
      </c>
      <c r="I415" s="98">
        <f t="shared" ref="I415:AC415" si="148">+I413*$F$415</f>
        <v>17278.338988330761</v>
      </c>
      <c r="J415" s="98">
        <f t="shared" si="148"/>
        <v>18550.505089497685</v>
      </c>
      <c r="K415" s="98">
        <f t="shared" si="148"/>
        <v>19822.671190664609</v>
      </c>
      <c r="L415" s="98">
        <f t="shared" si="148"/>
        <v>21094.837291831533</v>
      </c>
      <c r="M415" s="98">
        <f t="shared" si="148"/>
        <v>22367.003392998457</v>
      </c>
      <c r="N415" s="98">
        <f t="shared" si="148"/>
        <v>23639.16949416538</v>
      </c>
      <c r="O415" s="98">
        <f t="shared" si="148"/>
        <v>24911.335595332304</v>
      </c>
      <c r="P415" s="98">
        <f t="shared" si="148"/>
        <v>26183.501696499228</v>
      </c>
      <c r="Q415" s="98">
        <f t="shared" si="148"/>
        <v>27455.667797666152</v>
      </c>
      <c r="R415" s="98">
        <f t="shared" si="148"/>
        <v>28727.833898833076</v>
      </c>
      <c r="S415" s="98">
        <f t="shared" si="148"/>
        <v>30000</v>
      </c>
      <c r="T415" s="98">
        <f t="shared" si="148"/>
        <v>31272.166101166924</v>
      </c>
      <c r="U415" s="98">
        <f t="shared" si="148"/>
        <v>32544.332202333848</v>
      </c>
      <c r="V415" s="98">
        <f t="shared" si="148"/>
        <v>33816.498303500775</v>
      </c>
      <c r="W415" s="98">
        <f t="shared" si="148"/>
        <v>35088.664404667703</v>
      </c>
      <c r="X415" s="98">
        <f t="shared" si="148"/>
        <v>36360.83050583463</v>
      </c>
      <c r="Y415" s="98">
        <f t="shared" si="148"/>
        <v>37632.996607001558</v>
      </c>
      <c r="Z415" s="98">
        <f t="shared" si="148"/>
        <v>38905.162708168486</v>
      </c>
      <c r="AA415" s="98">
        <f t="shared" si="148"/>
        <v>40177.328809335413</v>
      </c>
      <c r="AB415" s="98">
        <f t="shared" si="148"/>
        <v>41449.494910502341</v>
      </c>
      <c r="AC415" s="98">
        <f t="shared" si="148"/>
        <v>42721.661011669268</v>
      </c>
    </row>
    <row r="416" spans="1:39" s="1" customFormat="1" x14ac:dyDescent="0.2">
      <c r="A416" s="5"/>
      <c r="B416" s="5"/>
      <c r="C416" s="5"/>
      <c r="D416" s="5"/>
      <c r="E416" s="5"/>
      <c r="F416" s="5"/>
      <c r="G416" s="5"/>
      <c r="H416" s="12"/>
      <c r="M416" s="7"/>
      <c r="N416" s="7"/>
      <c r="O416" s="187"/>
      <c r="P416" s="19"/>
      <c r="Q416" s="187"/>
    </row>
    <row r="417" spans="1:29" s="1" customFormat="1" x14ac:dyDescent="0.2">
      <c r="A417" s="5"/>
      <c r="B417" s="5"/>
      <c r="C417" s="5"/>
      <c r="D417" s="5"/>
      <c r="E417" s="186"/>
      <c r="I417" s="84" t="s">
        <v>295</v>
      </c>
      <c r="J417" s="28"/>
      <c r="K417" s="28"/>
      <c r="L417" s="190">
        <v>35885</v>
      </c>
      <c r="M417" s="190">
        <f>+L417+275</f>
        <v>36160</v>
      </c>
      <c r="N417" s="190">
        <f>+M417+365</f>
        <v>36525</v>
      </c>
      <c r="O417" s="191">
        <f>+N417+366</f>
        <v>36891</v>
      </c>
      <c r="P417" s="28"/>
      <c r="Q417" s="28"/>
      <c r="R417" s="28"/>
      <c r="S417" s="28"/>
      <c r="T417" s="86"/>
    </row>
    <row r="418" spans="1:29" s="1" customFormat="1" x14ac:dyDescent="0.2">
      <c r="A418" s="5"/>
      <c r="C418" s="5"/>
      <c r="D418" s="5"/>
      <c r="E418" s="189"/>
      <c r="I418" s="192" t="s">
        <v>140</v>
      </c>
      <c r="J418" s="26"/>
      <c r="K418" s="12" t="s">
        <v>31</v>
      </c>
      <c r="L418" s="40">
        <v>144051</v>
      </c>
      <c r="M418" s="204">
        <f>+L418/$L$420*M420</f>
        <v>141961.31863034001</v>
      </c>
      <c r="N418" s="204">
        <f>+M418-(+$M$418/9)</f>
        <v>126187.83878252446</v>
      </c>
      <c r="O418" s="204">
        <f>+N418-(+$M$418/9)</f>
        <v>110414.3589347089</v>
      </c>
      <c r="P418" s="193" t="s">
        <v>146</v>
      </c>
      <c r="Q418" s="194"/>
      <c r="R418" s="26"/>
      <c r="S418" s="26"/>
      <c r="T418" s="79"/>
    </row>
    <row r="419" spans="1:29" s="1" customFormat="1" x14ac:dyDescent="0.2">
      <c r="A419" s="5"/>
      <c r="C419" s="5"/>
      <c r="D419" s="5"/>
      <c r="E419" s="189"/>
      <c r="I419" s="192" t="s">
        <v>139</v>
      </c>
      <c r="J419" s="26"/>
      <c r="K419" s="12" t="s">
        <v>31</v>
      </c>
      <c r="L419" s="33">
        <v>27320</v>
      </c>
      <c r="M419" s="205">
        <f>+L419/$L$420*M420</f>
        <v>26923.681369659975</v>
      </c>
      <c r="N419" s="202">
        <f>+M419+(60000-$M$419)/13</f>
        <v>29468.013571993823</v>
      </c>
      <c r="O419" s="202">
        <f>+N419+(60000-$M$419)/13</f>
        <v>32012.34577432767</v>
      </c>
      <c r="P419" s="193" t="s">
        <v>144</v>
      </c>
      <c r="Q419" s="195"/>
      <c r="R419" s="26"/>
      <c r="S419" s="26"/>
      <c r="T419" s="79"/>
    </row>
    <row r="420" spans="1:29" s="1" customFormat="1" x14ac:dyDescent="0.2">
      <c r="A420" s="5"/>
      <c r="C420" s="5"/>
      <c r="D420" s="5"/>
      <c r="I420" s="43" t="s">
        <v>3</v>
      </c>
      <c r="J420" s="17"/>
      <c r="K420" s="44" t="s">
        <v>31</v>
      </c>
      <c r="L420" s="206">
        <f>SUM(L418:L419)</f>
        <v>171371</v>
      </c>
      <c r="M420" s="198">
        <v>168885</v>
      </c>
      <c r="N420" s="202">
        <f>SUM(N418:N419)</f>
        <v>155655.85235451828</v>
      </c>
      <c r="O420" s="202">
        <f>SUM(O418:O419)</f>
        <v>142426.70470903657</v>
      </c>
      <c r="P420" s="17"/>
      <c r="Q420" s="17"/>
      <c r="R420" s="17"/>
      <c r="S420" s="17"/>
      <c r="T420" s="197"/>
    </row>
    <row r="421" spans="1:29" s="1" customFormat="1" x14ac:dyDescent="0.2"/>
    <row r="422" spans="1:29" s="1" customFormat="1" x14ac:dyDescent="0.2">
      <c r="A422" s="13" t="s">
        <v>176</v>
      </c>
    </row>
    <row r="423" spans="1:29" s="1" customFormat="1" x14ac:dyDescent="0.2"/>
    <row r="424" spans="1:29" s="1" customFormat="1" x14ac:dyDescent="0.2">
      <c r="B424" s="1" t="s">
        <v>177</v>
      </c>
    </row>
    <row r="425" spans="1:29" s="1" customFormat="1" x14ac:dyDescent="0.2">
      <c r="C425" s="5" t="str">
        <f>+B305</f>
        <v>Project Debt</v>
      </c>
      <c r="F425" s="352">
        <f>+F305</f>
        <v>0.5</v>
      </c>
      <c r="G425" s="353"/>
      <c r="H425" s="12" t="s">
        <v>31</v>
      </c>
      <c r="I425" s="7">
        <f t="shared" ref="I425:AC425" si="149">+$F425*I305</f>
        <v>199360</v>
      </c>
      <c r="J425" s="7">
        <f t="shared" si="149"/>
        <v>188016</v>
      </c>
      <c r="K425" s="7">
        <f t="shared" si="149"/>
        <v>176107</v>
      </c>
      <c r="L425" s="7">
        <f t="shared" si="149"/>
        <v>161825</v>
      </c>
      <c r="M425" s="7">
        <f t="shared" si="149"/>
        <v>139150.5</v>
      </c>
      <c r="N425" s="7">
        <f t="shared" si="149"/>
        <v>112830</v>
      </c>
      <c r="O425" s="7">
        <f t="shared" si="149"/>
        <v>85819.5</v>
      </c>
      <c r="P425" s="7">
        <f t="shared" si="149"/>
        <v>59919</v>
      </c>
      <c r="Q425" s="7">
        <f t="shared" si="149"/>
        <v>32611</v>
      </c>
      <c r="R425" s="7">
        <f t="shared" si="149"/>
        <v>0</v>
      </c>
      <c r="S425" s="7">
        <f t="shared" si="149"/>
        <v>0</v>
      </c>
      <c r="T425" s="7">
        <f t="shared" si="149"/>
        <v>0</v>
      </c>
      <c r="U425" s="7">
        <f t="shared" si="149"/>
        <v>0</v>
      </c>
      <c r="V425" s="7">
        <f t="shared" si="149"/>
        <v>0</v>
      </c>
      <c r="W425" s="7">
        <f t="shared" si="149"/>
        <v>0</v>
      </c>
      <c r="X425" s="7">
        <f t="shared" si="149"/>
        <v>0</v>
      </c>
      <c r="Y425" s="7">
        <f t="shared" si="149"/>
        <v>0</v>
      </c>
      <c r="Z425" s="7">
        <f t="shared" si="149"/>
        <v>0</v>
      </c>
      <c r="AA425" s="7">
        <f t="shared" si="149"/>
        <v>0</v>
      </c>
      <c r="AB425" s="7">
        <f t="shared" si="149"/>
        <v>0</v>
      </c>
      <c r="AC425" s="7">
        <f t="shared" si="149"/>
        <v>0</v>
      </c>
    </row>
    <row r="426" spans="1:29" s="1" customFormat="1" x14ac:dyDescent="0.2">
      <c r="C426" s="5" t="str">
        <f>+B306</f>
        <v>NEEALP Debt (Existing Corporate)</v>
      </c>
      <c r="F426" s="352">
        <f>+F306</f>
        <v>0.5</v>
      </c>
      <c r="G426" s="353"/>
      <c r="H426" s="12" t="s">
        <v>31</v>
      </c>
      <c r="I426" s="7">
        <f t="shared" ref="I426:AC426" si="150">+$F426*I306</f>
        <v>110000</v>
      </c>
      <c r="J426" s="7">
        <f t="shared" si="150"/>
        <v>105600</v>
      </c>
      <c r="K426" s="7">
        <f t="shared" si="150"/>
        <v>101200</v>
      </c>
      <c r="L426" s="7">
        <f t="shared" si="150"/>
        <v>96800</v>
      </c>
      <c r="M426" s="7">
        <f t="shared" si="150"/>
        <v>92400</v>
      </c>
      <c r="N426" s="7">
        <f t="shared" si="150"/>
        <v>85800</v>
      </c>
      <c r="O426" s="7">
        <f t="shared" si="150"/>
        <v>74800</v>
      </c>
      <c r="P426" s="7">
        <f t="shared" si="150"/>
        <v>63800</v>
      </c>
      <c r="Q426" s="7">
        <f t="shared" si="150"/>
        <v>50600</v>
      </c>
      <c r="R426" s="7">
        <f t="shared" si="150"/>
        <v>33000</v>
      </c>
      <c r="S426" s="7">
        <f t="shared" si="150"/>
        <v>0</v>
      </c>
      <c r="T426" s="7">
        <f t="shared" si="150"/>
        <v>0</v>
      </c>
      <c r="U426" s="7">
        <f t="shared" si="150"/>
        <v>0</v>
      </c>
      <c r="V426" s="7">
        <f t="shared" si="150"/>
        <v>0</v>
      </c>
      <c r="W426" s="7">
        <f t="shared" si="150"/>
        <v>0</v>
      </c>
      <c r="X426" s="7">
        <f t="shared" si="150"/>
        <v>0</v>
      </c>
      <c r="Y426" s="7">
        <f t="shared" si="150"/>
        <v>0</v>
      </c>
      <c r="Z426" s="7">
        <f t="shared" si="150"/>
        <v>0</v>
      </c>
      <c r="AA426" s="7">
        <f t="shared" si="150"/>
        <v>0</v>
      </c>
      <c r="AB426" s="7">
        <f t="shared" si="150"/>
        <v>0</v>
      </c>
      <c r="AC426" s="7">
        <f t="shared" si="150"/>
        <v>0</v>
      </c>
    </row>
    <row r="427" spans="1:29" s="1" customFormat="1" x14ac:dyDescent="0.2">
      <c r="C427" s="5" t="str">
        <f>+B307</f>
        <v>Acquiring Co. Debt (New)</v>
      </c>
      <c r="F427" s="352">
        <f>+F307</f>
        <v>1</v>
      </c>
      <c r="G427" s="353"/>
      <c r="H427" s="12" t="s">
        <v>31</v>
      </c>
      <c r="I427" s="20">
        <f t="shared" ref="I427:AC427" si="151">+$F427*I307</f>
        <v>0</v>
      </c>
      <c r="J427" s="20">
        <f t="shared" si="151"/>
        <v>0</v>
      </c>
      <c r="K427" s="20">
        <f t="shared" si="151"/>
        <v>0</v>
      </c>
      <c r="L427" s="20">
        <f t="shared" si="151"/>
        <v>0</v>
      </c>
      <c r="M427" s="20">
        <f t="shared" si="151"/>
        <v>0</v>
      </c>
      <c r="N427" s="20">
        <f t="shared" si="151"/>
        <v>0</v>
      </c>
      <c r="O427" s="20">
        <f t="shared" si="151"/>
        <v>0</v>
      </c>
      <c r="P427" s="20">
        <f t="shared" si="151"/>
        <v>0</v>
      </c>
      <c r="Q427" s="20">
        <f t="shared" si="151"/>
        <v>0</v>
      </c>
      <c r="R427" s="20">
        <f t="shared" si="151"/>
        <v>0</v>
      </c>
      <c r="S427" s="20">
        <f t="shared" si="151"/>
        <v>0</v>
      </c>
      <c r="T427" s="20">
        <f t="shared" si="151"/>
        <v>0</v>
      </c>
      <c r="U427" s="20">
        <f t="shared" si="151"/>
        <v>0</v>
      </c>
      <c r="V427" s="20">
        <f t="shared" si="151"/>
        <v>0</v>
      </c>
      <c r="W427" s="20">
        <f t="shared" si="151"/>
        <v>0</v>
      </c>
      <c r="X427" s="20">
        <f t="shared" si="151"/>
        <v>0</v>
      </c>
      <c r="Y427" s="20">
        <f t="shared" si="151"/>
        <v>0</v>
      </c>
      <c r="Z427" s="20">
        <f t="shared" si="151"/>
        <v>0</v>
      </c>
      <c r="AA427" s="20">
        <f t="shared" si="151"/>
        <v>0</v>
      </c>
      <c r="AB427" s="20">
        <f t="shared" si="151"/>
        <v>0</v>
      </c>
      <c r="AC427" s="20">
        <f t="shared" si="151"/>
        <v>0</v>
      </c>
    </row>
    <row r="428" spans="1:29" s="1" customFormat="1" x14ac:dyDescent="0.2">
      <c r="C428" s="5" t="s">
        <v>3</v>
      </c>
      <c r="I428" s="7">
        <f>SUM(I425:I427)</f>
        <v>309360</v>
      </c>
      <c r="J428" s="7">
        <f t="shared" ref="J428:AC428" si="152">SUM(J425:J427)</f>
        <v>293616</v>
      </c>
      <c r="K428" s="7">
        <f t="shared" si="152"/>
        <v>277307</v>
      </c>
      <c r="L428" s="7">
        <f t="shared" si="152"/>
        <v>258625</v>
      </c>
      <c r="M428" s="7">
        <f t="shared" si="152"/>
        <v>231550.5</v>
      </c>
      <c r="N428" s="7">
        <f t="shared" si="152"/>
        <v>198630</v>
      </c>
      <c r="O428" s="7">
        <f t="shared" si="152"/>
        <v>160619.5</v>
      </c>
      <c r="P428" s="7">
        <f t="shared" si="152"/>
        <v>123719</v>
      </c>
      <c r="Q428" s="7">
        <f t="shared" si="152"/>
        <v>83211</v>
      </c>
      <c r="R428" s="7">
        <f t="shared" si="152"/>
        <v>33000</v>
      </c>
      <c r="S428" s="7">
        <f t="shared" si="152"/>
        <v>0</v>
      </c>
      <c r="T428" s="7">
        <f t="shared" si="152"/>
        <v>0</v>
      </c>
      <c r="U428" s="7">
        <f t="shared" si="152"/>
        <v>0</v>
      </c>
      <c r="V428" s="7">
        <f t="shared" si="152"/>
        <v>0</v>
      </c>
      <c r="W428" s="7">
        <f t="shared" si="152"/>
        <v>0</v>
      </c>
      <c r="X428" s="7">
        <f t="shared" si="152"/>
        <v>0</v>
      </c>
      <c r="Y428" s="7">
        <f t="shared" si="152"/>
        <v>0</v>
      </c>
      <c r="Z428" s="7">
        <f t="shared" si="152"/>
        <v>0</v>
      </c>
      <c r="AA428" s="7">
        <f t="shared" si="152"/>
        <v>0</v>
      </c>
      <c r="AB428" s="7">
        <f t="shared" si="152"/>
        <v>0</v>
      </c>
      <c r="AC428" s="7">
        <f t="shared" si="152"/>
        <v>0</v>
      </c>
    </row>
    <row r="429" spans="1:29" s="1" customFormat="1" x14ac:dyDescent="0.2"/>
    <row r="430" spans="1:29" s="1" customFormat="1" x14ac:dyDescent="0.2">
      <c r="A430" s="13" t="s">
        <v>174</v>
      </c>
    </row>
    <row r="431" spans="1:29" s="1" customFormat="1" x14ac:dyDescent="0.2"/>
    <row r="432" spans="1:29" s="1" customFormat="1" x14ac:dyDescent="0.2">
      <c r="B432" s="13" t="s">
        <v>149</v>
      </c>
    </row>
    <row r="433" spans="1:29" s="1" customFormat="1" x14ac:dyDescent="0.2">
      <c r="B433" s="5" t="s">
        <v>152</v>
      </c>
      <c r="H433" s="12" t="s">
        <v>31</v>
      </c>
      <c r="I433" s="7">
        <f>+I253</f>
        <v>59460</v>
      </c>
      <c r="J433" s="7">
        <f t="shared" ref="J433:AC433" si="153">+J253</f>
        <v>60084</v>
      </c>
      <c r="K433" s="7">
        <f t="shared" si="153"/>
        <v>59082</v>
      </c>
      <c r="L433" s="7">
        <f t="shared" si="153"/>
        <v>61497</v>
      </c>
      <c r="M433" s="7">
        <f t="shared" si="153"/>
        <v>75229</v>
      </c>
      <c r="N433" s="7">
        <f t="shared" si="153"/>
        <v>78125</v>
      </c>
      <c r="O433" s="7">
        <f t="shared" si="153"/>
        <v>74566</v>
      </c>
      <c r="P433" s="7">
        <f t="shared" si="153"/>
        <v>67305</v>
      </c>
      <c r="Q433" s="7">
        <f t="shared" si="153"/>
        <v>64990</v>
      </c>
      <c r="R433" s="7">
        <f t="shared" si="153"/>
        <v>70001</v>
      </c>
      <c r="S433" s="7">
        <f t="shared" si="153"/>
        <v>0</v>
      </c>
      <c r="T433" s="7">
        <f t="shared" si="153"/>
        <v>0</v>
      </c>
      <c r="U433" s="7">
        <f t="shared" si="153"/>
        <v>0</v>
      </c>
      <c r="V433" s="7">
        <f t="shared" si="153"/>
        <v>0</v>
      </c>
      <c r="W433" s="7">
        <f t="shared" si="153"/>
        <v>0</v>
      </c>
      <c r="X433" s="7">
        <f t="shared" si="153"/>
        <v>0</v>
      </c>
      <c r="Y433" s="7">
        <f t="shared" si="153"/>
        <v>0</v>
      </c>
      <c r="Z433" s="7">
        <f t="shared" si="153"/>
        <v>0</v>
      </c>
      <c r="AA433" s="7">
        <f t="shared" si="153"/>
        <v>0</v>
      </c>
      <c r="AB433" s="7">
        <f t="shared" si="153"/>
        <v>0</v>
      </c>
      <c r="AC433" s="7">
        <f t="shared" si="153"/>
        <v>0</v>
      </c>
    </row>
    <row r="434" spans="1:29" s="1" customFormat="1" x14ac:dyDescent="0.2">
      <c r="B434" s="5" t="s">
        <v>189</v>
      </c>
      <c r="F434" s="369">
        <f>+K$11</f>
        <v>6.3299999999999995E-2</v>
      </c>
      <c r="G434" s="370"/>
      <c r="H434" s="12" t="s">
        <v>31</v>
      </c>
      <c r="I434" s="178">
        <f>NPV($F434,J433:$AC433)</f>
        <v>451707.68567667296</v>
      </c>
      <c r="J434" s="178">
        <f>NPV($F434,K433:$AC433)</f>
        <v>420216.78218000638</v>
      </c>
      <c r="K434" s="178">
        <f>NPV($F434,L433:$AC433)</f>
        <v>387734.50449200073</v>
      </c>
      <c r="L434" s="178">
        <f>NPV($F434,M433:$AC433)</f>
        <v>350781.09862634429</v>
      </c>
      <c r="M434" s="178">
        <f>NPV($F434,N433:$AC433)</f>
        <v>297756.54216939188</v>
      </c>
      <c r="N434" s="178">
        <f>NPV($F434,O433:$AC433)</f>
        <v>238479.53128871438</v>
      </c>
      <c r="O434" s="178">
        <f>NPV($F434,P433:$AC433)</f>
        <v>179009.28561929002</v>
      </c>
      <c r="P434" s="178">
        <f>NPV($F434,Q433:$AC433)</f>
        <v>123035.57339899107</v>
      </c>
      <c r="Q434" s="178">
        <f>NPV($F434,R433:$AC433)</f>
        <v>65833.725195147184</v>
      </c>
      <c r="R434" s="178">
        <f>NPV($F434,S433:$AC433)</f>
        <v>0</v>
      </c>
      <c r="S434" s="178">
        <f>NPV($F434,T433:$AC433)</f>
        <v>0</v>
      </c>
      <c r="T434" s="178">
        <f>NPV($F434,U433:$AC433)</f>
        <v>0</v>
      </c>
      <c r="U434" s="178">
        <f>NPV($F434,V433:$AC433)</f>
        <v>0</v>
      </c>
      <c r="V434" s="178">
        <f>NPV($F434,W433:$AC433)</f>
        <v>0</v>
      </c>
      <c r="W434" s="178">
        <f>NPV($F434,X433:$AC433)</f>
        <v>0</v>
      </c>
      <c r="X434" s="178">
        <f>NPV($F434,Y433:$AC433)</f>
        <v>0</v>
      </c>
      <c r="Y434" s="178">
        <f>NPV($F434,Z433:$AC433)</f>
        <v>0</v>
      </c>
      <c r="Z434" s="178">
        <f>NPV($F434,AA433:$AC433)</f>
        <v>0</v>
      </c>
      <c r="AA434" s="178">
        <f>NPV($F434,AB433:$AC433)</f>
        <v>0</v>
      </c>
      <c r="AB434" s="178">
        <f>NPV($F434,AC433:$AC433)</f>
        <v>0</v>
      </c>
      <c r="AC434" s="178"/>
    </row>
    <row r="435" spans="1:29" s="1" customFormat="1" x14ac:dyDescent="0.2">
      <c r="B435" s="5" t="s">
        <v>153</v>
      </c>
      <c r="H435" s="12" t="s">
        <v>31</v>
      </c>
      <c r="I435" s="7">
        <f t="shared" ref="I435:AB435" si="154">+I434-I305</f>
        <v>52987.685676672962</v>
      </c>
      <c r="J435" s="7">
        <f t="shared" si="154"/>
        <v>44184.782180006383</v>
      </c>
      <c r="K435" s="7">
        <f t="shared" si="154"/>
        <v>35520.504492000735</v>
      </c>
      <c r="L435" s="7">
        <f t="shared" si="154"/>
        <v>27131.09862634429</v>
      </c>
      <c r="M435" s="7">
        <f t="shared" si="154"/>
        <v>19455.542169391876</v>
      </c>
      <c r="N435" s="7">
        <f t="shared" si="154"/>
        <v>12819.531288714381</v>
      </c>
      <c r="O435" s="7">
        <f t="shared" si="154"/>
        <v>7370.2856192900217</v>
      </c>
      <c r="P435" s="7">
        <f t="shared" si="154"/>
        <v>3197.5733989910659</v>
      </c>
      <c r="Q435" s="7">
        <f t="shared" si="154"/>
        <v>611.72519514718442</v>
      </c>
      <c r="R435" s="7">
        <f t="shared" si="154"/>
        <v>0</v>
      </c>
      <c r="S435" s="7">
        <f t="shared" si="154"/>
        <v>0</v>
      </c>
      <c r="T435" s="7">
        <f t="shared" si="154"/>
        <v>0</v>
      </c>
      <c r="U435" s="7">
        <f t="shared" si="154"/>
        <v>0</v>
      </c>
      <c r="V435" s="7">
        <f t="shared" si="154"/>
        <v>0</v>
      </c>
      <c r="W435" s="7">
        <f t="shared" si="154"/>
        <v>0</v>
      </c>
      <c r="X435" s="7">
        <f t="shared" si="154"/>
        <v>0</v>
      </c>
      <c r="Y435" s="7">
        <f t="shared" si="154"/>
        <v>0</v>
      </c>
      <c r="Z435" s="7">
        <f t="shared" si="154"/>
        <v>0</v>
      </c>
      <c r="AA435" s="7">
        <f t="shared" si="154"/>
        <v>0</v>
      </c>
      <c r="AB435" s="7">
        <f t="shared" si="154"/>
        <v>0</v>
      </c>
    </row>
    <row r="436" spans="1:29" s="1" customFormat="1" x14ac:dyDescent="0.2">
      <c r="B436" s="5"/>
      <c r="I436" s="7"/>
    </row>
    <row r="437" spans="1:29" s="1" customFormat="1" x14ac:dyDescent="0.2">
      <c r="B437" s="13" t="s">
        <v>148</v>
      </c>
    </row>
    <row r="438" spans="1:29" s="1" customFormat="1" x14ac:dyDescent="0.2">
      <c r="B438" s="5" t="s">
        <v>152</v>
      </c>
      <c r="H438" s="12" t="s">
        <v>31</v>
      </c>
      <c r="I438" s="7">
        <f>+I268</f>
        <v>17578</v>
      </c>
      <c r="J438" s="7">
        <f t="shared" ref="J438:AC438" si="155">+J268</f>
        <v>26202.22</v>
      </c>
      <c r="K438" s="7">
        <f t="shared" si="155"/>
        <v>25499.1</v>
      </c>
      <c r="L438" s="7">
        <f t="shared" si="155"/>
        <v>24795.98</v>
      </c>
      <c r="M438" s="7">
        <f t="shared" si="155"/>
        <v>24092.86</v>
      </c>
      <c r="N438" s="7">
        <f t="shared" si="155"/>
        <v>27701.85</v>
      </c>
      <c r="O438" s="7">
        <f t="shared" si="155"/>
        <v>35271.39</v>
      </c>
      <c r="P438" s="7">
        <f t="shared" si="155"/>
        <v>33513.589999999997</v>
      </c>
      <c r="Q438" s="7">
        <f t="shared" si="155"/>
        <v>36067.9</v>
      </c>
      <c r="R438" s="7">
        <f t="shared" si="155"/>
        <v>42582.76</v>
      </c>
      <c r="S438" s="7">
        <f t="shared" si="155"/>
        <v>69955.05</v>
      </c>
      <c r="T438" s="7">
        <f t="shared" si="155"/>
        <v>0</v>
      </c>
      <c r="U438" s="7">
        <f t="shared" si="155"/>
        <v>0</v>
      </c>
      <c r="V438" s="7">
        <f t="shared" si="155"/>
        <v>0</v>
      </c>
      <c r="W438" s="7">
        <f t="shared" si="155"/>
        <v>0</v>
      </c>
      <c r="X438" s="7">
        <f t="shared" si="155"/>
        <v>0</v>
      </c>
      <c r="Y438" s="7">
        <f t="shared" si="155"/>
        <v>0</v>
      </c>
      <c r="Z438" s="7">
        <f t="shared" si="155"/>
        <v>0</v>
      </c>
      <c r="AA438" s="7">
        <f t="shared" si="155"/>
        <v>0</v>
      </c>
      <c r="AB438" s="7">
        <f t="shared" si="155"/>
        <v>0</v>
      </c>
      <c r="AC438" s="7">
        <f t="shared" si="155"/>
        <v>0</v>
      </c>
    </row>
    <row r="439" spans="1:29" s="1" customFormat="1" x14ac:dyDescent="0.2">
      <c r="B439" s="5" t="s">
        <v>190</v>
      </c>
      <c r="F439" s="369">
        <f>+K$11</f>
        <v>6.3299999999999995E-2</v>
      </c>
      <c r="G439" s="370"/>
      <c r="H439" s="12" t="s">
        <v>31</v>
      </c>
      <c r="I439" s="178">
        <f>NPV($F439,J438:$AC438)</f>
        <v>237715.17359782109</v>
      </c>
      <c r="J439" s="178">
        <f>NPV($F439,K438:$AC438)</f>
        <v>226560.32408656317</v>
      </c>
      <c r="K439" s="178">
        <f>NPV($F439,L438:$AC438)</f>
        <v>215402.49260124256</v>
      </c>
      <c r="L439" s="178">
        <f>NPV($F439,M438:$AC438)</f>
        <v>204241.49038290122</v>
      </c>
      <c r="M439" s="178">
        <f>NPV($F439,N438:$AC438)</f>
        <v>193077.11672413888</v>
      </c>
      <c r="N439" s="178">
        <f>NPV($F439,O438:$AC438)</f>
        <v>177597.04821277686</v>
      </c>
      <c r="O439" s="178">
        <f>NPV($F439,P438:$AC438)</f>
        <v>153567.55136464559</v>
      </c>
      <c r="P439" s="178">
        <f>NPV($F439,Q438:$AC438)</f>
        <v>129774.78736602767</v>
      </c>
      <c r="Q439" s="178">
        <f>NPV($F439,R438:$AC438)</f>
        <v>101921.63140629719</v>
      </c>
      <c r="R439" s="178">
        <f>NPV($F439,S438:$AC438)</f>
        <v>65790.51067431581</v>
      </c>
      <c r="S439" s="178">
        <f>NPV($F439,T438:$AC438)</f>
        <v>0</v>
      </c>
      <c r="T439" s="178">
        <f>NPV($F439,U438:$AC438)</f>
        <v>0</v>
      </c>
      <c r="U439" s="178">
        <f>NPV($F439,V438:$AC438)</f>
        <v>0</v>
      </c>
      <c r="V439" s="178">
        <f>NPV($F439,W438:$AC438)</f>
        <v>0</v>
      </c>
      <c r="W439" s="178">
        <f>NPV($F439,X438:$AC438)</f>
        <v>0</v>
      </c>
      <c r="X439" s="178">
        <f>NPV($F439,Y438:$AC438)</f>
        <v>0</v>
      </c>
      <c r="Y439" s="178">
        <f>NPV($F439,Z438:$AC438)</f>
        <v>0</v>
      </c>
      <c r="Z439" s="178">
        <f>NPV($F439,AA438:$AC438)</f>
        <v>0</v>
      </c>
      <c r="AA439" s="178">
        <f>NPV($F439,AB438:$AC438)</f>
        <v>0</v>
      </c>
      <c r="AB439" s="178">
        <f>NPV($F439,AC438:$AC438)</f>
        <v>0</v>
      </c>
      <c r="AC439" s="178"/>
    </row>
    <row r="440" spans="1:29" s="1" customFormat="1" x14ac:dyDescent="0.2">
      <c r="B440" s="5" t="s">
        <v>153</v>
      </c>
      <c r="H440" s="12" t="s">
        <v>31</v>
      </c>
      <c r="I440" s="7">
        <f t="shared" ref="I440:AB440" si="156">+I439-I306</f>
        <v>17715.173597821093</v>
      </c>
      <c r="J440" s="7">
        <f t="shared" si="156"/>
        <v>15360.324086563167</v>
      </c>
      <c r="K440" s="7">
        <f t="shared" si="156"/>
        <v>13002.492601242557</v>
      </c>
      <c r="L440" s="7">
        <f t="shared" si="156"/>
        <v>10641.490382901218</v>
      </c>
      <c r="M440" s="7">
        <f t="shared" si="156"/>
        <v>8277.1167241388757</v>
      </c>
      <c r="N440" s="7">
        <f t="shared" si="156"/>
        <v>5997.0482127768628</v>
      </c>
      <c r="O440" s="7">
        <f t="shared" si="156"/>
        <v>3967.5513646455947</v>
      </c>
      <c r="P440" s="7">
        <f t="shared" si="156"/>
        <v>2174.7873660276673</v>
      </c>
      <c r="Q440" s="7">
        <f t="shared" si="156"/>
        <v>721.63140629719419</v>
      </c>
      <c r="R440" s="7">
        <f t="shared" si="156"/>
        <v>-209.48932568418968</v>
      </c>
      <c r="S440" s="7">
        <f t="shared" si="156"/>
        <v>0</v>
      </c>
      <c r="T440" s="7">
        <f t="shared" si="156"/>
        <v>0</v>
      </c>
      <c r="U440" s="7">
        <f t="shared" si="156"/>
        <v>0</v>
      </c>
      <c r="V440" s="7">
        <f t="shared" si="156"/>
        <v>0</v>
      </c>
      <c r="W440" s="7">
        <f t="shared" si="156"/>
        <v>0</v>
      </c>
      <c r="X440" s="7">
        <f t="shared" si="156"/>
        <v>0</v>
      </c>
      <c r="Y440" s="7">
        <f t="shared" si="156"/>
        <v>0</v>
      </c>
      <c r="Z440" s="7">
        <f t="shared" si="156"/>
        <v>0</v>
      </c>
      <c r="AA440" s="7">
        <f t="shared" si="156"/>
        <v>0</v>
      </c>
      <c r="AB440" s="7">
        <f t="shared" si="156"/>
        <v>0</v>
      </c>
      <c r="AC440" s="7"/>
    </row>
    <row r="441" spans="1:29" s="1" customFormat="1" x14ac:dyDescent="0.2">
      <c r="B441" s="5"/>
      <c r="H441" s="12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s="1" customFormat="1" x14ac:dyDescent="0.2">
      <c r="B442" s="13" t="s">
        <v>154</v>
      </c>
      <c r="H442" s="12" t="s">
        <v>31</v>
      </c>
      <c r="I442" s="59">
        <f t="shared" ref="I442:AC442" si="157">+I435+I440</f>
        <v>70702.859274494054</v>
      </c>
      <c r="J442" s="59">
        <f t="shared" si="157"/>
        <v>59545.10626656955</v>
      </c>
      <c r="K442" s="59">
        <f t="shared" si="157"/>
        <v>48522.997093243292</v>
      </c>
      <c r="L442" s="59">
        <f t="shared" si="157"/>
        <v>37772.589009245508</v>
      </c>
      <c r="M442" s="59">
        <f t="shared" si="157"/>
        <v>27732.658893530752</v>
      </c>
      <c r="N442" s="59">
        <f t="shared" si="157"/>
        <v>18816.579501491244</v>
      </c>
      <c r="O442" s="59">
        <f t="shared" si="157"/>
        <v>11337.836983935616</v>
      </c>
      <c r="P442" s="59">
        <f t="shared" si="157"/>
        <v>5372.3607650187332</v>
      </c>
      <c r="Q442" s="59">
        <f t="shared" si="157"/>
        <v>1333.3566014443786</v>
      </c>
      <c r="R442" s="59">
        <f t="shared" si="157"/>
        <v>-209.48932568418968</v>
      </c>
      <c r="S442" s="59">
        <f t="shared" si="157"/>
        <v>0</v>
      </c>
      <c r="T442" s="59">
        <f t="shared" si="157"/>
        <v>0</v>
      </c>
      <c r="U442" s="59">
        <f t="shared" si="157"/>
        <v>0</v>
      </c>
      <c r="V442" s="59">
        <f t="shared" si="157"/>
        <v>0</v>
      </c>
      <c r="W442" s="59">
        <f t="shared" si="157"/>
        <v>0</v>
      </c>
      <c r="X442" s="59">
        <f t="shared" si="157"/>
        <v>0</v>
      </c>
      <c r="Y442" s="59">
        <f t="shared" si="157"/>
        <v>0</v>
      </c>
      <c r="Z442" s="59">
        <f t="shared" si="157"/>
        <v>0</v>
      </c>
      <c r="AA442" s="59">
        <f t="shared" si="157"/>
        <v>0</v>
      </c>
      <c r="AB442" s="59">
        <f t="shared" si="157"/>
        <v>0</v>
      </c>
      <c r="AC442" s="59">
        <f t="shared" si="157"/>
        <v>0</v>
      </c>
    </row>
    <row r="443" spans="1:29" s="1" customFormat="1" x14ac:dyDescent="0.2">
      <c r="B443" s="128"/>
      <c r="F443" s="5"/>
      <c r="H443" s="12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spans="1:29" s="1" customFormat="1" x14ac:dyDescent="0.2">
      <c r="B444" s="13" t="s">
        <v>113</v>
      </c>
      <c r="F444" s="352">
        <f>+$K$9</f>
        <v>0.5</v>
      </c>
      <c r="G444" s="353"/>
      <c r="H444" s="12" t="s">
        <v>31</v>
      </c>
      <c r="I444" s="87">
        <f>+I442*$F$444</f>
        <v>35351.429637247027</v>
      </c>
      <c r="J444" s="87">
        <f t="shared" ref="J444:AC444" si="158">+J442*$F$444</f>
        <v>29772.553133284775</v>
      </c>
      <c r="K444" s="87">
        <f t="shared" si="158"/>
        <v>24261.498546621646</v>
      </c>
      <c r="L444" s="87">
        <f t="shared" si="158"/>
        <v>18886.294504622754</v>
      </c>
      <c r="M444" s="87">
        <f t="shared" si="158"/>
        <v>13866.329446765376</v>
      </c>
      <c r="N444" s="87">
        <f t="shared" si="158"/>
        <v>9408.2897507456219</v>
      </c>
      <c r="O444" s="87">
        <f t="shared" si="158"/>
        <v>5668.9184919678082</v>
      </c>
      <c r="P444" s="87">
        <f t="shared" si="158"/>
        <v>2686.1803825093666</v>
      </c>
      <c r="Q444" s="87">
        <f t="shared" si="158"/>
        <v>666.67830072218931</v>
      </c>
      <c r="R444" s="87">
        <f t="shared" si="158"/>
        <v>-104.74466284209484</v>
      </c>
      <c r="S444" s="87">
        <f t="shared" si="158"/>
        <v>0</v>
      </c>
      <c r="T444" s="87">
        <f t="shared" si="158"/>
        <v>0</v>
      </c>
      <c r="U444" s="87">
        <f t="shared" si="158"/>
        <v>0</v>
      </c>
      <c r="V444" s="87">
        <f t="shared" si="158"/>
        <v>0</v>
      </c>
      <c r="W444" s="87">
        <f t="shared" si="158"/>
        <v>0</v>
      </c>
      <c r="X444" s="87">
        <f t="shared" si="158"/>
        <v>0</v>
      </c>
      <c r="Y444" s="87">
        <f t="shared" si="158"/>
        <v>0</v>
      </c>
      <c r="Z444" s="87">
        <f t="shared" si="158"/>
        <v>0</v>
      </c>
      <c r="AA444" s="87">
        <f t="shared" si="158"/>
        <v>0</v>
      </c>
      <c r="AB444" s="87">
        <f t="shared" si="158"/>
        <v>0</v>
      </c>
      <c r="AC444" s="87">
        <f t="shared" si="158"/>
        <v>0</v>
      </c>
    </row>
    <row r="445" spans="1:29" s="1" customFormat="1" x14ac:dyDescent="0.2">
      <c r="H445" s="12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s="1" customFormat="1" x14ac:dyDescent="0.2">
      <c r="A446" s="5"/>
      <c r="B446" s="5"/>
      <c r="C446" s="5"/>
      <c r="D446" s="5"/>
      <c r="E446" s="5"/>
      <c r="F446" s="5"/>
      <c r="G446" s="5"/>
      <c r="H446" s="12"/>
    </row>
    <row r="447" spans="1:29" s="1" customFormat="1" ht="18" x14ac:dyDescent="0.25">
      <c r="A447" s="94" t="s">
        <v>78</v>
      </c>
      <c r="B447" s="5"/>
      <c r="C447" s="5"/>
      <c r="D447" s="5"/>
      <c r="E447" s="5"/>
      <c r="F447" s="5"/>
      <c r="G447" s="5"/>
      <c r="H447" s="12"/>
    </row>
    <row r="448" spans="1:29" s="1" customFormat="1" x14ac:dyDescent="0.2">
      <c r="A448" s="5"/>
      <c r="B448" s="5"/>
      <c r="C448" s="5"/>
      <c r="D448" s="5"/>
      <c r="E448" s="5"/>
      <c r="F448" s="5"/>
      <c r="G448" s="5"/>
      <c r="H448" s="12"/>
    </row>
    <row r="449" spans="1:256" s="1" customFormat="1" x14ac:dyDescent="0.2">
      <c r="A449" s="5"/>
      <c r="B449" s="5" t="s">
        <v>25</v>
      </c>
      <c r="C449" s="5"/>
      <c r="D449" s="5"/>
      <c r="E449" s="5"/>
      <c r="F449" s="5"/>
      <c r="G449" s="5"/>
      <c r="H449" s="39" t="s">
        <v>31</v>
      </c>
      <c r="I449" s="7">
        <f t="shared" ref="I449:AC449" si="159">+I338</f>
        <v>789248.97223964601</v>
      </c>
      <c r="J449" s="7">
        <f t="shared" si="159"/>
        <v>768750.09857926925</v>
      </c>
      <c r="K449" s="7">
        <f t="shared" si="159"/>
        <v>737857.50161013007</v>
      </c>
      <c r="L449" s="7">
        <f t="shared" si="159"/>
        <v>697743.56775719149</v>
      </c>
      <c r="M449" s="7">
        <f t="shared" si="159"/>
        <v>648457.59248245077</v>
      </c>
      <c r="N449" s="7">
        <f t="shared" si="159"/>
        <v>590062.32489820046</v>
      </c>
      <c r="O449" s="7">
        <f t="shared" si="159"/>
        <v>522218.72316025983</v>
      </c>
      <c r="P449" s="7">
        <f t="shared" si="159"/>
        <v>450034.44008858496</v>
      </c>
      <c r="Q449" s="7">
        <f t="shared" si="159"/>
        <v>363220.65115265368</v>
      </c>
      <c r="R449" s="7">
        <f t="shared" si="159"/>
        <v>262896.63956540509</v>
      </c>
      <c r="S449" s="7">
        <f t="shared" si="159"/>
        <v>180183.42012779971</v>
      </c>
      <c r="T449" s="7">
        <f t="shared" si="159"/>
        <v>156643.82331162141</v>
      </c>
      <c r="U449" s="7">
        <f t="shared" si="159"/>
        <v>130220.98509162516</v>
      </c>
      <c r="V449" s="7">
        <f t="shared" si="159"/>
        <v>102905.42166318795</v>
      </c>
      <c r="W449" s="7">
        <f t="shared" si="159"/>
        <v>69331.185553495015</v>
      </c>
      <c r="X449" s="7">
        <f t="shared" si="159"/>
        <v>42034.444986791925</v>
      </c>
      <c r="Y449" s="7">
        <f t="shared" si="159"/>
        <v>35211.507674566106</v>
      </c>
      <c r="Z449" s="7">
        <f t="shared" si="159"/>
        <v>27631.114084679717</v>
      </c>
      <c r="AA449" s="7">
        <f t="shared" si="159"/>
        <v>19220.522879013039</v>
      </c>
      <c r="AB449" s="7">
        <f t="shared" si="159"/>
        <v>9900.6362020543074</v>
      </c>
      <c r="AC449" s="7">
        <f t="shared" si="159"/>
        <v>0</v>
      </c>
    </row>
    <row r="450" spans="1:256" s="1" customFormat="1" x14ac:dyDescent="0.2">
      <c r="A450" s="5"/>
      <c r="B450" s="5"/>
      <c r="C450" s="5"/>
      <c r="D450" s="5"/>
      <c r="E450" s="5"/>
      <c r="F450" s="5"/>
      <c r="G450" s="5"/>
      <c r="H450" s="3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56" s="1" customFormat="1" x14ac:dyDescent="0.2">
      <c r="A451" s="5"/>
      <c r="B451" s="5" t="s">
        <v>74</v>
      </c>
      <c r="C451" s="5"/>
      <c r="D451" s="5"/>
      <c r="E451" s="5" t="s">
        <v>191</v>
      </c>
      <c r="F451" s="356">
        <v>0.1</v>
      </c>
      <c r="G451" s="357"/>
      <c r="H451" s="39" t="s">
        <v>31</v>
      </c>
      <c r="I451" s="7">
        <f>-I449*$F$451</f>
        <v>-78924.89722396461</v>
      </c>
      <c r="J451" s="7">
        <f t="shared" ref="J451:AC451" si="160">-J449*$F$451</f>
        <v>-76875.009857926925</v>
      </c>
      <c r="K451" s="7">
        <f t="shared" si="160"/>
        <v>-73785.750161013013</v>
      </c>
      <c r="L451" s="7">
        <f t="shared" si="160"/>
        <v>-69774.356775719149</v>
      </c>
      <c r="M451" s="7">
        <f t="shared" si="160"/>
        <v>-64845.759248245078</v>
      </c>
      <c r="N451" s="7">
        <f t="shared" si="160"/>
        <v>-59006.232489820046</v>
      </c>
      <c r="O451" s="7">
        <f t="shared" si="160"/>
        <v>-52221.872316025983</v>
      </c>
      <c r="P451" s="7">
        <f t="shared" si="160"/>
        <v>-45003.444008858496</v>
      </c>
      <c r="Q451" s="7">
        <f t="shared" si="160"/>
        <v>-36322.065115265366</v>
      </c>
      <c r="R451" s="7">
        <f t="shared" si="160"/>
        <v>-26289.663956540509</v>
      </c>
      <c r="S451" s="7">
        <f t="shared" si="160"/>
        <v>-18018.342012779973</v>
      </c>
      <c r="T451" s="7">
        <f t="shared" si="160"/>
        <v>-15664.382331162142</v>
      </c>
      <c r="U451" s="7">
        <f t="shared" si="160"/>
        <v>-13022.098509162517</v>
      </c>
      <c r="V451" s="7">
        <f t="shared" si="160"/>
        <v>-10290.542166318795</v>
      </c>
      <c r="W451" s="7">
        <f t="shared" si="160"/>
        <v>-6933.1185553495015</v>
      </c>
      <c r="X451" s="7">
        <f t="shared" si="160"/>
        <v>-4203.4444986791923</v>
      </c>
      <c r="Y451" s="7">
        <f t="shared" si="160"/>
        <v>-3521.150767456611</v>
      </c>
      <c r="Z451" s="7">
        <f t="shared" si="160"/>
        <v>-2763.1114084679721</v>
      </c>
      <c r="AA451" s="7">
        <f t="shared" si="160"/>
        <v>-1922.052287901304</v>
      </c>
      <c r="AB451" s="7">
        <f t="shared" si="160"/>
        <v>-990.06362020543077</v>
      </c>
      <c r="AC451" s="7">
        <f t="shared" si="160"/>
        <v>0</v>
      </c>
    </row>
    <row r="452" spans="1:256" s="1" customFormat="1" x14ac:dyDescent="0.2">
      <c r="A452" s="5"/>
      <c r="B452" s="5"/>
      <c r="C452" s="5"/>
      <c r="D452" s="5"/>
      <c r="E452" s="5" t="s">
        <v>203</v>
      </c>
      <c r="F452" s="253" t="s">
        <v>262</v>
      </c>
      <c r="G452" s="253"/>
      <c r="H452" s="39" t="s">
        <v>31</v>
      </c>
      <c r="I452" s="7">
        <f>I361</f>
        <v>-36475.846532399089</v>
      </c>
      <c r="J452" s="7">
        <f t="shared" ref="J452:AA452" si="161">J361</f>
        <v>-34009.923042613336</v>
      </c>
      <c r="K452" s="7">
        <f t="shared" si="161"/>
        <v>-31456.890203325096</v>
      </c>
      <c r="L452" s="7">
        <f t="shared" si="161"/>
        <v>-28658.792269029036</v>
      </c>
      <c r="M452" s="7">
        <f t="shared" si="161"/>
        <v>-25558.291604935428</v>
      </c>
      <c r="N452" s="7">
        <f t="shared" si="161"/>
        <v>-22108.805509571437</v>
      </c>
      <c r="O452" s="7">
        <f t="shared" si="161"/>
        <v>-18267.599983042906</v>
      </c>
      <c r="P452" s="7">
        <f t="shared" si="161"/>
        <v>-13956.166427678578</v>
      </c>
      <c r="Q452" s="7">
        <f t="shared" si="161"/>
        <v>-9173.0052702371977</v>
      </c>
      <c r="R452" s="7">
        <f t="shared" si="161"/>
        <v>-3830.6726744530906</v>
      </c>
      <c r="S452" s="7">
        <f t="shared" si="161"/>
        <v>0</v>
      </c>
      <c r="T452" s="7">
        <f t="shared" si="161"/>
        <v>0</v>
      </c>
      <c r="U452" s="7">
        <f t="shared" si="161"/>
        <v>0</v>
      </c>
      <c r="V452" s="7">
        <f t="shared" si="161"/>
        <v>0</v>
      </c>
      <c r="W452" s="7">
        <f t="shared" si="161"/>
        <v>0</v>
      </c>
      <c r="X452" s="7">
        <f t="shared" si="161"/>
        <v>0</v>
      </c>
      <c r="Y452" s="7">
        <f t="shared" si="161"/>
        <v>0</v>
      </c>
      <c r="Z452" s="7">
        <f t="shared" si="161"/>
        <v>0</v>
      </c>
      <c r="AA452" s="7">
        <f t="shared" si="161"/>
        <v>0</v>
      </c>
      <c r="AB452" s="7"/>
      <c r="AC452" s="7"/>
    </row>
    <row r="453" spans="1:256" s="1" customFormat="1" x14ac:dyDescent="0.2">
      <c r="A453" s="5"/>
      <c r="C453" s="5"/>
      <c r="D453" s="5"/>
      <c r="E453" s="5" t="s">
        <v>76</v>
      </c>
      <c r="F453" s="5"/>
      <c r="G453" s="5"/>
      <c r="H453" s="39" t="s">
        <v>31</v>
      </c>
      <c r="I453" s="7">
        <f t="shared" ref="I453:AC453" si="162">-I382</f>
        <v>-119783.499513168</v>
      </c>
      <c r="J453" s="7">
        <f t="shared" si="162"/>
        <v>-121172.96495087208</v>
      </c>
      <c r="K453" s="7">
        <f t="shared" si="162"/>
        <v>-119875.38464580383</v>
      </c>
      <c r="L453" s="7">
        <f t="shared" si="162"/>
        <v>-117685.57556383128</v>
      </c>
      <c r="M453" s="7">
        <f t="shared" si="162"/>
        <v>-113105.69836881694</v>
      </c>
      <c r="N453" s="7">
        <f t="shared" si="162"/>
        <v>-106723.58394309979</v>
      </c>
      <c r="O453" s="7">
        <f t="shared" si="162"/>
        <v>-97835.153916076277</v>
      </c>
      <c r="P453" s="7">
        <f t="shared" si="162"/>
        <v>-86004.229588304996</v>
      </c>
      <c r="Q453" s="7">
        <f t="shared" si="162"/>
        <v>-70256.345804936951</v>
      </c>
      <c r="R453" s="7">
        <f t="shared" si="162"/>
        <v>-52335.460878469872</v>
      </c>
      <c r="S453" s="7">
        <f t="shared" si="162"/>
        <v>-30400.703219591342</v>
      </c>
      <c r="T453" s="7">
        <f t="shared" si="162"/>
        <v>-13770.86332435131</v>
      </c>
      <c r="U453" s="7">
        <f t="shared" si="162"/>
        <v>0</v>
      </c>
      <c r="V453" s="7">
        <f t="shared" si="162"/>
        <v>0</v>
      </c>
      <c r="W453" s="7">
        <f t="shared" si="162"/>
        <v>0</v>
      </c>
      <c r="X453" s="7">
        <f t="shared" si="162"/>
        <v>0</v>
      </c>
      <c r="Y453" s="7">
        <f t="shared" si="162"/>
        <v>0</v>
      </c>
      <c r="Z453" s="7">
        <f t="shared" si="162"/>
        <v>0</v>
      </c>
      <c r="AA453" s="7">
        <f t="shared" si="162"/>
        <v>0</v>
      </c>
      <c r="AB453" s="7">
        <f t="shared" si="162"/>
        <v>0</v>
      </c>
      <c r="AC453" s="7">
        <f t="shared" si="162"/>
        <v>0</v>
      </c>
    </row>
    <row r="454" spans="1:256" s="1" customFormat="1" x14ac:dyDescent="0.2">
      <c r="A454" s="5"/>
      <c r="B454" s="5"/>
      <c r="C454" s="5"/>
      <c r="D454" s="5"/>
      <c r="E454" s="5" t="s">
        <v>131</v>
      </c>
      <c r="F454" s="5"/>
      <c r="G454" s="5"/>
      <c r="H454" s="39" t="s">
        <v>31</v>
      </c>
      <c r="I454" s="7">
        <f>-I405</f>
        <v>-10874.200679128722</v>
      </c>
      <c r="J454" s="7">
        <f t="shared" ref="J454:AC454" si="163">-J405</f>
        <v>-10543.951234131426</v>
      </c>
      <c r="K454" s="7">
        <f t="shared" si="163"/>
        <v>-10185.009717352763</v>
      </c>
      <c r="L454" s="7">
        <f t="shared" si="163"/>
        <v>-9794.8833615963704</v>
      </c>
      <c r="M454" s="7">
        <f t="shared" si="163"/>
        <v>-9370.8628280518678</v>
      </c>
      <c r="N454" s="7">
        <f t="shared" si="163"/>
        <v>-8910.0033905530108</v>
      </c>
      <c r="O454" s="7">
        <f t="shared" si="163"/>
        <v>-8409.1044851242568</v>
      </c>
      <c r="P454" s="7">
        <f t="shared" si="163"/>
        <v>-7864.6874827918546</v>
      </c>
      <c r="Q454" s="7">
        <f t="shared" si="163"/>
        <v>-7272.971531296811</v>
      </c>
      <c r="R454" s="7">
        <f t="shared" si="163"/>
        <v>-6629.8472979358785</v>
      </c>
      <c r="S454" s="7">
        <f t="shared" si="163"/>
        <v>-5930.8484311805478</v>
      </c>
      <c r="T454" s="7">
        <f t="shared" si="163"/>
        <v>-5171.1205428815147</v>
      </c>
      <c r="U454" s="7">
        <f t="shared" si="163"/>
        <v>-4345.3874956470609</v>
      </c>
      <c r="V454" s="7">
        <f t="shared" si="163"/>
        <v>-3447.9147612688776</v>
      </c>
      <c r="W454" s="7">
        <f t="shared" si="163"/>
        <v>-2472.4695957279177</v>
      </c>
      <c r="X454" s="7">
        <f t="shared" si="163"/>
        <v>-1412.2777542047593</v>
      </c>
      <c r="Y454" s="7">
        <f t="shared" si="163"/>
        <v>-1009.9764454900687</v>
      </c>
      <c r="Z454" s="7">
        <f t="shared" si="163"/>
        <v>-572.72319907424594</v>
      </c>
      <c r="AA454" s="7">
        <f t="shared" si="163"/>
        <v>-397.48139060981646</v>
      </c>
      <c r="AB454" s="7">
        <f t="shared" si="163"/>
        <v>-207.01457382599733</v>
      </c>
      <c r="AC454" s="7">
        <f t="shared" si="163"/>
        <v>0</v>
      </c>
    </row>
    <row r="455" spans="1:256" s="1" customFormat="1" x14ac:dyDescent="0.2">
      <c r="A455" s="5"/>
      <c r="B455" s="5"/>
      <c r="C455" s="5"/>
      <c r="D455" s="5"/>
      <c r="E455" s="5" t="s">
        <v>32</v>
      </c>
      <c r="F455" s="5"/>
      <c r="G455" s="5"/>
      <c r="H455" s="39" t="s">
        <v>31</v>
      </c>
      <c r="I455" s="7">
        <f>-I428</f>
        <v>-309360</v>
      </c>
      <c r="J455" s="7">
        <f t="shared" ref="J455:AC455" si="164">-J428</f>
        <v>-293616</v>
      </c>
      <c r="K455" s="7">
        <f t="shared" si="164"/>
        <v>-277307</v>
      </c>
      <c r="L455" s="7">
        <f t="shared" si="164"/>
        <v>-258625</v>
      </c>
      <c r="M455" s="7">
        <f t="shared" si="164"/>
        <v>-231550.5</v>
      </c>
      <c r="N455" s="7">
        <f t="shared" si="164"/>
        <v>-198630</v>
      </c>
      <c r="O455" s="7">
        <f t="shared" si="164"/>
        <v>-160619.5</v>
      </c>
      <c r="P455" s="7">
        <f t="shared" si="164"/>
        <v>-123719</v>
      </c>
      <c r="Q455" s="7">
        <f t="shared" si="164"/>
        <v>-83211</v>
      </c>
      <c r="R455" s="7">
        <f t="shared" si="164"/>
        <v>-33000</v>
      </c>
      <c r="S455" s="7">
        <f t="shared" si="164"/>
        <v>0</v>
      </c>
      <c r="T455" s="7">
        <f t="shared" si="164"/>
        <v>0</v>
      </c>
      <c r="U455" s="7">
        <f t="shared" si="164"/>
        <v>0</v>
      </c>
      <c r="V455" s="7">
        <f t="shared" si="164"/>
        <v>0</v>
      </c>
      <c r="W455" s="7">
        <f t="shared" si="164"/>
        <v>0</v>
      </c>
      <c r="X455" s="7">
        <f t="shared" si="164"/>
        <v>0</v>
      </c>
      <c r="Y455" s="7">
        <f t="shared" si="164"/>
        <v>0</v>
      </c>
      <c r="Z455" s="7">
        <f t="shared" si="164"/>
        <v>0</v>
      </c>
      <c r="AA455" s="7">
        <f t="shared" si="164"/>
        <v>0</v>
      </c>
      <c r="AB455" s="7">
        <f t="shared" si="164"/>
        <v>0</v>
      </c>
      <c r="AC455" s="7">
        <f t="shared" si="164"/>
        <v>0</v>
      </c>
    </row>
    <row r="456" spans="1:256" s="1" customFormat="1" x14ac:dyDescent="0.2">
      <c r="A456" s="5"/>
      <c r="B456" s="5"/>
      <c r="C456" s="5"/>
      <c r="D456" s="5"/>
      <c r="E456" s="5" t="s">
        <v>155</v>
      </c>
      <c r="F456" s="5"/>
      <c r="G456" s="5"/>
      <c r="H456" s="39" t="s">
        <v>31</v>
      </c>
      <c r="I456" s="7">
        <f>-I444</f>
        <v>-35351.429637247027</v>
      </c>
      <c r="J456" s="7">
        <f t="shared" ref="J456:AC456" si="165">-J444</f>
        <v>-29772.553133284775</v>
      </c>
      <c r="K456" s="7">
        <f t="shared" si="165"/>
        <v>-24261.498546621646</v>
      </c>
      <c r="L456" s="7">
        <f t="shared" si="165"/>
        <v>-18886.294504622754</v>
      </c>
      <c r="M456" s="7">
        <f t="shared" si="165"/>
        <v>-13866.329446765376</v>
      </c>
      <c r="N456" s="7">
        <f t="shared" si="165"/>
        <v>-9408.2897507456219</v>
      </c>
      <c r="O456" s="7">
        <f t="shared" si="165"/>
        <v>-5668.9184919678082</v>
      </c>
      <c r="P456" s="7">
        <f t="shared" si="165"/>
        <v>-2686.1803825093666</v>
      </c>
      <c r="Q456" s="7">
        <f t="shared" si="165"/>
        <v>-666.67830072218931</v>
      </c>
      <c r="R456" s="7">
        <f t="shared" si="165"/>
        <v>104.74466284209484</v>
      </c>
      <c r="S456" s="7">
        <f t="shared" si="165"/>
        <v>0</v>
      </c>
      <c r="T456" s="7">
        <f t="shared" si="165"/>
        <v>0</v>
      </c>
      <c r="U456" s="7">
        <f t="shared" si="165"/>
        <v>0</v>
      </c>
      <c r="V456" s="7">
        <f t="shared" si="165"/>
        <v>0</v>
      </c>
      <c r="W456" s="7">
        <f t="shared" si="165"/>
        <v>0</v>
      </c>
      <c r="X456" s="7">
        <f t="shared" si="165"/>
        <v>0</v>
      </c>
      <c r="Y456" s="7">
        <f t="shared" si="165"/>
        <v>0</v>
      </c>
      <c r="Z456" s="7">
        <f t="shared" si="165"/>
        <v>0</v>
      </c>
      <c r="AA456" s="7">
        <f t="shared" si="165"/>
        <v>0</v>
      </c>
      <c r="AB456" s="7">
        <f t="shared" si="165"/>
        <v>0</v>
      </c>
      <c r="AC456" s="7">
        <f t="shared" si="165"/>
        <v>0</v>
      </c>
    </row>
    <row r="457" spans="1:256" s="1" customFormat="1" x14ac:dyDescent="0.2">
      <c r="A457" s="5"/>
      <c r="B457" s="5"/>
      <c r="C457" s="5"/>
      <c r="D457" s="5"/>
      <c r="E457" s="5" t="s">
        <v>143</v>
      </c>
      <c r="F457" s="5"/>
      <c r="G457" s="5"/>
      <c r="H457" s="39" t="s">
        <v>31</v>
      </c>
      <c r="I457" s="7">
        <f t="shared" ref="I457:AC457" si="166">-I415</f>
        <v>-17278.338988330761</v>
      </c>
      <c r="J457" s="7">
        <f t="shared" si="166"/>
        <v>-18550.505089497685</v>
      </c>
      <c r="K457" s="7">
        <f t="shared" si="166"/>
        <v>-19822.671190664609</v>
      </c>
      <c r="L457" s="7">
        <f t="shared" si="166"/>
        <v>-21094.837291831533</v>
      </c>
      <c r="M457" s="7">
        <f t="shared" si="166"/>
        <v>-22367.003392998457</v>
      </c>
      <c r="N457" s="7">
        <f t="shared" si="166"/>
        <v>-23639.16949416538</v>
      </c>
      <c r="O457" s="7">
        <f t="shared" si="166"/>
        <v>-24911.335595332304</v>
      </c>
      <c r="P457" s="7">
        <f t="shared" si="166"/>
        <v>-26183.501696499228</v>
      </c>
      <c r="Q457" s="7">
        <f t="shared" si="166"/>
        <v>-27455.667797666152</v>
      </c>
      <c r="R457" s="7">
        <f t="shared" si="166"/>
        <v>-28727.833898833076</v>
      </c>
      <c r="S457" s="7">
        <f t="shared" si="166"/>
        <v>-30000</v>
      </c>
      <c r="T457" s="7">
        <f t="shared" si="166"/>
        <v>-31272.166101166924</v>
      </c>
      <c r="U457" s="7">
        <f t="shared" si="166"/>
        <v>-32544.332202333848</v>
      </c>
      <c r="V457" s="7">
        <f t="shared" si="166"/>
        <v>-33816.498303500775</v>
      </c>
      <c r="W457" s="7">
        <f t="shared" si="166"/>
        <v>-35088.664404667703</v>
      </c>
      <c r="X457" s="7">
        <f t="shared" si="166"/>
        <v>-36360.83050583463</v>
      </c>
      <c r="Y457" s="7">
        <f t="shared" si="166"/>
        <v>-37632.996607001558</v>
      </c>
      <c r="Z457" s="7">
        <f t="shared" si="166"/>
        <v>-38905.162708168486</v>
      </c>
      <c r="AA457" s="7">
        <f t="shared" si="166"/>
        <v>-40177.328809335413</v>
      </c>
      <c r="AB457" s="7">
        <f t="shared" si="166"/>
        <v>-41449.494910502341</v>
      </c>
      <c r="AC457" s="7">
        <f t="shared" si="166"/>
        <v>-42721.661011669268</v>
      </c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</row>
    <row r="458" spans="1:256" s="1" customFormat="1" x14ac:dyDescent="0.2">
      <c r="A458" s="5"/>
      <c r="B458" s="5"/>
      <c r="C458" s="5"/>
      <c r="D458" s="5"/>
      <c r="E458" s="5"/>
      <c r="F458" s="5"/>
      <c r="G458" s="5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  <c r="DS458" s="39"/>
      <c r="DT458" s="39"/>
      <c r="DU458" s="39"/>
      <c r="DV458" s="39"/>
      <c r="DW458" s="39"/>
      <c r="DX458" s="39"/>
      <c r="DY458" s="39"/>
      <c r="DZ458" s="39"/>
      <c r="EA458" s="39"/>
      <c r="EB458" s="39"/>
      <c r="EC458" s="39"/>
      <c r="ED458" s="39"/>
      <c r="EE458" s="39"/>
      <c r="EF458" s="39"/>
      <c r="EG458" s="39"/>
      <c r="EH458" s="39"/>
      <c r="EI458" s="39"/>
      <c r="EJ458" s="39"/>
      <c r="EK458" s="39"/>
      <c r="EL458" s="39"/>
      <c r="EM458" s="39"/>
      <c r="EN458" s="39"/>
      <c r="EO458" s="39"/>
      <c r="EP458" s="39"/>
      <c r="EQ458" s="39"/>
      <c r="ER458" s="39"/>
      <c r="ES458" s="39"/>
      <c r="ET458" s="39"/>
      <c r="EU458" s="39"/>
      <c r="EV458" s="39"/>
      <c r="EW458" s="39"/>
      <c r="EX458" s="39"/>
      <c r="EY458" s="39"/>
      <c r="EZ458" s="39"/>
      <c r="FA458" s="39"/>
      <c r="FB458" s="39"/>
      <c r="FC458" s="39"/>
      <c r="FD458" s="39"/>
      <c r="FE458" s="39"/>
      <c r="FF458" s="39"/>
      <c r="FG458" s="39"/>
      <c r="FH458" s="39"/>
      <c r="FI458" s="39"/>
      <c r="FJ458" s="39"/>
      <c r="FK458" s="39"/>
      <c r="FL458" s="39"/>
      <c r="FM458" s="39"/>
      <c r="FN458" s="39"/>
      <c r="FO458" s="39"/>
      <c r="FP458" s="39"/>
      <c r="FQ458" s="39"/>
      <c r="FR458" s="39"/>
      <c r="FS458" s="39"/>
      <c r="FT458" s="39"/>
      <c r="FU458" s="39"/>
      <c r="FV458" s="39"/>
      <c r="FW458" s="39"/>
      <c r="FX458" s="39"/>
      <c r="FY458" s="39"/>
      <c r="FZ458" s="39"/>
      <c r="GA458" s="39"/>
      <c r="GB458" s="39"/>
      <c r="GC458" s="39"/>
      <c r="GD458" s="39"/>
      <c r="GE458" s="39"/>
      <c r="GF458" s="39"/>
      <c r="GG458" s="39"/>
      <c r="GH458" s="39"/>
      <c r="GI458" s="39"/>
      <c r="GJ458" s="39"/>
      <c r="GK458" s="39"/>
      <c r="GL458" s="39"/>
      <c r="GM458" s="39"/>
      <c r="GN458" s="39"/>
      <c r="GO458" s="39"/>
      <c r="GP458" s="39"/>
      <c r="GQ458" s="39"/>
      <c r="GR458" s="39"/>
      <c r="GS458" s="39"/>
      <c r="GT458" s="39"/>
      <c r="GU458" s="39"/>
      <c r="GV458" s="39"/>
      <c r="GW458" s="39"/>
      <c r="GX458" s="39"/>
      <c r="GY458" s="39"/>
      <c r="GZ458" s="39"/>
      <c r="HA458" s="39"/>
      <c r="HB458" s="39"/>
      <c r="HC458" s="39"/>
      <c r="HD458" s="39"/>
      <c r="HE458" s="39"/>
      <c r="HF458" s="39"/>
      <c r="HG458" s="39"/>
      <c r="HH458" s="39"/>
      <c r="HI458" s="39"/>
      <c r="HJ458" s="39"/>
      <c r="HK458" s="39"/>
      <c r="HL458" s="39"/>
      <c r="HM458" s="39"/>
      <c r="HN458" s="39"/>
      <c r="HO458" s="39"/>
      <c r="HP458" s="39"/>
      <c r="HQ458" s="39"/>
      <c r="HR458" s="39"/>
      <c r="HS458" s="39"/>
      <c r="HT458" s="39"/>
      <c r="HU458" s="39"/>
      <c r="HV458" s="39"/>
      <c r="HW458" s="39"/>
      <c r="HX458" s="39"/>
      <c r="HY458" s="39"/>
      <c r="HZ458" s="39"/>
      <c r="IA458" s="39"/>
      <c r="IB458" s="39"/>
      <c r="IC458" s="39"/>
      <c r="ID458" s="39"/>
      <c r="IE458" s="39"/>
      <c r="IF458" s="39"/>
      <c r="IG458" s="39"/>
      <c r="IH458" s="39"/>
      <c r="II458" s="39"/>
      <c r="IJ458" s="39"/>
      <c r="IK458" s="39"/>
      <c r="IL458" s="39"/>
      <c r="IM458" s="39"/>
      <c r="IN458" s="39"/>
      <c r="IO458" s="39"/>
      <c r="IP458" s="39"/>
      <c r="IQ458" s="39"/>
      <c r="IR458" s="39"/>
      <c r="IS458" s="39"/>
      <c r="IT458" s="39"/>
      <c r="IU458" s="39"/>
      <c r="IV458" s="39"/>
    </row>
    <row r="459" spans="1:256" s="1" customFormat="1" x14ac:dyDescent="0.2">
      <c r="A459" s="5"/>
      <c r="B459" s="5" t="s">
        <v>103</v>
      </c>
      <c r="C459" s="5"/>
      <c r="D459" s="5"/>
      <c r="E459" s="5" t="s">
        <v>300</v>
      </c>
      <c r="F459" s="10">
        <v>1</v>
      </c>
      <c r="G459" s="5"/>
      <c r="H459" s="39" t="s">
        <v>31</v>
      </c>
      <c r="I459" s="10">
        <f>IF(F459=1,Bellingham!B34+Sayreville!B34,600*250*0.5)</f>
        <v>65582.844259846664</v>
      </c>
      <c r="J459" s="10" t="s">
        <v>1</v>
      </c>
      <c r="K459" s="10" t="s">
        <v>1</v>
      </c>
      <c r="L459" s="10" t="s">
        <v>1</v>
      </c>
      <c r="M459" s="10" t="s">
        <v>1</v>
      </c>
    </row>
    <row r="460" spans="1:256" s="1" customFormat="1" x14ac:dyDescent="0.2">
      <c r="A460" s="5"/>
      <c r="B460" s="5"/>
      <c r="C460" s="5"/>
      <c r="D460" s="5"/>
      <c r="E460" s="5" t="s">
        <v>301</v>
      </c>
      <c r="F460" s="5"/>
      <c r="G460" s="5"/>
      <c r="H460" s="12"/>
    </row>
    <row r="461" spans="1:256" s="1" customFormat="1" x14ac:dyDescent="0.2">
      <c r="A461" s="5"/>
      <c r="B461" s="13" t="s">
        <v>170</v>
      </c>
      <c r="C461" s="13"/>
      <c r="D461" s="13"/>
      <c r="E461" s="13"/>
      <c r="F461" s="13"/>
      <c r="G461" s="13"/>
      <c r="H461" s="39" t="s">
        <v>31</v>
      </c>
      <c r="I461" s="118">
        <f t="shared" ref="I461:AC461" si="167">SUM(I449:I459)</f>
        <v>246783.60392525449</v>
      </c>
      <c r="J461" s="118">
        <f t="shared" si="167"/>
        <v>184209.191270943</v>
      </c>
      <c r="K461" s="118">
        <f t="shared" si="167"/>
        <v>181163.29714534918</v>
      </c>
      <c r="L461" s="118">
        <f t="shared" si="167"/>
        <v>173223.8279905614</v>
      </c>
      <c r="M461" s="118">
        <f t="shared" si="167"/>
        <v>167793.14759263772</v>
      </c>
      <c r="N461" s="118">
        <f t="shared" si="167"/>
        <v>161636.24032024524</v>
      </c>
      <c r="O461" s="118">
        <f t="shared" si="167"/>
        <v>154285.23837269034</v>
      </c>
      <c r="P461" s="118">
        <f t="shared" si="167"/>
        <v>144617.23050194245</v>
      </c>
      <c r="Q461" s="118">
        <f t="shared" si="167"/>
        <v>128862.91733252897</v>
      </c>
      <c r="R461" s="118">
        <f t="shared" si="167"/>
        <v>112187.90552201474</v>
      </c>
      <c r="S461" s="118">
        <f t="shared" si="167"/>
        <v>95833.526464247843</v>
      </c>
      <c r="T461" s="118">
        <f t="shared" si="167"/>
        <v>90765.291012059519</v>
      </c>
      <c r="U461" s="118">
        <f t="shared" si="167"/>
        <v>80309.166884481732</v>
      </c>
      <c r="V461" s="118">
        <f t="shared" si="167"/>
        <v>55350.466432099507</v>
      </c>
      <c r="W461" s="118">
        <f t="shared" si="167"/>
        <v>24836.932997749893</v>
      </c>
      <c r="X461" s="118">
        <f t="shared" si="167"/>
        <v>57.892228073338629</v>
      </c>
      <c r="Y461" s="118">
        <f t="shared" si="167"/>
        <v>-6952.6161453821296</v>
      </c>
      <c r="Z461" s="118">
        <f t="shared" si="167"/>
        <v>-14609.883231030988</v>
      </c>
      <c r="AA461" s="118">
        <f t="shared" si="167"/>
        <v>-23276.339608833496</v>
      </c>
      <c r="AB461" s="118">
        <f t="shared" si="167"/>
        <v>-32745.936902479461</v>
      </c>
      <c r="AC461" s="118">
        <f t="shared" si="167"/>
        <v>-42721.661011669268</v>
      </c>
    </row>
    <row r="462" spans="1:256" s="1" customFormat="1" x14ac:dyDescent="0.2">
      <c r="A462" s="5"/>
      <c r="B462" s="5"/>
      <c r="C462" s="5"/>
      <c r="D462" s="5"/>
      <c r="E462" s="5"/>
      <c r="F462" s="5"/>
      <c r="G462" s="5"/>
      <c r="H462" s="12"/>
    </row>
    <row r="463" spans="1:256" s="1" customFormat="1" x14ac:dyDescent="0.2">
      <c r="A463" s="5"/>
      <c r="B463" s="5"/>
      <c r="C463" s="13" t="s">
        <v>313</v>
      </c>
      <c r="D463" s="5"/>
      <c r="E463" s="5"/>
      <c r="F463" s="5"/>
      <c r="G463" s="5"/>
      <c r="H463" s="12"/>
      <c r="I463" s="7">
        <f>+I461-J234</f>
        <v>84697.833841697662</v>
      </c>
      <c r="J463" s="7">
        <f>+J461-J234</f>
        <v>22123.421187386179</v>
      </c>
      <c r="K463" s="7">
        <f>+K461-J234</f>
        <v>19077.527061792352</v>
      </c>
      <c r="L463" s="7" t="s">
        <v>262</v>
      </c>
      <c r="M463" s="7" t="s">
        <v>1</v>
      </c>
    </row>
    <row r="464" spans="1:256" s="1" customFormat="1" x14ac:dyDescent="0.2">
      <c r="A464" s="5"/>
      <c r="B464" s="5"/>
      <c r="C464" s="5"/>
      <c r="D464" s="5"/>
      <c r="E464" s="5"/>
      <c r="F464" s="5"/>
      <c r="G464" s="5"/>
      <c r="H464" s="12"/>
    </row>
    <row r="465" spans="1:13" s="1" customFormat="1" x14ac:dyDescent="0.2">
      <c r="A465" s="5"/>
      <c r="B465" s="5"/>
      <c r="C465" s="5"/>
      <c r="D465" s="5"/>
      <c r="E465" s="5"/>
      <c r="F465" s="5"/>
      <c r="G465" s="5"/>
      <c r="H465" s="12"/>
      <c r="I465" s="7" t="s">
        <v>1</v>
      </c>
    </row>
    <row r="466" spans="1:13" s="1" customFormat="1" x14ac:dyDescent="0.2">
      <c r="A466" s="5"/>
      <c r="B466" s="5"/>
      <c r="C466" s="5"/>
      <c r="D466" s="5"/>
      <c r="E466" s="5"/>
      <c r="F466" s="5"/>
      <c r="G466" s="5"/>
      <c r="H466" s="12"/>
    </row>
    <row r="467" spans="1:13" s="1" customFormat="1" x14ac:dyDescent="0.2">
      <c r="A467" s="268" t="s">
        <v>209</v>
      </c>
    </row>
    <row r="468" spans="1:13" s="1" customFormat="1" x14ac:dyDescent="0.2">
      <c r="A468" s="269" t="s">
        <v>210</v>
      </c>
    </row>
    <row r="469" spans="1:13" s="1" customFormat="1" x14ac:dyDescent="0.2">
      <c r="B469" s="269" t="s">
        <v>242</v>
      </c>
    </row>
    <row r="470" spans="1:13" s="1" customFormat="1" x14ac:dyDescent="0.2">
      <c r="B470" s="269" t="s">
        <v>211</v>
      </c>
    </row>
    <row r="471" spans="1:13" s="1" customFormat="1" x14ac:dyDescent="0.2">
      <c r="B471" s="269" t="s">
        <v>212</v>
      </c>
    </row>
    <row r="472" spans="1:13" s="1" customFormat="1" x14ac:dyDescent="0.2">
      <c r="B472" s="269" t="s">
        <v>213</v>
      </c>
    </row>
    <row r="473" spans="1:13" s="1" customFormat="1" x14ac:dyDescent="0.2">
      <c r="B473" s="269" t="s">
        <v>214</v>
      </c>
    </row>
    <row r="474" spans="1:13" s="1" customFormat="1" x14ac:dyDescent="0.2">
      <c r="B474" s="269" t="s">
        <v>215</v>
      </c>
    </row>
    <row r="475" spans="1:13" s="1" customFormat="1" x14ac:dyDescent="0.2">
      <c r="B475" s="269" t="s">
        <v>216</v>
      </c>
    </row>
    <row r="476" spans="1:13" s="1" customFormat="1" x14ac:dyDescent="0.2"/>
    <row r="477" spans="1:13" s="1" customFormat="1" x14ac:dyDescent="0.2">
      <c r="A477" s="269" t="s">
        <v>217</v>
      </c>
      <c r="F477" s="21">
        <v>125000</v>
      </c>
    </row>
    <row r="478" spans="1:13" s="1" customFormat="1" x14ac:dyDescent="0.2">
      <c r="F478" s="21"/>
      <c r="H478" s="270" t="s">
        <v>218</v>
      </c>
    </row>
    <row r="479" spans="1:13" s="1" customFormat="1" x14ac:dyDescent="0.2">
      <c r="A479" s="269" t="s">
        <v>219</v>
      </c>
      <c r="F479" s="21">
        <v>120000</v>
      </c>
      <c r="H479" s="1" t="s">
        <v>220</v>
      </c>
      <c r="M479" s="21"/>
    </row>
    <row r="480" spans="1:13" s="1" customFormat="1" x14ac:dyDescent="0.2">
      <c r="F480" s="21"/>
      <c r="I480" s="269" t="s">
        <v>221</v>
      </c>
      <c r="M480" s="21">
        <v>40000</v>
      </c>
    </row>
    <row r="481" spans="1:13" s="1" customFormat="1" x14ac:dyDescent="0.2">
      <c r="A481" s="269" t="s">
        <v>222</v>
      </c>
      <c r="F481" s="21">
        <v>25000</v>
      </c>
      <c r="I481" s="1" t="s">
        <v>223</v>
      </c>
      <c r="M481" s="21">
        <v>25000</v>
      </c>
    </row>
    <row r="482" spans="1:13" s="1" customFormat="1" x14ac:dyDescent="0.2">
      <c r="I482" s="1" t="s">
        <v>224</v>
      </c>
      <c r="M482" s="21">
        <v>120000</v>
      </c>
    </row>
    <row r="483" spans="1:13" s="1" customFormat="1" x14ac:dyDescent="0.2">
      <c r="A483" s="269" t="s">
        <v>225</v>
      </c>
      <c r="F483" s="21">
        <f>0.2*F477+0.18*(SUM(M480:M484))</f>
        <v>63160</v>
      </c>
      <c r="I483" s="1" t="s">
        <v>226</v>
      </c>
      <c r="M483" s="21">
        <v>22000</v>
      </c>
    </row>
    <row r="484" spans="1:13" s="1" customFormat="1" x14ac:dyDescent="0.2">
      <c r="A484" s="269"/>
      <c r="F484" s="249"/>
      <c r="I484" s="1" t="s">
        <v>227</v>
      </c>
      <c r="M484" s="21">
        <v>5000</v>
      </c>
    </row>
    <row r="485" spans="1:13" s="1" customFormat="1" x14ac:dyDescent="0.2">
      <c r="A485" s="271" t="s">
        <v>228</v>
      </c>
      <c r="F485" s="249">
        <v>115000</v>
      </c>
    </row>
    <row r="486" spans="1:13" s="1" customFormat="1" x14ac:dyDescent="0.2">
      <c r="A486" s="271"/>
      <c r="F486" s="249"/>
      <c r="H486" s="269" t="s">
        <v>229</v>
      </c>
      <c r="K486" s="272">
        <v>1.2</v>
      </c>
      <c r="M486" s="249">
        <v>0</v>
      </c>
    </row>
    <row r="487" spans="1:13" s="1" customFormat="1" ht="13.5" thickBot="1" x14ac:dyDescent="0.25">
      <c r="A487" s="271" t="s">
        <v>230</v>
      </c>
      <c r="D487" s="272">
        <v>2.5</v>
      </c>
      <c r="F487" s="249">
        <f>D487*1.402*125*8760</f>
        <v>3837975</v>
      </c>
      <c r="H487" s="271"/>
      <c r="I487" s="1" t="s">
        <v>231</v>
      </c>
      <c r="M487" s="273"/>
    </row>
    <row r="488" spans="1:13" s="1" customFormat="1" ht="13.5" thickTop="1" x14ac:dyDescent="0.2">
      <c r="B488" s="1" t="s">
        <v>232</v>
      </c>
    </row>
    <row r="489" spans="1:13" s="1" customFormat="1" x14ac:dyDescent="0.2">
      <c r="A489" s="269" t="s">
        <v>233</v>
      </c>
      <c r="D489" s="272">
        <v>0.06</v>
      </c>
      <c r="F489" s="252">
        <f>750*0.746*D489*8760</f>
        <v>294073.2</v>
      </c>
      <c r="H489" s="1" t="s">
        <v>234</v>
      </c>
      <c r="M489" s="249">
        <f>SUM(M480:M486)</f>
        <v>212000</v>
      </c>
    </row>
    <row r="490" spans="1:13" s="1" customFormat="1" x14ac:dyDescent="0.2">
      <c r="B490" s="269" t="s">
        <v>235</v>
      </c>
      <c r="I490" s="269" t="s">
        <v>236</v>
      </c>
    </row>
    <row r="491" spans="1:13" s="1" customFormat="1" x14ac:dyDescent="0.2">
      <c r="A491" s="269" t="s">
        <v>237</v>
      </c>
      <c r="F491" s="249">
        <f>SUM(F477:F489)</f>
        <v>4580208.2</v>
      </c>
    </row>
    <row r="492" spans="1:13" s="1" customFormat="1" ht="13.5" thickBot="1" x14ac:dyDescent="0.25">
      <c r="A492" s="269" t="s">
        <v>238</v>
      </c>
      <c r="F492" s="273">
        <f>M489</f>
        <v>212000</v>
      </c>
    </row>
    <row r="493" spans="1:13" s="1" customFormat="1" ht="13.5" thickTop="1" x14ac:dyDescent="0.2">
      <c r="A493" s="269" t="s">
        <v>239</v>
      </c>
      <c r="F493" s="249">
        <f>SUM(F491:F492)</f>
        <v>4792208.2</v>
      </c>
    </row>
    <row r="494" spans="1:13" s="1" customFormat="1" x14ac:dyDescent="0.2"/>
    <row r="495" spans="1:13" s="1" customFormat="1" x14ac:dyDescent="0.2">
      <c r="A495" s="269" t="s">
        <v>240</v>
      </c>
      <c r="D495" s="274">
        <v>0.12</v>
      </c>
      <c r="F495" s="21">
        <f>3600000*D495</f>
        <v>432000</v>
      </c>
    </row>
    <row r="496" spans="1:13" s="1" customFormat="1" x14ac:dyDescent="0.2"/>
    <row r="497" spans="1:44" s="1" customFormat="1" x14ac:dyDescent="0.2">
      <c r="A497" s="269" t="s">
        <v>241</v>
      </c>
    </row>
    <row r="498" spans="1:44" s="1" customFormat="1" x14ac:dyDescent="0.2">
      <c r="A498" s="5"/>
      <c r="B498" s="5"/>
      <c r="C498" s="5"/>
      <c r="D498" s="5"/>
      <c r="E498" s="5"/>
      <c r="F498" s="251">
        <v>2000</v>
      </c>
      <c r="G498" s="5"/>
      <c r="H498" s="12"/>
    </row>
    <row r="499" spans="1:44" s="1" customFormat="1" x14ac:dyDescent="0.2">
      <c r="A499" s="1" t="s">
        <v>252</v>
      </c>
      <c r="F499" s="1">
        <v>4200</v>
      </c>
      <c r="G499" s="5"/>
      <c r="H499" s="12"/>
    </row>
    <row r="500" spans="1:44" s="1" customFormat="1" x14ac:dyDescent="0.2">
      <c r="A500" s="1" t="s">
        <v>253</v>
      </c>
      <c r="F500" s="1">
        <v>1.4019999999999999</v>
      </c>
      <c r="G500" s="5"/>
      <c r="H500" s="12"/>
    </row>
    <row r="501" spans="1:44" s="1" customFormat="1" x14ac:dyDescent="0.2">
      <c r="A501" s="1" t="s">
        <v>243</v>
      </c>
      <c r="F501" s="1">
        <v>0.746</v>
      </c>
      <c r="G501" s="5"/>
      <c r="H501" s="12"/>
    </row>
    <row r="502" spans="1:44" s="1" customFormat="1" x14ac:dyDescent="0.2">
      <c r="A502" s="1" t="s">
        <v>254</v>
      </c>
      <c r="F502" s="1">
        <v>8.3000000000000007</v>
      </c>
      <c r="G502" s="5"/>
      <c r="H502" s="12"/>
    </row>
    <row r="503" spans="1:44" s="1" customFormat="1" x14ac:dyDescent="0.2">
      <c r="A503" s="1" t="s">
        <v>255</v>
      </c>
      <c r="F503" s="1">
        <v>0.9</v>
      </c>
      <c r="G503" s="5"/>
      <c r="H503" s="12"/>
    </row>
    <row r="504" spans="1:44" s="1" customFormat="1" x14ac:dyDescent="0.2">
      <c r="A504" s="1" t="s">
        <v>256</v>
      </c>
      <c r="F504" s="1">
        <v>0</v>
      </c>
      <c r="G504" s="5"/>
      <c r="H504" s="12"/>
    </row>
    <row r="505" spans="1:44" s="1" customFormat="1" x14ac:dyDescent="0.2">
      <c r="A505" s="1" t="s">
        <v>257</v>
      </c>
      <c r="F505" s="1">
        <v>2.0499999999999998</v>
      </c>
      <c r="G505" s="5"/>
      <c r="H505" s="12"/>
    </row>
    <row r="506" spans="1:44" s="1" customFormat="1" x14ac:dyDescent="0.2">
      <c r="A506" s="1" t="s">
        <v>258</v>
      </c>
      <c r="F506" s="1">
        <v>6</v>
      </c>
      <c r="G506" s="5"/>
      <c r="H506" s="12"/>
    </row>
    <row r="507" spans="1:44" s="1" customFormat="1" x14ac:dyDescent="0.2">
      <c r="A507" t="s">
        <v>249</v>
      </c>
      <c r="B507"/>
      <c r="C507"/>
      <c r="D507"/>
      <c r="E507"/>
      <c r="F507">
        <v>125</v>
      </c>
      <c r="G507" s="5"/>
    </row>
    <row r="508" spans="1:44" s="1" customFormat="1" x14ac:dyDescent="0.2">
      <c r="A508"/>
      <c r="B508"/>
      <c r="C508"/>
      <c r="D508"/>
      <c r="E508"/>
      <c r="F508"/>
      <c r="G508" s="5"/>
    </row>
    <row r="509" spans="1:44" s="1" customFormat="1" x14ac:dyDescent="0.2">
      <c r="A509"/>
      <c r="B509"/>
      <c r="C509"/>
      <c r="D509"/>
      <c r="E509"/>
      <c r="F509"/>
      <c r="G509" s="5"/>
    </row>
    <row r="510" spans="1:44" s="1" customFormat="1" x14ac:dyDescent="0.2">
      <c r="A510"/>
      <c r="B510"/>
      <c r="C510"/>
      <c r="D510"/>
      <c r="E510"/>
      <c r="F510"/>
    </row>
    <row r="511" spans="1:44" s="1" customFormat="1" x14ac:dyDescent="0.2">
      <c r="A511"/>
      <c r="B511"/>
      <c r="C511"/>
      <c r="D511"/>
      <c r="E511"/>
      <c r="F511"/>
    </row>
    <row r="512" spans="1:44" s="1" customFormat="1" x14ac:dyDescent="0.2"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27"/>
      <c r="AO512" s="127"/>
      <c r="AP512" s="127"/>
      <c r="AQ512" s="127"/>
      <c r="AR512" s="127"/>
    </row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pans="1:7" s="1" customFormat="1" x14ac:dyDescent="0.2"/>
    <row r="626" spans="1:7" s="1" customFormat="1" x14ac:dyDescent="0.2"/>
    <row r="627" spans="1:7" s="1" customFormat="1" x14ac:dyDescent="0.2"/>
    <row r="628" spans="1:7" s="1" customFormat="1" x14ac:dyDescent="0.2"/>
    <row r="629" spans="1:7" s="1" customFormat="1" x14ac:dyDescent="0.2"/>
    <row r="630" spans="1:7" s="1" customFormat="1" x14ac:dyDescent="0.2"/>
    <row r="631" spans="1:7" s="1" customFormat="1" x14ac:dyDescent="0.2"/>
    <row r="632" spans="1:7" s="1" customFormat="1" x14ac:dyDescent="0.2"/>
    <row r="633" spans="1:7" s="1" customFormat="1" x14ac:dyDescent="0.2"/>
    <row r="634" spans="1:7" s="1" customFormat="1" x14ac:dyDescent="0.2"/>
    <row r="635" spans="1:7" s="1" customFormat="1" x14ac:dyDescent="0.2"/>
    <row r="636" spans="1:7" s="1" customFormat="1" x14ac:dyDescent="0.2"/>
    <row r="637" spans="1:7" s="1" customFormat="1" x14ac:dyDescent="0.2">
      <c r="A637" s="5"/>
      <c r="B637" s="5"/>
      <c r="C637" s="5"/>
      <c r="D637" s="5"/>
      <c r="E637" s="5"/>
      <c r="F637" s="5"/>
      <c r="G637" s="5"/>
    </row>
    <row r="638" spans="1:7" s="1" customFormat="1" x14ac:dyDescent="0.2">
      <c r="A638" s="5"/>
      <c r="B638" s="5"/>
      <c r="C638" s="5"/>
      <c r="D638" s="5"/>
      <c r="E638" s="5"/>
      <c r="F638" s="5"/>
      <c r="G638" s="5"/>
    </row>
    <row r="639" spans="1:7" s="1" customFormat="1" x14ac:dyDescent="0.2">
      <c r="A639" s="5"/>
      <c r="B639" s="5"/>
      <c r="C639" s="5"/>
      <c r="D639" s="5"/>
      <c r="E639" s="5"/>
      <c r="F639" s="5"/>
      <c r="G639" s="5"/>
    </row>
    <row r="640" spans="1:7" s="1" customFormat="1" x14ac:dyDescent="0.2">
      <c r="A640" s="5"/>
      <c r="B640" s="5"/>
      <c r="C640" s="5"/>
      <c r="D640" s="5"/>
      <c r="E640" s="5"/>
      <c r="F640" s="5"/>
      <c r="G640" s="5"/>
    </row>
    <row r="641" spans="1:7" s="1" customFormat="1" x14ac:dyDescent="0.2">
      <c r="A641" s="5"/>
      <c r="B641" s="5"/>
      <c r="C641" s="5"/>
      <c r="D641" s="5"/>
      <c r="E641" s="5"/>
      <c r="F641" s="5"/>
      <c r="G641" s="5"/>
    </row>
    <row r="642" spans="1:7" s="1" customFormat="1" x14ac:dyDescent="0.2">
      <c r="A642" s="5"/>
      <c r="B642" s="5"/>
      <c r="C642" s="5"/>
      <c r="D642" s="5"/>
      <c r="E642" s="5"/>
      <c r="F642" s="5"/>
      <c r="G642" s="5"/>
    </row>
    <row r="643" spans="1:7" s="1" customFormat="1" x14ac:dyDescent="0.2">
      <c r="A643" s="5"/>
      <c r="B643" s="5"/>
      <c r="C643" s="5"/>
      <c r="D643" s="5"/>
      <c r="E643" s="5"/>
      <c r="F643" s="5"/>
      <c r="G643" s="5"/>
    </row>
    <row r="644" spans="1:7" s="1" customFormat="1" x14ac:dyDescent="0.2">
      <c r="A644" s="5"/>
      <c r="B644" s="5"/>
      <c r="C644" s="5"/>
      <c r="D644" s="5"/>
      <c r="E644" s="5"/>
      <c r="F644" s="5"/>
      <c r="G644" s="5"/>
    </row>
    <row r="645" spans="1:7" s="1" customFormat="1" x14ac:dyDescent="0.2">
      <c r="A645" s="5"/>
      <c r="B645" s="5"/>
      <c r="C645" s="5"/>
      <c r="D645" s="5"/>
      <c r="E645" s="5"/>
      <c r="F645" s="5"/>
      <c r="G645" s="5"/>
    </row>
    <row r="646" spans="1:7" s="1" customFormat="1" x14ac:dyDescent="0.2">
      <c r="A646" s="5"/>
      <c r="B646" s="5"/>
      <c r="C646" s="5"/>
      <c r="D646" s="5"/>
      <c r="E646" s="5"/>
      <c r="F646" s="5"/>
      <c r="G646" s="5"/>
    </row>
    <row r="647" spans="1:7" s="1" customFormat="1" x14ac:dyDescent="0.2">
      <c r="A647" s="5"/>
      <c r="B647" s="5"/>
      <c r="C647" s="5"/>
      <c r="D647" s="5"/>
      <c r="E647" s="5"/>
      <c r="F647" s="5"/>
      <c r="G647" s="5"/>
    </row>
    <row r="648" spans="1:7" s="1" customFormat="1" x14ac:dyDescent="0.2">
      <c r="A648" s="5"/>
      <c r="B648" s="5"/>
      <c r="C648" s="5"/>
      <c r="D648" s="5"/>
      <c r="E648" s="5"/>
      <c r="F648" s="5"/>
      <c r="G648" s="5"/>
    </row>
    <row r="649" spans="1:7" s="1" customFormat="1" x14ac:dyDescent="0.2">
      <c r="A649" s="5"/>
      <c r="B649" s="5"/>
      <c r="C649" s="5"/>
      <c r="D649" s="5"/>
      <c r="E649" s="5"/>
      <c r="F649" s="5"/>
      <c r="G649" s="5"/>
    </row>
    <row r="650" spans="1:7" s="1" customFormat="1" x14ac:dyDescent="0.2">
      <c r="A650" s="5"/>
      <c r="B650" s="5"/>
      <c r="C650" s="5"/>
      <c r="D650" s="5"/>
      <c r="E650" s="5"/>
      <c r="F650" s="5"/>
      <c r="G650" s="5"/>
    </row>
    <row r="651" spans="1:7" s="1" customFormat="1" x14ac:dyDescent="0.2">
      <c r="A651" s="5"/>
      <c r="B651" s="5"/>
      <c r="C651" s="5"/>
      <c r="D651" s="5"/>
      <c r="E651" s="5"/>
      <c r="F651" s="5"/>
      <c r="G651" s="5"/>
    </row>
    <row r="652" spans="1:7" s="1" customFormat="1" x14ac:dyDescent="0.2">
      <c r="A652" s="5"/>
      <c r="B652" s="5"/>
      <c r="C652" s="5"/>
      <c r="D652" s="5"/>
      <c r="E652" s="5"/>
      <c r="F652" s="5"/>
      <c r="G652" s="5"/>
    </row>
    <row r="653" spans="1:7" s="1" customFormat="1" x14ac:dyDescent="0.2">
      <c r="A653" s="5"/>
      <c r="B653" s="5"/>
      <c r="C653" s="5"/>
      <c r="D653" s="5"/>
      <c r="E653" s="5"/>
      <c r="F653" s="5"/>
      <c r="G653" s="5"/>
    </row>
    <row r="654" spans="1:7" s="1" customFormat="1" x14ac:dyDescent="0.2">
      <c r="A654" s="5"/>
      <c r="B654" s="5"/>
      <c r="C654" s="5"/>
      <c r="D654" s="5"/>
      <c r="E654" s="5"/>
      <c r="F654" s="5"/>
      <c r="G654" s="5"/>
    </row>
    <row r="655" spans="1:7" s="1" customFormat="1" x14ac:dyDescent="0.2">
      <c r="A655" s="5"/>
      <c r="B655" s="5"/>
      <c r="C655" s="5"/>
      <c r="D655" s="5"/>
      <c r="E655" s="5"/>
      <c r="F655" s="5"/>
      <c r="G655" s="5"/>
    </row>
    <row r="656" spans="1:7" s="1" customFormat="1" x14ac:dyDescent="0.2">
      <c r="A656" s="5"/>
      <c r="B656" s="5"/>
      <c r="C656" s="5"/>
      <c r="D656" s="5"/>
      <c r="E656" s="5"/>
      <c r="F656" s="5"/>
      <c r="G656" s="5"/>
    </row>
    <row r="657" spans="1:7" s="1" customFormat="1" x14ac:dyDescent="0.2">
      <c r="A657" s="5"/>
      <c r="B657" s="5"/>
      <c r="C657" s="5"/>
      <c r="D657" s="5"/>
      <c r="E657" s="5"/>
      <c r="F657" s="5"/>
      <c r="G657" s="5"/>
    </row>
    <row r="658" spans="1:7" s="1" customFormat="1" x14ac:dyDescent="0.2">
      <c r="A658" s="5"/>
      <c r="B658" s="5"/>
      <c r="C658" s="5"/>
      <c r="D658" s="5"/>
      <c r="E658" s="5"/>
      <c r="F658" s="5"/>
      <c r="G658" s="5"/>
    </row>
    <row r="659" spans="1:7" s="1" customFormat="1" x14ac:dyDescent="0.2">
      <c r="A659" s="5"/>
      <c r="B659" s="5"/>
      <c r="C659" s="5"/>
      <c r="D659" s="5"/>
      <c r="E659" s="5"/>
      <c r="F659" s="5"/>
      <c r="G659" s="5"/>
    </row>
    <row r="660" spans="1:7" s="1" customFormat="1" x14ac:dyDescent="0.2">
      <c r="A660" s="5"/>
      <c r="B660" s="5"/>
      <c r="C660" s="5"/>
      <c r="D660" s="5"/>
      <c r="E660" s="5"/>
      <c r="F660" s="5"/>
      <c r="G660" s="5"/>
    </row>
    <row r="661" spans="1:7" s="1" customFormat="1" x14ac:dyDescent="0.2">
      <c r="A661" s="5"/>
      <c r="B661" s="5"/>
      <c r="C661" s="5"/>
      <c r="D661" s="5"/>
      <c r="E661" s="5"/>
      <c r="F661" s="5"/>
      <c r="G661" s="5"/>
    </row>
    <row r="662" spans="1:7" s="1" customFormat="1" x14ac:dyDescent="0.2">
      <c r="A662" s="5"/>
      <c r="B662" s="5"/>
      <c r="C662" s="5"/>
      <c r="D662" s="5"/>
      <c r="E662" s="5"/>
      <c r="F662" s="5"/>
      <c r="G662" s="5"/>
    </row>
    <row r="663" spans="1:7" s="1" customFormat="1" x14ac:dyDescent="0.2">
      <c r="A663" s="5"/>
      <c r="B663" s="5"/>
      <c r="C663" s="5"/>
      <c r="D663" s="5"/>
      <c r="E663" s="5"/>
      <c r="F663" s="5"/>
      <c r="G663" s="5"/>
    </row>
    <row r="664" spans="1:7" s="1" customFormat="1" x14ac:dyDescent="0.2">
      <c r="A664" s="5"/>
      <c r="B664" s="5"/>
      <c r="C664" s="5"/>
      <c r="D664" s="5"/>
      <c r="E664" s="5"/>
      <c r="F664" s="5"/>
      <c r="G664" s="5"/>
    </row>
    <row r="665" spans="1:7" s="1" customFormat="1" x14ac:dyDescent="0.2">
      <c r="A665" s="5"/>
      <c r="B665" s="5"/>
      <c r="C665" s="5"/>
      <c r="D665" s="5"/>
      <c r="E665" s="5"/>
      <c r="F665" s="5"/>
      <c r="G665" s="5"/>
    </row>
    <row r="666" spans="1:7" s="1" customFormat="1" x14ac:dyDescent="0.2">
      <c r="A666" s="5"/>
      <c r="B666" s="5"/>
      <c r="C666" s="5"/>
      <c r="D666" s="5"/>
      <c r="E666" s="5"/>
      <c r="F666" s="5"/>
      <c r="G666" s="5"/>
    </row>
    <row r="667" spans="1:7" s="1" customFormat="1" x14ac:dyDescent="0.2">
      <c r="A667" s="5"/>
      <c r="B667" s="5"/>
      <c r="C667" s="5"/>
      <c r="D667" s="5"/>
      <c r="E667" s="5"/>
      <c r="F667" s="5"/>
      <c r="G667" s="5"/>
    </row>
    <row r="668" spans="1:7" s="1" customFormat="1" x14ac:dyDescent="0.2">
      <c r="A668" s="5"/>
      <c r="B668" s="5"/>
      <c r="C668" s="5"/>
      <c r="D668" s="5"/>
      <c r="E668" s="5"/>
      <c r="F668" s="5"/>
      <c r="G668" s="5"/>
    </row>
    <row r="669" spans="1:7" s="1" customFormat="1" x14ac:dyDescent="0.2">
      <c r="A669" s="5"/>
      <c r="B669" s="5"/>
      <c r="C669" s="5"/>
      <c r="D669" s="5"/>
      <c r="E669" s="5"/>
      <c r="F669" s="5"/>
      <c r="G669" s="5"/>
    </row>
    <row r="670" spans="1:7" s="1" customFormat="1" x14ac:dyDescent="0.2">
      <c r="A670" s="5"/>
      <c r="B670" s="5"/>
      <c r="C670" s="5"/>
      <c r="D670" s="5"/>
      <c r="E670" s="5"/>
      <c r="F670" s="5"/>
      <c r="G670" s="5"/>
    </row>
    <row r="671" spans="1:7" s="1" customFormat="1" x14ac:dyDescent="0.2">
      <c r="A671" s="5"/>
      <c r="B671" s="5"/>
      <c r="C671" s="5"/>
      <c r="D671" s="5"/>
      <c r="E671" s="5"/>
      <c r="F671" s="5"/>
      <c r="G671" s="5"/>
    </row>
    <row r="672" spans="1:7" s="1" customFormat="1" x14ac:dyDescent="0.2">
      <c r="A672" s="5"/>
      <c r="B672" s="5"/>
      <c r="C672" s="5"/>
      <c r="D672" s="5"/>
      <c r="E672" s="5"/>
      <c r="F672" s="5"/>
      <c r="G672" s="5"/>
    </row>
    <row r="673" spans="1:7" s="1" customFormat="1" x14ac:dyDescent="0.2">
      <c r="A673" s="5"/>
      <c r="B673" s="5"/>
      <c r="C673" s="5"/>
      <c r="D673" s="5"/>
      <c r="E673" s="5"/>
      <c r="F673" s="5"/>
      <c r="G673" s="5"/>
    </row>
    <row r="674" spans="1:7" s="1" customFormat="1" x14ac:dyDescent="0.2">
      <c r="A674" s="5"/>
      <c r="B674" s="5"/>
      <c r="C674" s="5"/>
      <c r="D674" s="5"/>
      <c r="E674" s="5"/>
      <c r="F674" s="5"/>
      <c r="G674" s="5"/>
    </row>
    <row r="675" spans="1:7" s="1" customFormat="1" x14ac:dyDescent="0.2">
      <c r="A675" s="5"/>
      <c r="B675" s="5"/>
      <c r="C675" s="5"/>
      <c r="D675" s="5"/>
      <c r="E675" s="5"/>
      <c r="F675" s="5"/>
      <c r="G675" s="5"/>
    </row>
    <row r="676" spans="1:7" s="1" customFormat="1" x14ac:dyDescent="0.2">
      <c r="A676" s="5"/>
      <c r="B676" s="5"/>
      <c r="C676" s="5"/>
      <c r="D676" s="5"/>
      <c r="E676" s="5"/>
      <c r="F676" s="5"/>
      <c r="G676" s="5"/>
    </row>
    <row r="677" spans="1:7" s="1" customFormat="1" x14ac:dyDescent="0.2">
      <c r="A677" s="5"/>
      <c r="B677" s="5"/>
      <c r="C677" s="5"/>
      <c r="D677" s="5"/>
      <c r="E677" s="5"/>
      <c r="F677" s="5"/>
      <c r="G677" s="5"/>
    </row>
    <row r="678" spans="1:7" s="1" customFormat="1" x14ac:dyDescent="0.2">
      <c r="A678" s="5"/>
      <c r="B678" s="5"/>
      <c r="C678" s="5"/>
      <c r="D678" s="5"/>
      <c r="E678" s="5"/>
      <c r="F678" s="5"/>
      <c r="G678" s="5"/>
    </row>
    <row r="679" spans="1:7" s="1" customFormat="1" x14ac:dyDescent="0.2">
      <c r="A679" s="5"/>
      <c r="B679" s="5"/>
      <c r="C679" s="5"/>
      <c r="D679" s="5"/>
      <c r="E679" s="5"/>
      <c r="F679" s="5"/>
      <c r="G679" s="5"/>
    </row>
    <row r="680" spans="1:7" s="1" customFormat="1" x14ac:dyDescent="0.2">
      <c r="A680" s="5"/>
      <c r="B680" s="5"/>
      <c r="C680" s="5"/>
      <c r="D680" s="5"/>
      <c r="E680" s="5"/>
      <c r="F680" s="5"/>
      <c r="G680" s="5"/>
    </row>
    <row r="681" spans="1:7" s="1" customFormat="1" x14ac:dyDescent="0.2">
      <c r="A681" s="5"/>
      <c r="B681" s="5"/>
      <c r="C681" s="5"/>
      <c r="D681" s="5"/>
      <c r="E681" s="5"/>
      <c r="F681" s="5"/>
      <c r="G681" s="5"/>
    </row>
    <row r="682" spans="1:7" s="1" customFormat="1" x14ac:dyDescent="0.2">
      <c r="A682" s="5"/>
      <c r="B682" s="5"/>
      <c r="C682" s="5"/>
      <c r="D682" s="5"/>
      <c r="E682" s="5"/>
      <c r="F682" s="5"/>
      <c r="G682" s="5"/>
    </row>
    <row r="683" spans="1:7" s="1" customFormat="1" x14ac:dyDescent="0.2">
      <c r="A683" s="5"/>
      <c r="B683" s="5"/>
      <c r="C683" s="5"/>
      <c r="D683" s="5"/>
      <c r="E683" s="5"/>
      <c r="F683" s="5"/>
      <c r="G683" s="5"/>
    </row>
    <row r="684" spans="1:7" s="1" customFormat="1" x14ac:dyDescent="0.2">
      <c r="A684" s="5"/>
      <c r="B684" s="5"/>
      <c r="C684" s="5"/>
      <c r="D684" s="5"/>
      <c r="E684" s="5"/>
      <c r="F684" s="5"/>
      <c r="G684" s="5"/>
    </row>
    <row r="685" spans="1:7" s="1" customFormat="1" x14ac:dyDescent="0.2">
      <c r="A685" s="5"/>
      <c r="B685" s="5"/>
      <c r="C685" s="5"/>
      <c r="D685" s="5"/>
      <c r="E685" s="5"/>
      <c r="F685" s="5"/>
      <c r="G685" s="5"/>
    </row>
    <row r="686" spans="1:7" s="1" customFormat="1" x14ac:dyDescent="0.2">
      <c r="A686" s="5"/>
      <c r="B686" s="5"/>
      <c r="C686" s="5"/>
      <c r="D686" s="5"/>
      <c r="E686" s="5"/>
      <c r="F686" s="5"/>
      <c r="G686" s="5"/>
    </row>
    <row r="687" spans="1:7" s="1" customFormat="1" x14ac:dyDescent="0.2">
      <c r="A687" s="5"/>
      <c r="B687" s="5"/>
      <c r="C687" s="5"/>
      <c r="D687" s="5"/>
      <c r="E687" s="5"/>
      <c r="F687" s="5"/>
      <c r="G687" s="5"/>
    </row>
    <row r="688" spans="1:7" s="1" customFormat="1" x14ac:dyDescent="0.2">
      <c r="A688" s="5"/>
      <c r="B688" s="5"/>
      <c r="C688" s="5"/>
      <c r="D688" s="5"/>
      <c r="E688" s="5"/>
      <c r="F688" s="5"/>
      <c r="G688" s="5"/>
    </row>
    <row r="689" spans="1:7" s="1" customFormat="1" x14ac:dyDescent="0.2">
      <c r="A689" s="5"/>
      <c r="B689" s="5"/>
      <c r="C689" s="5"/>
      <c r="D689" s="5"/>
      <c r="E689" s="5"/>
      <c r="F689" s="5"/>
      <c r="G689" s="5"/>
    </row>
    <row r="690" spans="1:7" s="1" customFormat="1" x14ac:dyDescent="0.2">
      <c r="A690" s="5"/>
      <c r="B690" s="5"/>
      <c r="C690" s="5"/>
      <c r="D690" s="5"/>
      <c r="E690" s="5"/>
      <c r="F690" s="5"/>
      <c r="G690" s="5"/>
    </row>
    <row r="691" spans="1:7" s="1" customFormat="1" x14ac:dyDescent="0.2">
      <c r="A691" s="5"/>
      <c r="B691" s="5"/>
      <c r="C691" s="5"/>
      <c r="D691" s="5"/>
      <c r="E691" s="5"/>
      <c r="F691" s="5"/>
      <c r="G691" s="5"/>
    </row>
    <row r="692" spans="1:7" s="1" customFormat="1" x14ac:dyDescent="0.2">
      <c r="A692" s="5"/>
      <c r="B692" s="5"/>
      <c r="C692" s="5"/>
      <c r="D692" s="5"/>
      <c r="E692" s="5"/>
      <c r="F692" s="5"/>
      <c r="G692" s="5"/>
    </row>
    <row r="693" spans="1:7" s="1" customFormat="1" x14ac:dyDescent="0.2">
      <c r="A693" s="5"/>
      <c r="B693" s="5"/>
      <c r="C693" s="5"/>
      <c r="D693" s="5"/>
      <c r="E693" s="5"/>
      <c r="F693" s="5"/>
      <c r="G693" s="5"/>
    </row>
    <row r="694" spans="1:7" s="1" customFormat="1" x14ac:dyDescent="0.2">
      <c r="A694" s="5"/>
      <c r="B694" s="5"/>
      <c r="C694" s="5"/>
      <c r="D694" s="5"/>
      <c r="E694" s="5"/>
      <c r="F694" s="5"/>
      <c r="G694" s="5"/>
    </row>
    <row r="695" spans="1:7" s="1" customFormat="1" x14ac:dyDescent="0.2">
      <c r="A695" s="5"/>
      <c r="B695" s="5"/>
      <c r="C695" s="5"/>
      <c r="D695" s="5"/>
      <c r="E695" s="5"/>
      <c r="F695" s="5"/>
      <c r="G695" s="5"/>
    </row>
    <row r="696" spans="1:7" s="1" customFormat="1" x14ac:dyDescent="0.2">
      <c r="A696" s="5"/>
      <c r="B696" s="5"/>
      <c r="C696" s="5"/>
      <c r="D696" s="5"/>
      <c r="E696" s="5"/>
      <c r="F696" s="5"/>
      <c r="G696" s="5"/>
    </row>
    <row r="697" spans="1:7" s="1" customFormat="1" x14ac:dyDescent="0.2">
      <c r="A697" s="5"/>
      <c r="B697" s="5"/>
      <c r="C697" s="5"/>
      <c r="D697" s="5"/>
      <c r="E697" s="5"/>
      <c r="F697" s="5"/>
      <c r="G697" s="5"/>
    </row>
    <row r="698" spans="1:7" s="1" customFormat="1" x14ac:dyDescent="0.2">
      <c r="A698" s="5"/>
      <c r="B698" s="5"/>
      <c r="C698" s="5"/>
      <c r="D698" s="5"/>
      <c r="E698" s="5"/>
      <c r="F698" s="5"/>
      <c r="G698" s="5"/>
    </row>
    <row r="699" spans="1:7" s="1" customFormat="1" x14ac:dyDescent="0.2">
      <c r="A699" s="5"/>
      <c r="B699" s="5"/>
      <c r="C699" s="5"/>
      <c r="D699" s="5"/>
      <c r="E699" s="5"/>
      <c r="F699" s="5"/>
      <c r="G699" s="5"/>
    </row>
    <row r="700" spans="1:7" s="1" customFormat="1" x14ac:dyDescent="0.2">
      <c r="A700" s="5"/>
      <c r="B700" s="5"/>
      <c r="C700" s="5"/>
      <c r="D700" s="5"/>
      <c r="E700" s="5"/>
      <c r="F700" s="5"/>
      <c r="G700" s="5"/>
    </row>
    <row r="701" spans="1:7" s="1" customFormat="1" x14ac:dyDescent="0.2">
      <c r="A701" s="5"/>
      <c r="B701" s="5"/>
      <c r="C701" s="5"/>
      <c r="D701" s="5"/>
      <c r="E701" s="5"/>
      <c r="F701" s="5"/>
      <c r="G701" s="5"/>
    </row>
    <row r="702" spans="1:7" s="1" customFormat="1" x14ac:dyDescent="0.2">
      <c r="A702" s="5"/>
      <c r="B702" s="5"/>
      <c r="C702" s="5"/>
      <c r="D702" s="5"/>
      <c r="E702" s="5"/>
      <c r="F702" s="5"/>
      <c r="G702" s="5"/>
    </row>
    <row r="703" spans="1:7" s="1" customFormat="1" x14ac:dyDescent="0.2">
      <c r="A703" s="5"/>
      <c r="B703" s="5"/>
      <c r="C703" s="5"/>
      <c r="D703" s="5"/>
      <c r="E703" s="5"/>
      <c r="F703" s="5"/>
      <c r="G703" s="5"/>
    </row>
    <row r="704" spans="1:7" s="1" customFormat="1" x14ac:dyDescent="0.2">
      <c r="A704" s="5"/>
      <c r="B704" s="5"/>
      <c r="C704" s="5"/>
      <c r="D704" s="5"/>
      <c r="E704" s="5"/>
      <c r="F704" s="5"/>
      <c r="G704" s="5"/>
    </row>
    <row r="705" spans="1:7" s="1" customFormat="1" x14ac:dyDescent="0.2">
      <c r="A705" s="5"/>
      <c r="B705" s="5"/>
      <c r="C705" s="5"/>
      <c r="D705" s="5"/>
      <c r="E705" s="5"/>
      <c r="F705" s="5"/>
      <c r="G705" s="5"/>
    </row>
    <row r="706" spans="1:7" s="1" customFormat="1" x14ac:dyDescent="0.2">
      <c r="A706" s="5"/>
      <c r="B706" s="5"/>
      <c r="C706" s="5"/>
      <c r="D706" s="5"/>
      <c r="E706" s="5"/>
      <c r="F706" s="5"/>
      <c r="G706" s="5"/>
    </row>
    <row r="707" spans="1:7" s="1" customFormat="1" x14ac:dyDescent="0.2">
      <c r="A707" s="5"/>
      <c r="B707" s="5"/>
      <c r="C707" s="5"/>
      <c r="D707" s="5"/>
      <c r="E707" s="5"/>
      <c r="F707" s="5"/>
      <c r="G707" s="5"/>
    </row>
    <row r="708" spans="1:7" s="1" customFormat="1" x14ac:dyDescent="0.2">
      <c r="A708" s="5"/>
      <c r="B708" s="5"/>
      <c r="C708" s="5"/>
      <c r="D708" s="5"/>
      <c r="E708" s="5"/>
      <c r="F708" s="5"/>
      <c r="G708" s="5"/>
    </row>
    <row r="709" spans="1:7" s="1" customFormat="1" x14ac:dyDescent="0.2">
      <c r="A709" s="5"/>
      <c r="B709" s="5"/>
      <c r="C709" s="5"/>
      <c r="D709" s="5"/>
      <c r="E709" s="5"/>
      <c r="F709" s="5"/>
      <c r="G709" s="5"/>
    </row>
    <row r="710" spans="1:7" s="1" customFormat="1" x14ac:dyDescent="0.2">
      <c r="A710" s="5"/>
      <c r="B710" s="5"/>
      <c r="C710" s="5"/>
      <c r="D710" s="5"/>
      <c r="E710" s="5"/>
      <c r="F710" s="5"/>
      <c r="G710" s="5"/>
    </row>
    <row r="711" spans="1:7" s="1" customFormat="1" x14ac:dyDescent="0.2">
      <c r="A711" s="5"/>
      <c r="B711" s="5"/>
      <c r="C711" s="5"/>
      <c r="D711" s="5"/>
      <c r="E711" s="5"/>
      <c r="F711" s="5"/>
      <c r="G711" s="5"/>
    </row>
    <row r="712" spans="1:7" s="1" customFormat="1" x14ac:dyDescent="0.2">
      <c r="A712" s="5"/>
      <c r="B712" s="5"/>
      <c r="C712" s="5"/>
      <c r="D712" s="5"/>
      <c r="E712" s="5"/>
      <c r="F712" s="5"/>
      <c r="G712" s="5"/>
    </row>
    <row r="713" spans="1:7" s="1" customFormat="1" x14ac:dyDescent="0.2">
      <c r="A713" s="5"/>
      <c r="B713" s="5"/>
      <c r="C713" s="5"/>
      <c r="D713" s="5"/>
      <c r="E713" s="5"/>
      <c r="F713" s="5"/>
      <c r="G713" s="5"/>
    </row>
    <row r="714" spans="1:7" s="1" customFormat="1" x14ac:dyDescent="0.2">
      <c r="A714" s="5"/>
      <c r="B714" s="5"/>
      <c r="C714" s="5"/>
      <c r="D714" s="5"/>
      <c r="E714" s="5"/>
      <c r="F714" s="5"/>
      <c r="G714" s="5"/>
    </row>
    <row r="715" spans="1:7" s="1" customFormat="1" x14ac:dyDescent="0.2">
      <c r="A715" s="5"/>
      <c r="B715" s="5"/>
      <c r="C715" s="5"/>
      <c r="D715" s="5"/>
      <c r="E715" s="5"/>
      <c r="F715" s="5"/>
      <c r="G715" s="5"/>
    </row>
    <row r="716" spans="1:7" s="1" customFormat="1" x14ac:dyDescent="0.2">
      <c r="A716" s="5"/>
      <c r="B716" s="5"/>
      <c r="C716" s="5"/>
      <c r="D716" s="5"/>
      <c r="E716" s="5"/>
      <c r="F716" s="5"/>
      <c r="G716" s="5"/>
    </row>
    <row r="717" spans="1:7" s="1" customFormat="1" x14ac:dyDescent="0.2">
      <c r="A717" s="5"/>
      <c r="B717" s="5"/>
      <c r="C717" s="5"/>
      <c r="D717" s="5"/>
      <c r="E717" s="5"/>
      <c r="F717" s="5"/>
      <c r="G717" s="5"/>
    </row>
    <row r="718" spans="1:7" s="1" customFormat="1" x14ac:dyDescent="0.2">
      <c r="A718" s="5"/>
      <c r="B718" s="5"/>
      <c r="C718" s="5"/>
      <c r="D718" s="5"/>
      <c r="E718" s="5"/>
      <c r="F718" s="5"/>
      <c r="G718" s="5"/>
    </row>
    <row r="719" spans="1:7" s="1" customFormat="1" x14ac:dyDescent="0.2">
      <c r="A719" s="5"/>
      <c r="B719" s="5"/>
      <c r="C719" s="5"/>
      <c r="D719" s="5"/>
      <c r="E719" s="5"/>
      <c r="F719" s="5"/>
      <c r="G719" s="5"/>
    </row>
    <row r="720" spans="1:7" s="1" customFormat="1" x14ac:dyDescent="0.2">
      <c r="A720" s="5"/>
      <c r="B720" s="5"/>
      <c r="C720" s="5"/>
      <c r="D720" s="5"/>
      <c r="E720" s="5"/>
      <c r="F720" s="5"/>
      <c r="G720" s="5"/>
    </row>
    <row r="721" spans="1:7" s="1" customFormat="1" x14ac:dyDescent="0.2">
      <c r="A721" s="5"/>
      <c r="B721" s="5"/>
      <c r="C721" s="5"/>
      <c r="D721" s="5"/>
      <c r="E721" s="5"/>
      <c r="F721" s="5"/>
      <c r="G721" s="5"/>
    </row>
    <row r="722" spans="1:7" s="1" customFormat="1" x14ac:dyDescent="0.2">
      <c r="A722" s="5"/>
      <c r="B722" s="5"/>
      <c r="C722" s="5"/>
      <c r="D722" s="5"/>
      <c r="E722" s="5"/>
      <c r="F722" s="5"/>
      <c r="G722" s="5"/>
    </row>
    <row r="723" spans="1:7" s="1" customFormat="1" x14ac:dyDescent="0.2">
      <c r="A723" s="5"/>
      <c r="B723" s="5"/>
      <c r="C723" s="5"/>
      <c r="D723" s="5"/>
      <c r="E723" s="5"/>
      <c r="F723" s="5"/>
      <c r="G723" s="5"/>
    </row>
    <row r="724" spans="1:7" s="1" customFormat="1" x14ac:dyDescent="0.2">
      <c r="A724" s="5"/>
      <c r="B724" s="5"/>
      <c r="C724" s="5"/>
      <c r="D724" s="5"/>
      <c r="E724" s="5"/>
      <c r="F724" s="5"/>
      <c r="G724" s="5"/>
    </row>
    <row r="725" spans="1:7" s="1" customFormat="1" x14ac:dyDescent="0.2">
      <c r="A725" s="5"/>
      <c r="B725" s="5"/>
      <c r="C725" s="5"/>
      <c r="D725" s="5"/>
      <c r="E725" s="5"/>
      <c r="F725" s="5"/>
      <c r="G725" s="5"/>
    </row>
    <row r="726" spans="1:7" s="1" customFormat="1" x14ac:dyDescent="0.2">
      <c r="A726" s="5"/>
      <c r="B726" s="5"/>
      <c r="C726" s="5"/>
      <c r="D726" s="5"/>
      <c r="E726" s="5"/>
      <c r="F726" s="5"/>
      <c r="G726" s="5"/>
    </row>
    <row r="727" spans="1:7" s="1" customFormat="1" x14ac:dyDescent="0.2">
      <c r="A727" s="5"/>
      <c r="B727" s="5"/>
      <c r="C727" s="5"/>
      <c r="D727" s="5"/>
      <c r="E727" s="5"/>
      <c r="F727" s="5"/>
      <c r="G727" s="5"/>
    </row>
    <row r="728" spans="1:7" s="1" customFormat="1" x14ac:dyDescent="0.2">
      <c r="A728" s="5"/>
      <c r="B728" s="5"/>
      <c r="C728" s="5"/>
      <c r="D728" s="5"/>
      <c r="E728" s="5"/>
      <c r="F728" s="5"/>
      <c r="G728" s="5"/>
    </row>
    <row r="729" spans="1:7" s="1" customFormat="1" x14ac:dyDescent="0.2">
      <c r="A729" s="5"/>
      <c r="B729" s="5"/>
      <c r="C729" s="5"/>
      <c r="D729" s="5"/>
      <c r="E729" s="5"/>
      <c r="F729" s="5"/>
      <c r="G729" s="5"/>
    </row>
    <row r="730" spans="1:7" s="1" customFormat="1" x14ac:dyDescent="0.2">
      <c r="A730" s="5"/>
      <c r="B730" s="5"/>
      <c r="C730" s="5"/>
      <c r="D730" s="5"/>
      <c r="E730" s="5"/>
      <c r="F730" s="5"/>
      <c r="G730" s="5"/>
    </row>
    <row r="731" spans="1:7" s="1" customFormat="1" x14ac:dyDescent="0.2">
      <c r="A731" s="5"/>
      <c r="B731" s="5"/>
      <c r="C731" s="5"/>
      <c r="D731" s="5"/>
      <c r="E731" s="5"/>
      <c r="F731" s="5"/>
      <c r="G731" s="5"/>
    </row>
    <row r="732" spans="1:7" s="1" customFormat="1" x14ac:dyDescent="0.2">
      <c r="A732" s="5"/>
      <c r="B732" s="5"/>
      <c r="C732" s="5"/>
      <c r="D732" s="5"/>
      <c r="E732" s="5"/>
      <c r="F732" s="5"/>
      <c r="G732" s="5"/>
    </row>
    <row r="733" spans="1:7" s="1" customFormat="1" x14ac:dyDescent="0.2">
      <c r="A733" s="5"/>
      <c r="B733" s="5"/>
      <c r="C733" s="5"/>
      <c r="D733" s="5"/>
      <c r="E733" s="5"/>
      <c r="F733" s="5"/>
      <c r="G733" s="5"/>
    </row>
    <row r="734" spans="1:7" s="1" customFormat="1" x14ac:dyDescent="0.2">
      <c r="A734" s="5"/>
      <c r="B734" s="5"/>
      <c r="C734" s="5"/>
      <c r="D734" s="5"/>
      <c r="E734" s="5"/>
      <c r="F734" s="5"/>
      <c r="G734" s="5"/>
    </row>
    <row r="735" spans="1:7" s="1" customFormat="1" x14ac:dyDescent="0.2">
      <c r="A735" s="5"/>
      <c r="B735" s="5"/>
      <c r="C735" s="5"/>
      <c r="D735" s="5"/>
      <c r="E735" s="5"/>
      <c r="F735" s="5"/>
      <c r="G735" s="5"/>
    </row>
    <row r="736" spans="1:7" s="1" customFormat="1" x14ac:dyDescent="0.2">
      <c r="A736" s="5"/>
      <c r="B736" s="5"/>
      <c r="C736" s="5"/>
      <c r="D736" s="5"/>
      <c r="E736" s="5"/>
      <c r="F736" s="5"/>
      <c r="G736" s="5"/>
    </row>
    <row r="737" spans="1:7" s="1" customFormat="1" x14ac:dyDescent="0.2">
      <c r="A737" s="5"/>
      <c r="B737" s="5"/>
      <c r="C737" s="5"/>
      <c r="D737" s="5"/>
      <c r="E737" s="5"/>
      <c r="F737" s="5"/>
      <c r="G737" s="5"/>
    </row>
    <row r="738" spans="1:7" s="1" customFormat="1" x14ac:dyDescent="0.2">
      <c r="A738" s="5"/>
      <c r="B738" s="5"/>
      <c r="C738" s="5"/>
      <c r="D738" s="5"/>
      <c r="E738" s="5"/>
      <c r="F738" s="5"/>
      <c r="G738" s="5"/>
    </row>
    <row r="739" spans="1:7" s="1" customFormat="1" x14ac:dyDescent="0.2">
      <c r="A739" s="5"/>
      <c r="B739" s="5"/>
      <c r="C739" s="5"/>
      <c r="D739" s="5"/>
      <c r="E739" s="5"/>
      <c r="F739" s="5"/>
      <c r="G739" s="5"/>
    </row>
    <row r="740" spans="1:7" s="1" customFormat="1" x14ac:dyDescent="0.2">
      <c r="A740" s="5"/>
      <c r="B740" s="5"/>
      <c r="C740" s="5"/>
      <c r="D740" s="5"/>
      <c r="E740" s="5"/>
      <c r="F740" s="5"/>
      <c r="G740" s="5"/>
    </row>
    <row r="741" spans="1:7" s="1" customFormat="1" x14ac:dyDescent="0.2">
      <c r="A741" s="5"/>
      <c r="B741" s="5"/>
      <c r="C741" s="5"/>
      <c r="D741" s="5"/>
      <c r="E741" s="5"/>
      <c r="F741" s="5"/>
      <c r="G741" s="5"/>
    </row>
    <row r="742" spans="1:7" s="1" customFormat="1" x14ac:dyDescent="0.2">
      <c r="A742" s="5"/>
      <c r="B742" s="5"/>
      <c r="C742" s="5"/>
      <c r="D742" s="5"/>
      <c r="E742" s="5"/>
      <c r="F742" s="5"/>
      <c r="G742" s="5"/>
    </row>
    <row r="743" spans="1:7" s="1" customFormat="1" x14ac:dyDescent="0.2">
      <c r="A743" s="5"/>
      <c r="B743" s="5"/>
      <c r="C743" s="5"/>
      <c r="D743" s="5"/>
      <c r="E743" s="5"/>
      <c r="F743" s="5"/>
      <c r="G743" s="5"/>
    </row>
    <row r="744" spans="1:7" s="1" customFormat="1" x14ac:dyDescent="0.2">
      <c r="A744" s="5"/>
      <c r="B744" s="5"/>
      <c r="C744" s="5"/>
      <c r="D744" s="5"/>
      <c r="E744" s="5"/>
      <c r="F744" s="5"/>
      <c r="G744" s="5"/>
    </row>
    <row r="745" spans="1:7" s="1" customFormat="1" x14ac:dyDescent="0.2">
      <c r="A745" s="5"/>
      <c r="B745" s="5"/>
      <c r="C745" s="5"/>
      <c r="D745" s="5"/>
      <c r="E745" s="5"/>
      <c r="F745" s="5"/>
      <c r="G745" s="5"/>
    </row>
    <row r="746" spans="1:7" s="1" customFormat="1" x14ac:dyDescent="0.2">
      <c r="A746" s="5"/>
      <c r="B746" s="5"/>
      <c r="C746" s="5"/>
      <c r="D746" s="5"/>
      <c r="E746" s="5"/>
      <c r="F746" s="5"/>
      <c r="G746" s="5"/>
    </row>
    <row r="747" spans="1:7" s="1" customFormat="1" x14ac:dyDescent="0.2">
      <c r="A747" s="5"/>
      <c r="B747" s="5"/>
      <c r="C747" s="5"/>
      <c r="D747" s="5"/>
      <c r="E747" s="5"/>
      <c r="F747" s="5"/>
      <c r="G747" s="5"/>
    </row>
    <row r="748" spans="1:7" s="1" customFormat="1" x14ac:dyDescent="0.2">
      <c r="A748" s="5"/>
      <c r="B748" s="5"/>
      <c r="C748" s="5"/>
      <c r="D748" s="5"/>
      <c r="E748" s="5"/>
      <c r="F748" s="5"/>
      <c r="G748" s="5"/>
    </row>
    <row r="749" spans="1:7" s="1" customFormat="1" x14ac:dyDescent="0.2">
      <c r="A749" s="5"/>
      <c r="B749" s="5"/>
      <c r="C749" s="5"/>
      <c r="D749" s="5"/>
      <c r="E749" s="5"/>
      <c r="F749" s="5"/>
      <c r="G749" s="5"/>
    </row>
    <row r="750" spans="1:7" s="1" customFormat="1" x14ac:dyDescent="0.2">
      <c r="A750" s="5"/>
      <c r="B750" s="5"/>
      <c r="C750" s="5"/>
      <c r="D750" s="5"/>
      <c r="E750" s="5"/>
      <c r="F750" s="5"/>
      <c r="G750" s="5"/>
    </row>
    <row r="751" spans="1:7" s="1" customFormat="1" x14ac:dyDescent="0.2">
      <c r="A751" s="5"/>
      <c r="B751" s="5"/>
      <c r="C751" s="5"/>
      <c r="D751" s="5"/>
      <c r="E751" s="5"/>
      <c r="F751" s="5"/>
      <c r="G751" s="5"/>
    </row>
    <row r="752" spans="1:7" s="1" customFormat="1" x14ac:dyDescent="0.2">
      <c r="A752" s="5"/>
      <c r="B752" s="5"/>
      <c r="C752" s="5"/>
      <c r="D752" s="5"/>
      <c r="E752" s="5"/>
      <c r="F752" s="5"/>
      <c r="G752" s="5"/>
    </row>
    <row r="753" spans="1:7" s="1" customFormat="1" x14ac:dyDescent="0.2">
      <c r="A753" s="5"/>
      <c r="B753" s="5"/>
      <c r="C753" s="5"/>
      <c r="D753" s="5"/>
      <c r="E753" s="5"/>
      <c r="F753" s="5"/>
      <c r="G753" s="5"/>
    </row>
    <row r="754" spans="1:7" s="1" customFormat="1" x14ac:dyDescent="0.2">
      <c r="A754" s="5"/>
      <c r="B754" s="5"/>
      <c r="C754" s="5"/>
      <c r="D754" s="5"/>
      <c r="E754" s="5"/>
      <c r="F754" s="5"/>
      <c r="G754" s="5"/>
    </row>
    <row r="755" spans="1:7" s="1" customFormat="1" x14ac:dyDescent="0.2">
      <c r="A755" s="5"/>
      <c r="B755" s="5"/>
      <c r="C755" s="5"/>
      <c r="D755" s="5"/>
      <c r="E755" s="5"/>
      <c r="F755" s="5"/>
      <c r="G755" s="5"/>
    </row>
    <row r="756" spans="1:7" s="1" customFormat="1" x14ac:dyDescent="0.2">
      <c r="A756" s="5"/>
      <c r="B756" s="5"/>
      <c r="C756" s="5"/>
      <c r="D756" s="5"/>
      <c r="E756" s="5"/>
      <c r="F756" s="5"/>
      <c r="G756" s="5"/>
    </row>
    <row r="757" spans="1:7" s="1" customFormat="1" x14ac:dyDescent="0.2">
      <c r="A757" s="5"/>
      <c r="B757" s="5"/>
      <c r="C757" s="5"/>
      <c r="D757" s="5"/>
      <c r="E757" s="5"/>
      <c r="F757" s="5"/>
      <c r="G757" s="5"/>
    </row>
    <row r="758" spans="1:7" s="1" customFormat="1" x14ac:dyDescent="0.2">
      <c r="A758" s="5"/>
      <c r="B758" s="5"/>
      <c r="C758" s="5"/>
      <c r="D758" s="5"/>
      <c r="E758" s="5"/>
      <c r="F758" s="5"/>
      <c r="G758" s="5"/>
    </row>
    <row r="759" spans="1:7" s="1" customFormat="1" x14ac:dyDescent="0.2">
      <c r="A759" s="5"/>
      <c r="B759" s="5"/>
      <c r="C759" s="5"/>
      <c r="D759" s="5"/>
      <c r="E759" s="5"/>
      <c r="F759" s="5"/>
      <c r="G759" s="5"/>
    </row>
    <row r="760" spans="1:7" s="1" customFormat="1" x14ac:dyDescent="0.2">
      <c r="A760" s="5"/>
      <c r="B760" s="5"/>
      <c r="C760" s="5"/>
      <c r="D760" s="5"/>
      <c r="E760" s="5"/>
      <c r="F760" s="5"/>
      <c r="G760" s="5"/>
    </row>
    <row r="761" spans="1:7" s="1" customFormat="1" x14ac:dyDescent="0.2">
      <c r="A761" s="5"/>
      <c r="B761" s="5"/>
      <c r="C761" s="5"/>
      <c r="D761" s="5"/>
      <c r="E761" s="5"/>
      <c r="F761" s="5"/>
      <c r="G761" s="5"/>
    </row>
    <row r="762" spans="1:7" s="1" customFormat="1" x14ac:dyDescent="0.2">
      <c r="A762" s="5"/>
      <c r="B762" s="5"/>
      <c r="C762" s="5"/>
      <c r="D762" s="5"/>
      <c r="E762" s="5"/>
      <c r="F762" s="5"/>
      <c r="G762" s="5"/>
    </row>
    <row r="763" spans="1:7" s="1" customFormat="1" x14ac:dyDescent="0.2">
      <c r="A763" s="5"/>
      <c r="B763" s="5"/>
      <c r="C763" s="5"/>
      <c r="D763" s="5"/>
      <c r="E763" s="5"/>
      <c r="F763" s="5"/>
      <c r="G763" s="5"/>
    </row>
    <row r="764" spans="1:7" s="1" customFormat="1" x14ac:dyDescent="0.2">
      <c r="A764" s="5"/>
      <c r="B764" s="5"/>
      <c r="C764" s="5"/>
      <c r="D764" s="5"/>
      <c r="E764" s="5"/>
      <c r="F764" s="5"/>
      <c r="G764" s="5"/>
    </row>
    <row r="765" spans="1:7" s="1" customFormat="1" x14ac:dyDescent="0.2">
      <c r="A765" s="5"/>
      <c r="B765" s="5"/>
      <c r="C765" s="5"/>
      <c r="D765" s="5"/>
      <c r="E765" s="5"/>
      <c r="F765" s="5"/>
      <c r="G765" s="5"/>
    </row>
    <row r="766" spans="1:7" s="1" customFormat="1" x14ac:dyDescent="0.2">
      <c r="A766" s="5"/>
      <c r="B766" s="5"/>
      <c r="C766" s="5"/>
      <c r="D766" s="5"/>
      <c r="E766" s="5"/>
      <c r="F766" s="5"/>
      <c r="G766" s="5"/>
    </row>
    <row r="767" spans="1:7" s="1" customFormat="1" x14ac:dyDescent="0.2">
      <c r="A767" s="5"/>
      <c r="B767" s="5"/>
      <c r="C767" s="5"/>
      <c r="D767" s="5"/>
      <c r="E767" s="5"/>
      <c r="F767" s="5"/>
      <c r="G767" s="5"/>
    </row>
    <row r="768" spans="1:7" s="1" customFormat="1" x14ac:dyDescent="0.2">
      <c r="A768" s="5"/>
      <c r="B768" s="5"/>
      <c r="C768" s="5"/>
      <c r="D768" s="5"/>
      <c r="E768" s="5"/>
      <c r="F768" s="5"/>
      <c r="G768" s="5"/>
    </row>
    <row r="769" spans="1:7" s="1" customFormat="1" x14ac:dyDescent="0.2">
      <c r="A769" s="5"/>
      <c r="B769" s="5"/>
      <c r="C769" s="5"/>
      <c r="D769" s="5"/>
      <c r="E769" s="5"/>
      <c r="F769" s="5"/>
      <c r="G769" s="5"/>
    </row>
    <row r="770" spans="1:7" s="1" customFormat="1" x14ac:dyDescent="0.2">
      <c r="A770" s="5"/>
      <c r="B770" s="5"/>
      <c r="C770" s="5"/>
      <c r="D770" s="5"/>
      <c r="E770" s="5"/>
      <c r="F770" s="5"/>
      <c r="G770" s="5"/>
    </row>
    <row r="771" spans="1:7" s="1" customFormat="1" x14ac:dyDescent="0.2">
      <c r="A771" s="5"/>
      <c r="B771" s="5"/>
      <c r="C771" s="5"/>
      <c r="D771" s="5"/>
      <c r="E771" s="5"/>
      <c r="F771" s="5"/>
      <c r="G771" s="5"/>
    </row>
    <row r="772" spans="1:7" s="1" customFormat="1" x14ac:dyDescent="0.2">
      <c r="A772" s="5"/>
      <c r="B772" s="5"/>
      <c r="C772" s="5"/>
      <c r="D772" s="5"/>
      <c r="E772" s="5"/>
      <c r="F772" s="5"/>
      <c r="G772" s="5"/>
    </row>
    <row r="773" spans="1:7" s="1" customFormat="1" x14ac:dyDescent="0.2">
      <c r="A773" s="5"/>
      <c r="B773" s="5"/>
      <c r="C773" s="5"/>
      <c r="D773" s="5"/>
      <c r="E773" s="5"/>
      <c r="F773" s="5"/>
      <c r="G773" s="5"/>
    </row>
    <row r="774" spans="1:7" s="1" customFormat="1" x14ac:dyDescent="0.2">
      <c r="A774" s="5"/>
      <c r="B774" s="5"/>
      <c r="C774" s="5"/>
      <c r="D774" s="5"/>
      <c r="E774" s="5"/>
      <c r="F774" s="5"/>
      <c r="G774" s="5"/>
    </row>
    <row r="775" spans="1:7" s="1" customFormat="1" x14ac:dyDescent="0.2">
      <c r="A775" s="5"/>
      <c r="B775" s="5"/>
      <c r="C775" s="5"/>
      <c r="D775" s="5"/>
      <c r="E775" s="5"/>
      <c r="F775" s="5"/>
      <c r="G775" s="5"/>
    </row>
    <row r="776" spans="1:7" s="1" customFormat="1" x14ac:dyDescent="0.2">
      <c r="A776" s="5"/>
      <c r="B776" s="5"/>
      <c r="C776" s="5"/>
      <c r="D776" s="5"/>
      <c r="E776" s="5"/>
      <c r="F776" s="5"/>
      <c r="G776" s="5"/>
    </row>
    <row r="777" spans="1:7" s="1" customFormat="1" x14ac:dyDescent="0.2">
      <c r="A777" s="5"/>
      <c r="B777" s="5"/>
      <c r="C777" s="5"/>
      <c r="D777" s="5"/>
      <c r="E777" s="5"/>
      <c r="F777" s="5"/>
      <c r="G777" s="5"/>
    </row>
    <row r="778" spans="1:7" s="1" customFormat="1" x14ac:dyDescent="0.2">
      <c r="A778" s="5"/>
      <c r="B778" s="5"/>
      <c r="C778" s="5"/>
      <c r="D778" s="5"/>
      <c r="E778" s="5"/>
      <c r="F778" s="5"/>
      <c r="G778" s="5"/>
    </row>
    <row r="779" spans="1:7" s="1" customFormat="1" x14ac:dyDescent="0.2">
      <c r="A779" s="5"/>
      <c r="B779" s="5"/>
      <c r="C779" s="5"/>
      <c r="D779" s="5"/>
      <c r="E779" s="5"/>
      <c r="F779" s="5"/>
      <c r="G779" s="5"/>
    </row>
    <row r="780" spans="1:7" s="1" customFormat="1" x14ac:dyDescent="0.2">
      <c r="A780" s="5"/>
      <c r="B780" s="5"/>
      <c r="C780" s="5"/>
      <c r="D780" s="5"/>
      <c r="E780" s="5"/>
      <c r="F780" s="5"/>
      <c r="G780" s="5"/>
    </row>
    <row r="781" spans="1:7" s="1" customFormat="1" x14ac:dyDescent="0.2">
      <c r="A781" s="5"/>
      <c r="B781" s="5"/>
      <c r="C781" s="5"/>
      <c r="D781" s="5"/>
      <c r="E781" s="5"/>
      <c r="F781" s="5"/>
      <c r="G781" s="5"/>
    </row>
    <row r="782" spans="1:7" s="1" customFormat="1" x14ac:dyDescent="0.2">
      <c r="A782" s="5"/>
      <c r="B782" s="5"/>
      <c r="C782" s="5"/>
      <c r="D782" s="5"/>
      <c r="E782" s="5"/>
      <c r="F782" s="5"/>
      <c r="G782" s="5"/>
    </row>
    <row r="783" spans="1:7" s="1" customFormat="1" x14ac:dyDescent="0.2">
      <c r="A783" s="5"/>
      <c r="B783" s="5"/>
      <c r="C783" s="5"/>
      <c r="D783" s="5"/>
      <c r="E783" s="5"/>
      <c r="F783" s="5"/>
      <c r="G783" s="5"/>
    </row>
    <row r="784" spans="1:7" s="1" customFormat="1" x14ac:dyDescent="0.2">
      <c r="A784" s="5"/>
      <c r="B784" s="5"/>
      <c r="C784" s="5"/>
      <c r="D784" s="5"/>
      <c r="E784" s="5"/>
      <c r="F784" s="5"/>
      <c r="G784" s="5"/>
    </row>
    <row r="785" spans="1:7" s="1" customFormat="1" x14ac:dyDescent="0.2">
      <c r="A785" s="5"/>
      <c r="B785" s="5"/>
      <c r="C785" s="5"/>
      <c r="D785" s="5"/>
      <c r="E785" s="5"/>
      <c r="F785" s="5"/>
      <c r="G785" s="5"/>
    </row>
    <row r="786" spans="1:7" s="1" customFormat="1" x14ac:dyDescent="0.2">
      <c r="A786" s="5"/>
      <c r="B786" s="5"/>
      <c r="C786" s="5"/>
      <c r="D786" s="5"/>
      <c r="E786" s="5"/>
      <c r="F786" s="5"/>
      <c r="G786" s="5"/>
    </row>
    <row r="787" spans="1:7" s="1" customFormat="1" x14ac:dyDescent="0.2">
      <c r="A787" s="5"/>
      <c r="B787" s="5"/>
      <c r="C787" s="5"/>
      <c r="D787" s="5"/>
      <c r="E787" s="5"/>
      <c r="F787" s="5"/>
      <c r="G787" s="5"/>
    </row>
    <row r="788" spans="1:7" s="1" customFormat="1" x14ac:dyDescent="0.2">
      <c r="A788" s="5"/>
      <c r="B788" s="5"/>
      <c r="C788" s="5"/>
      <c r="D788" s="5"/>
      <c r="E788" s="5"/>
      <c r="F788" s="5"/>
      <c r="G788" s="5"/>
    </row>
    <row r="789" spans="1:7" s="1" customFormat="1" x14ac:dyDescent="0.2">
      <c r="A789" s="5"/>
      <c r="B789" s="5"/>
      <c r="C789" s="5"/>
      <c r="D789" s="5"/>
      <c r="E789" s="5"/>
      <c r="F789" s="5"/>
      <c r="G789" s="5"/>
    </row>
    <row r="790" spans="1:7" s="1" customFormat="1" x14ac:dyDescent="0.2">
      <c r="A790" s="5"/>
      <c r="B790" s="5"/>
      <c r="C790" s="5"/>
      <c r="D790" s="5"/>
      <c r="E790" s="5"/>
      <c r="F790" s="5"/>
      <c r="G790" s="5"/>
    </row>
    <row r="791" spans="1:7" s="1" customFormat="1" x14ac:dyDescent="0.2">
      <c r="A791" s="5"/>
      <c r="B791" s="5"/>
      <c r="C791" s="5"/>
      <c r="D791" s="5"/>
      <c r="E791" s="5"/>
      <c r="F791" s="5"/>
      <c r="G791" s="5"/>
    </row>
    <row r="792" spans="1:7" s="1" customFormat="1" x14ac:dyDescent="0.2">
      <c r="A792" s="5"/>
      <c r="B792" s="5"/>
      <c r="C792" s="5"/>
      <c r="D792" s="5"/>
      <c r="E792" s="5"/>
      <c r="F792" s="5"/>
      <c r="G792" s="5"/>
    </row>
    <row r="793" spans="1:7" s="1" customFormat="1" x14ac:dyDescent="0.2">
      <c r="A793" s="5"/>
      <c r="B793" s="5"/>
      <c r="C793" s="5"/>
      <c r="D793" s="5"/>
      <c r="E793" s="5"/>
      <c r="F793" s="5"/>
      <c r="G793" s="5"/>
    </row>
    <row r="794" spans="1:7" s="1" customFormat="1" x14ac:dyDescent="0.2">
      <c r="A794" s="5"/>
      <c r="B794" s="5"/>
      <c r="C794" s="5"/>
      <c r="D794" s="5"/>
      <c r="E794" s="5"/>
      <c r="F794" s="5"/>
      <c r="G794" s="5"/>
    </row>
    <row r="795" spans="1:7" s="1" customFormat="1" x14ac:dyDescent="0.2">
      <c r="A795" s="5"/>
      <c r="B795" s="5"/>
      <c r="C795" s="5"/>
      <c r="D795" s="5"/>
      <c r="E795" s="5"/>
      <c r="F795" s="5"/>
      <c r="G795" s="5"/>
    </row>
    <row r="796" spans="1:7" s="1" customFormat="1" x14ac:dyDescent="0.2">
      <c r="A796" s="5"/>
      <c r="B796" s="5"/>
      <c r="C796" s="5"/>
      <c r="D796" s="5"/>
      <c r="E796" s="5"/>
      <c r="F796" s="5"/>
      <c r="G796" s="5"/>
    </row>
    <row r="797" spans="1:7" s="1" customFormat="1" x14ac:dyDescent="0.2">
      <c r="A797" s="5"/>
      <c r="B797" s="5"/>
      <c r="C797" s="5"/>
      <c r="D797" s="5"/>
      <c r="E797" s="5"/>
      <c r="F797" s="5"/>
      <c r="G797" s="5"/>
    </row>
    <row r="798" spans="1:7" s="1" customFormat="1" x14ac:dyDescent="0.2">
      <c r="A798" s="5"/>
      <c r="B798" s="5"/>
      <c r="C798" s="5"/>
      <c r="D798" s="5"/>
      <c r="E798" s="5"/>
      <c r="F798" s="5"/>
      <c r="G798" s="5"/>
    </row>
    <row r="799" spans="1:7" s="1" customFormat="1" x14ac:dyDescent="0.2">
      <c r="A799" s="5"/>
      <c r="B799" s="5"/>
      <c r="C799" s="5"/>
      <c r="D799" s="5"/>
      <c r="E799" s="5"/>
      <c r="F799" s="5"/>
      <c r="G799" s="5"/>
    </row>
    <row r="800" spans="1:7" s="1" customFormat="1" x14ac:dyDescent="0.2">
      <c r="A800" s="5"/>
      <c r="B800" s="5"/>
      <c r="C800" s="5"/>
      <c r="D800" s="5"/>
      <c r="E800" s="5"/>
      <c r="F800" s="5"/>
      <c r="G800" s="5"/>
    </row>
    <row r="801" spans="1:7" s="1" customFormat="1" x14ac:dyDescent="0.2">
      <c r="A801" s="5"/>
      <c r="B801" s="5"/>
      <c r="C801" s="5"/>
      <c r="D801" s="5"/>
      <c r="E801" s="5"/>
      <c r="F801" s="5"/>
      <c r="G801" s="5"/>
    </row>
    <row r="802" spans="1:7" s="1" customFormat="1" x14ac:dyDescent="0.2">
      <c r="A802" s="5"/>
      <c r="B802" s="5"/>
      <c r="C802" s="5"/>
      <c r="D802" s="5"/>
      <c r="E802" s="5"/>
      <c r="F802" s="5"/>
      <c r="G802" s="5"/>
    </row>
    <row r="803" spans="1:7" s="1" customFormat="1" x14ac:dyDescent="0.2">
      <c r="A803" s="5"/>
      <c r="B803" s="5"/>
      <c r="C803" s="5"/>
      <c r="D803" s="5"/>
      <c r="E803" s="5"/>
      <c r="F803" s="5"/>
      <c r="G803" s="5"/>
    </row>
    <row r="804" spans="1:7" s="1" customFormat="1" x14ac:dyDescent="0.2">
      <c r="A804" s="5"/>
      <c r="B804" s="5"/>
      <c r="C804" s="5"/>
      <c r="D804" s="5"/>
      <c r="E804" s="5"/>
      <c r="F804" s="5"/>
      <c r="G804" s="5"/>
    </row>
    <row r="805" spans="1:7" s="1" customFormat="1" x14ac:dyDescent="0.2">
      <c r="A805" s="5"/>
      <c r="B805" s="5"/>
      <c r="C805" s="5"/>
      <c r="D805" s="5"/>
      <c r="E805" s="5"/>
      <c r="F805" s="5"/>
      <c r="G805" s="5"/>
    </row>
    <row r="806" spans="1:7" s="1" customFormat="1" x14ac:dyDescent="0.2">
      <c r="A806" s="5"/>
      <c r="B806" s="5"/>
      <c r="C806" s="5"/>
      <c r="D806" s="5"/>
      <c r="E806" s="5"/>
      <c r="F806" s="5"/>
      <c r="G806" s="5"/>
    </row>
    <row r="807" spans="1:7" s="1" customFormat="1" x14ac:dyDescent="0.2">
      <c r="A807" s="5"/>
      <c r="B807" s="5"/>
      <c r="C807" s="5"/>
      <c r="D807" s="5"/>
      <c r="E807" s="5"/>
      <c r="F807" s="5"/>
      <c r="G807" s="5"/>
    </row>
    <row r="808" spans="1:7" s="1" customFormat="1" x14ac:dyDescent="0.2">
      <c r="A808" s="5"/>
      <c r="B808" s="5"/>
      <c r="C808" s="5"/>
      <c r="D808" s="5"/>
      <c r="E808" s="5"/>
      <c r="F808" s="5"/>
      <c r="G808" s="5"/>
    </row>
    <row r="809" spans="1:7" s="1" customFormat="1" x14ac:dyDescent="0.2">
      <c r="A809" s="5"/>
      <c r="B809" s="5"/>
      <c r="C809" s="5"/>
      <c r="D809" s="5"/>
      <c r="E809" s="5"/>
      <c r="F809" s="5"/>
      <c r="G809" s="5"/>
    </row>
    <row r="810" spans="1:7" s="1" customFormat="1" x14ac:dyDescent="0.2">
      <c r="A810" s="5"/>
      <c r="B810" s="5"/>
      <c r="C810" s="5"/>
      <c r="D810" s="5"/>
      <c r="E810" s="5"/>
      <c r="F810" s="5"/>
      <c r="G810" s="5"/>
    </row>
    <row r="811" spans="1:7" s="1" customFormat="1" x14ac:dyDescent="0.2">
      <c r="A811" s="5"/>
      <c r="B811" s="5"/>
      <c r="C811" s="5"/>
      <c r="D811" s="5"/>
      <c r="E811" s="5"/>
      <c r="F811" s="5"/>
      <c r="G811" s="5"/>
    </row>
    <row r="812" spans="1:7" s="1" customFormat="1" x14ac:dyDescent="0.2">
      <c r="A812" s="5"/>
      <c r="B812" s="5"/>
      <c r="C812" s="5"/>
      <c r="D812" s="5"/>
      <c r="E812" s="5"/>
      <c r="F812" s="5"/>
      <c r="G812" s="5"/>
    </row>
    <row r="813" spans="1:7" s="1" customFormat="1" x14ac:dyDescent="0.2">
      <c r="A813" s="5"/>
      <c r="B813" s="5"/>
      <c r="C813" s="5"/>
      <c r="D813" s="5"/>
      <c r="E813" s="5"/>
      <c r="F813" s="5"/>
      <c r="G813" s="5"/>
    </row>
    <row r="814" spans="1:7" s="1" customFormat="1" x14ac:dyDescent="0.2">
      <c r="A814" s="5"/>
      <c r="B814" s="5"/>
      <c r="C814" s="5"/>
      <c r="D814" s="5"/>
      <c r="E814" s="5"/>
      <c r="F814" s="5"/>
      <c r="G814" s="5"/>
    </row>
    <row r="815" spans="1:7" s="1" customFormat="1" x14ac:dyDescent="0.2">
      <c r="A815" s="5"/>
      <c r="B815" s="5"/>
      <c r="C815" s="5"/>
      <c r="D815" s="5"/>
      <c r="E815" s="5"/>
      <c r="F815" s="5"/>
      <c r="G815" s="5"/>
    </row>
    <row r="816" spans="1:7" s="1" customFormat="1" x14ac:dyDescent="0.2">
      <c r="A816" s="5"/>
      <c r="B816" s="5"/>
      <c r="C816" s="5"/>
      <c r="D816" s="5"/>
      <c r="E816" s="5"/>
      <c r="F816" s="5"/>
      <c r="G816" s="5"/>
    </row>
    <row r="817" spans="1:7" s="1" customFormat="1" x14ac:dyDescent="0.2">
      <c r="A817" s="5"/>
      <c r="B817" s="5"/>
      <c r="C817" s="5"/>
      <c r="D817" s="5"/>
      <c r="E817" s="5"/>
      <c r="F817" s="5"/>
      <c r="G817" s="5"/>
    </row>
    <row r="818" spans="1:7" s="1" customFormat="1" x14ac:dyDescent="0.2">
      <c r="A818" s="5"/>
      <c r="B818" s="5"/>
      <c r="C818" s="5"/>
      <c r="D818" s="5"/>
      <c r="E818" s="5"/>
      <c r="F818" s="5"/>
      <c r="G818" s="5"/>
    </row>
    <row r="819" spans="1:7" s="1" customFormat="1" x14ac:dyDescent="0.2">
      <c r="A819" s="5"/>
      <c r="B819" s="5"/>
      <c r="C819" s="5"/>
      <c r="D819" s="5"/>
      <c r="E819" s="5"/>
      <c r="F819" s="5"/>
      <c r="G819" s="5"/>
    </row>
    <row r="820" spans="1:7" s="1" customFormat="1" x14ac:dyDescent="0.2">
      <c r="A820" s="5"/>
      <c r="B820" s="5"/>
      <c r="C820" s="5"/>
      <c r="D820" s="5"/>
      <c r="E820" s="5"/>
      <c r="F820" s="5"/>
      <c r="G820" s="5"/>
    </row>
    <row r="821" spans="1:7" s="1" customFormat="1" x14ac:dyDescent="0.2">
      <c r="A821" s="5"/>
      <c r="B821" s="5"/>
      <c r="C821" s="5"/>
      <c r="D821" s="5"/>
      <c r="E821" s="5"/>
      <c r="F821" s="5"/>
      <c r="G821" s="5"/>
    </row>
    <row r="822" spans="1:7" s="1" customFormat="1" x14ac:dyDescent="0.2">
      <c r="A822" s="5"/>
      <c r="B822" s="5"/>
      <c r="C822" s="5"/>
      <c r="D822" s="5"/>
      <c r="E822" s="5"/>
      <c r="F822" s="5"/>
      <c r="G822" s="5"/>
    </row>
    <row r="823" spans="1:7" s="1" customFormat="1" x14ac:dyDescent="0.2">
      <c r="A823" s="5"/>
      <c r="B823" s="5"/>
      <c r="C823" s="5"/>
      <c r="D823" s="5"/>
      <c r="E823" s="5"/>
      <c r="F823" s="5"/>
      <c r="G823" s="5"/>
    </row>
    <row r="824" spans="1:7" s="1" customFormat="1" x14ac:dyDescent="0.2">
      <c r="A824" s="5"/>
      <c r="B824" s="5"/>
      <c r="C824" s="5"/>
      <c r="D824" s="5"/>
      <c r="E824" s="5"/>
      <c r="F824" s="5"/>
      <c r="G824" s="5"/>
    </row>
    <row r="825" spans="1:7" s="1" customFormat="1" x14ac:dyDescent="0.2">
      <c r="A825" s="5"/>
      <c r="B825" s="5"/>
      <c r="C825" s="5"/>
      <c r="D825" s="5"/>
      <c r="E825" s="5"/>
      <c r="F825" s="5"/>
      <c r="G825" s="5"/>
    </row>
    <row r="826" spans="1:7" s="1" customFormat="1" x14ac:dyDescent="0.2">
      <c r="A826" s="5"/>
      <c r="B826" s="5"/>
      <c r="C826" s="5"/>
      <c r="D826" s="5"/>
      <c r="E826" s="5"/>
      <c r="F826" s="5"/>
      <c r="G826" s="5"/>
    </row>
    <row r="827" spans="1:7" s="1" customFormat="1" x14ac:dyDescent="0.2">
      <c r="A827" s="5"/>
      <c r="B827" s="5"/>
      <c r="C827" s="5"/>
      <c r="D827" s="5"/>
      <c r="E827" s="5"/>
      <c r="F827" s="5"/>
      <c r="G827" s="5"/>
    </row>
    <row r="828" spans="1:7" s="1" customFormat="1" x14ac:dyDescent="0.2">
      <c r="A828" s="5"/>
      <c r="B828" s="5"/>
      <c r="C828" s="5"/>
      <c r="D828" s="5"/>
      <c r="E828" s="5"/>
      <c r="F828" s="5"/>
      <c r="G828" s="5"/>
    </row>
    <row r="829" spans="1:7" s="1" customFormat="1" x14ac:dyDescent="0.2">
      <c r="A829" s="5"/>
      <c r="B829" s="5"/>
      <c r="C829" s="5"/>
      <c r="D829" s="5"/>
      <c r="E829" s="5"/>
      <c r="F829" s="5"/>
      <c r="G829" s="5"/>
    </row>
    <row r="830" spans="1:7" s="1" customFormat="1" x14ac:dyDescent="0.2">
      <c r="A830" s="5"/>
      <c r="B830" s="5"/>
      <c r="C830" s="5"/>
      <c r="D830" s="5"/>
      <c r="E830" s="5"/>
      <c r="F830" s="5"/>
      <c r="G830" s="5"/>
    </row>
    <row r="831" spans="1:7" s="1" customFormat="1" x14ac:dyDescent="0.2">
      <c r="A831" s="5"/>
      <c r="B831" s="5"/>
      <c r="C831" s="5"/>
      <c r="D831" s="5"/>
      <c r="E831" s="5"/>
      <c r="F831" s="5"/>
      <c r="G831" s="5"/>
    </row>
    <row r="832" spans="1:7" s="1" customFormat="1" x14ac:dyDescent="0.2">
      <c r="A832" s="5"/>
      <c r="B832" s="5"/>
      <c r="C832" s="5"/>
      <c r="D832" s="5"/>
      <c r="E832" s="5"/>
      <c r="F832" s="5"/>
      <c r="G832" s="5"/>
    </row>
    <row r="833" spans="1:7" s="1" customFormat="1" x14ac:dyDescent="0.2">
      <c r="A833" s="5"/>
      <c r="B833" s="5"/>
      <c r="C833" s="5"/>
      <c r="D833" s="5"/>
      <c r="E833" s="5"/>
      <c r="F833" s="5"/>
      <c r="G833" s="5"/>
    </row>
    <row r="834" spans="1:7" s="1" customFormat="1" x14ac:dyDescent="0.2">
      <c r="A834" s="5"/>
      <c r="B834" s="5"/>
      <c r="C834" s="5"/>
      <c r="D834" s="5"/>
      <c r="E834" s="5"/>
      <c r="F834" s="5"/>
      <c r="G834" s="5"/>
    </row>
    <row r="835" spans="1:7" s="1" customFormat="1" x14ac:dyDescent="0.2">
      <c r="A835" s="5"/>
      <c r="B835" s="5"/>
      <c r="C835" s="5"/>
      <c r="D835" s="5"/>
      <c r="E835" s="5"/>
      <c r="F835" s="5"/>
      <c r="G835" s="5"/>
    </row>
    <row r="836" spans="1:7" s="1" customFormat="1" x14ac:dyDescent="0.2">
      <c r="A836" s="5"/>
      <c r="B836" s="5"/>
      <c r="C836" s="5"/>
      <c r="D836" s="5"/>
      <c r="E836" s="5"/>
      <c r="F836" s="5"/>
      <c r="G836" s="5"/>
    </row>
    <row r="837" spans="1:7" s="1" customFormat="1" x14ac:dyDescent="0.2">
      <c r="A837" s="5"/>
      <c r="B837" s="5"/>
      <c r="C837" s="5"/>
      <c r="D837" s="5"/>
      <c r="E837" s="5"/>
      <c r="F837" s="5"/>
      <c r="G837" s="5"/>
    </row>
    <row r="838" spans="1:7" s="1" customFormat="1" x14ac:dyDescent="0.2">
      <c r="A838" s="5"/>
      <c r="B838" s="5"/>
      <c r="C838" s="5"/>
      <c r="D838" s="5"/>
      <c r="E838" s="5"/>
      <c r="F838" s="5"/>
      <c r="G838" s="5"/>
    </row>
    <row r="839" spans="1:7" s="1" customFormat="1" x14ac:dyDescent="0.2">
      <c r="A839" s="5"/>
      <c r="B839" s="5"/>
      <c r="C839" s="5"/>
      <c r="D839" s="5"/>
      <c r="E839" s="5"/>
      <c r="F839" s="5"/>
      <c r="G839" s="5"/>
    </row>
    <row r="840" spans="1:7" s="1" customFormat="1" x14ac:dyDescent="0.2">
      <c r="A840" s="5"/>
      <c r="B840" s="5"/>
      <c r="C840" s="5"/>
      <c r="D840" s="5"/>
      <c r="E840" s="5"/>
      <c r="F840" s="5"/>
      <c r="G840" s="5"/>
    </row>
    <row r="841" spans="1:7" s="1" customFormat="1" x14ac:dyDescent="0.2">
      <c r="A841" s="5"/>
      <c r="B841" s="5"/>
      <c r="C841" s="5"/>
      <c r="D841" s="5"/>
      <c r="E841" s="5"/>
      <c r="F841" s="5"/>
      <c r="G841" s="5"/>
    </row>
    <row r="842" spans="1:7" s="1" customFormat="1" x14ac:dyDescent="0.2">
      <c r="A842" s="5"/>
      <c r="B842" s="5"/>
      <c r="C842" s="5"/>
      <c r="D842" s="5"/>
      <c r="E842" s="5"/>
      <c r="F842" s="5"/>
      <c r="G842" s="5"/>
    </row>
    <row r="843" spans="1:7" s="1" customFormat="1" x14ac:dyDescent="0.2">
      <c r="A843" s="5"/>
      <c r="B843" s="5"/>
      <c r="C843" s="5"/>
      <c r="D843" s="5"/>
      <c r="E843" s="5"/>
      <c r="F843" s="5"/>
      <c r="G843" s="5"/>
    </row>
    <row r="844" spans="1:7" s="1" customFormat="1" x14ac:dyDescent="0.2">
      <c r="A844" s="5"/>
      <c r="B844" s="5"/>
      <c r="C844" s="5"/>
      <c r="D844" s="5"/>
      <c r="E844" s="5"/>
      <c r="F844" s="5"/>
      <c r="G844" s="5"/>
    </row>
    <row r="845" spans="1:7" s="1" customFormat="1" x14ac:dyDescent="0.2">
      <c r="A845" s="5"/>
      <c r="B845" s="5"/>
      <c r="C845" s="5"/>
      <c r="D845" s="5"/>
      <c r="E845" s="5"/>
      <c r="F845" s="5"/>
      <c r="G845" s="5"/>
    </row>
    <row r="846" spans="1:7" s="1" customFormat="1" x14ac:dyDescent="0.2">
      <c r="A846" s="5"/>
      <c r="B846" s="5"/>
      <c r="C846" s="5"/>
      <c r="D846" s="5"/>
      <c r="E846" s="5"/>
      <c r="F846" s="5"/>
      <c r="G846" s="5"/>
    </row>
    <row r="847" spans="1:7" s="1" customFormat="1" x14ac:dyDescent="0.2">
      <c r="A847" s="5"/>
      <c r="B847" s="5"/>
      <c r="C847" s="5"/>
      <c r="D847" s="5"/>
      <c r="E847" s="5"/>
      <c r="F847" s="5"/>
      <c r="G847" s="5"/>
    </row>
    <row r="848" spans="1:7" s="1" customFormat="1" x14ac:dyDescent="0.2">
      <c r="A848" s="5"/>
      <c r="B848" s="5"/>
      <c r="C848" s="5"/>
      <c r="D848" s="5"/>
      <c r="E848" s="5"/>
      <c r="F848" s="5"/>
      <c r="G848" s="5"/>
    </row>
    <row r="849" spans="1:7" s="1" customFormat="1" x14ac:dyDescent="0.2">
      <c r="A849" s="5"/>
      <c r="B849" s="5"/>
      <c r="C849" s="5"/>
      <c r="D849" s="5"/>
      <c r="E849" s="5"/>
      <c r="F849" s="5"/>
      <c r="G849" s="5"/>
    </row>
    <row r="850" spans="1:7" s="1" customFormat="1" x14ac:dyDescent="0.2">
      <c r="A850" s="5"/>
      <c r="B850" s="5"/>
      <c r="C850" s="5"/>
      <c r="D850" s="5"/>
      <c r="E850" s="5"/>
      <c r="F850" s="5"/>
      <c r="G850" s="5"/>
    </row>
    <row r="851" spans="1:7" s="1" customFormat="1" x14ac:dyDescent="0.2">
      <c r="A851" s="5"/>
      <c r="B851" s="5"/>
      <c r="C851" s="5"/>
      <c r="D851" s="5"/>
      <c r="E851" s="5"/>
      <c r="F851" s="5"/>
      <c r="G851" s="5"/>
    </row>
    <row r="852" spans="1:7" s="1" customFormat="1" x14ac:dyDescent="0.2">
      <c r="A852" s="5"/>
      <c r="B852" s="5"/>
      <c r="C852" s="5"/>
      <c r="D852" s="5"/>
      <c r="E852" s="5"/>
      <c r="F852" s="5"/>
      <c r="G852" s="5"/>
    </row>
    <row r="853" spans="1:7" s="1" customFormat="1" x14ac:dyDescent="0.2">
      <c r="A853" s="5"/>
      <c r="B853" s="5"/>
      <c r="C853" s="5"/>
      <c r="D853" s="5"/>
      <c r="E853" s="5"/>
      <c r="F853" s="5"/>
      <c r="G853" s="5"/>
    </row>
    <row r="854" spans="1:7" s="1" customFormat="1" x14ac:dyDescent="0.2">
      <c r="A854" s="5"/>
      <c r="B854" s="5"/>
      <c r="C854" s="5"/>
      <c r="D854" s="5"/>
      <c r="E854" s="5"/>
      <c r="F854" s="5"/>
      <c r="G854" s="5"/>
    </row>
    <row r="855" spans="1:7" s="1" customFormat="1" x14ac:dyDescent="0.2">
      <c r="A855" s="5"/>
      <c r="B855" s="5"/>
      <c r="C855" s="5"/>
      <c r="D855" s="5"/>
      <c r="E855" s="5"/>
      <c r="F855" s="5"/>
      <c r="G855" s="5"/>
    </row>
    <row r="856" spans="1:7" s="1" customFormat="1" x14ac:dyDescent="0.2">
      <c r="A856" s="5"/>
      <c r="B856" s="5"/>
      <c r="C856" s="5"/>
      <c r="D856" s="5"/>
      <c r="E856" s="5"/>
      <c r="F856" s="5"/>
      <c r="G856" s="5"/>
    </row>
    <row r="857" spans="1:7" s="1" customFormat="1" x14ac:dyDescent="0.2">
      <c r="A857" s="5"/>
      <c r="B857" s="5"/>
      <c r="C857" s="5"/>
      <c r="D857" s="5"/>
      <c r="E857" s="5"/>
      <c r="F857" s="5"/>
      <c r="G857" s="5"/>
    </row>
    <row r="858" spans="1:7" s="1" customFormat="1" x14ac:dyDescent="0.2">
      <c r="A858" s="5"/>
      <c r="B858" s="5"/>
      <c r="C858" s="5"/>
      <c r="D858" s="5"/>
      <c r="E858" s="5"/>
      <c r="F858" s="5"/>
      <c r="G858" s="5"/>
    </row>
    <row r="859" spans="1:7" s="1" customFormat="1" x14ac:dyDescent="0.2">
      <c r="A859" s="5"/>
      <c r="B859" s="5"/>
      <c r="C859" s="5"/>
      <c r="D859" s="5"/>
      <c r="E859" s="5"/>
      <c r="F859" s="5"/>
      <c r="G859" s="5"/>
    </row>
    <row r="860" spans="1:7" s="1" customFormat="1" x14ac:dyDescent="0.2">
      <c r="A860" s="5"/>
      <c r="B860" s="5"/>
      <c r="C860" s="5"/>
      <c r="D860" s="5"/>
      <c r="E860" s="5"/>
      <c r="F860" s="5"/>
      <c r="G860" s="5"/>
    </row>
    <row r="861" spans="1:7" s="1" customFormat="1" x14ac:dyDescent="0.2">
      <c r="A861" s="5"/>
      <c r="B861" s="5"/>
      <c r="C861" s="5"/>
      <c r="D861" s="5"/>
      <c r="E861" s="5"/>
      <c r="F861" s="5"/>
      <c r="G861" s="5"/>
    </row>
    <row r="862" spans="1:7" s="1" customFormat="1" x14ac:dyDescent="0.2">
      <c r="A862" s="5"/>
      <c r="B862" s="5"/>
      <c r="C862" s="5"/>
      <c r="D862" s="5"/>
      <c r="E862" s="5"/>
      <c r="F862" s="5"/>
      <c r="G862" s="5"/>
    </row>
    <row r="863" spans="1:7" s="1" customFormat="1" x14ac:dyDescent="0.2">
      <c r="A863" s="5"/>
      <c r="B863" s="5"/>
      <c r="C863" s="5"/>
      <c r="D863" s="5"/>
      <c r="E863" s="5"/>
      <c r="F863" s="5"/>
      <c r="G863" s="5"/>
    </row>
    <row r="864" spans="1:7" s="1" customFormat="1" x14ac:dyDescent="0.2">
      <c r="A864" s="5"/>
      <c r="B864" s="5"/>
      <c r="C864" s="5"/>
      <c r="D864" s="5"/>
      <c r="E864" s="5"/>
      <c r="F864" s="5"/>
      <c r="G864" s="5"/>
    </row>
    <row r="865" spans="1:7" s="1" customFormat="1" x14ac:dyDescent="0.2">
      <c r="A865" s="5"/>
      <c r="B865" s="5"/>
      <c r="C865" s="5"/>
      <c r="D865" s="5"/>
      <c r="E865" s="5"/>
      <c r="F865" s="5"/>
      <c r="G865" s="5"/>
    </row>
    <row r="866" spans="1:7" s="1" customFormat="1" x14ac:dyDescent="0.2">
      <c r="A866" s="5"/>
      <c r="B866" s="5"/>
      <c r="C866" s="5"/>
      <c r="D866" s="5"/>
      <c r="E866" s="5"/>
      <c r="F866" s="5"/>
      <c r="G866" s="5"/>
    </row>
    <row r="867" spans="1:7" s="1" customFormat="1" x14ac:dyDescent="0.2">
      <c r="A867" s="5"/>
      <c r="B867" s="5"/>
      <c r="C867" s="5"/>
      <c r="D867" s="5"/>
      <c r="E867" s="5"/>
      <c r="F867" s="5"/>
      <c r="G867" s="5"/>
    </row>
    <row r="868" spans="1:7" s="1" customFormat="1" x14ac:dyDescent="0.2">
      <c r="A868" s="5"/>
      <c r="B868" s="5"/>
      <c r="C868" s="5"/>
      <c r="D868" s="5"/>
      <c r="E868" s="5"/>
      <c r="F868" s="5"/>
      <c r="G868" s="5"/>
    </row>
    <row r="869" spans="1:7" s="1" customFormat="1" x14ac:dyDescent="0.2">
      <c r="A869" s="5"/>
      <c r="B869" s="5"/>
      <c r="C869" s="5"/>
      <c r="D869" s="5"/>
      <c r="E869" s="5"/>
      <c r="F869" s="5"/>
      <c r="G869" s="5"/>
    </row>
    <row r="870" spans="1:7" s="1" customFormat="1" x14ac:dyDescent="0.2">
      <c r="A870" s="5"/>
      <c r="B870" s="5"/>
      <c r="C870" s="5"/>
      <c r="D870" s="5"/>
      <c r="E870" s="5"/>
      <c r="F870" s="5"/>
      <c r="G870" s="5"/>
    </row>
    <row r="871" spans="1:7" s="1" customFormat="1" x14ac:dyDescent="0.2">
      <c r="A871" s="5"/>
      <c r="B871" s="5"/>
      <c r="C871" s="5"/>
      <c r="D871" s="5"/>
      <c r="E871" s="5"/>
      <c r="F871" s="5"/>
      <c r="G871" s="5"/>
    </row>
    <row r="872" spans="1:7" s="1" customFormat="1" x14ac:dyDescent="0.2">
      <c r="A872" s="5"/>
      <c r="B872" s="5"/>
      <c r="C872" s="5"/>
      <c r="D872" s="5"/>
      <c r="E872" s="5"/>
      <c r="F872" s="5"/>
      <c r="G872" s="5"/>
    </row>
    <row r="873" spans="1:7" s="1" customFormat="1" x14ac:dyDescent="0.2">
      <c r="A873" s="5"/>
      <c r="B873" s="5"/>
      <c r="C873" s="5"/>
      <c r="D873" s="5"/>
      <c r="E873" s="5"/>
      <c r="F873" s="5"/>
      <c r="G873" s="5"/>
    </row>
    <row r="874" spans="1:7" s="1" customFormat="1" x14ac:dyDescent="0.2">
      <c r="A874" s="5"/>
      <c r="B874" s="5"/>
      <c r="C874" s="5"/>
      <c r="D874" s="5"/>
      <c r="E874" s="5"/>
      <c r="F874" s="5"/>
      <c r="G874" s="5"/>
    </row>
    <row r="875" spans="1:7" s="1" customFormat="1" x14ac:dyDescent="0.2">
      <c r="A875" s="5"/>
      <c r="B875" s="5"/>
      <c r="C875" s="5"/>
      <c r="D875" s="5"/>
      <c r="E875" s="5"/>
      <c r="F875" s="5"/>
      <c r="G875" s="5"/>
    </row>
    <row r="876" spans="1:7" s="1" customFormat="1" x14ac:dyDescent="0.2">
      <c r="A876" s="5"/>
      <c r="B876" s="5"/>
      <c r="C876" s="5"/>
      <c r="D876" s="5"/>
      <c r="E876" s="5"/>
      <c r="F876" s="5"/>
      <c r="G876" s="5"/>
    </row>
    <row r="877" spans="1:7" s="1" customFormat="1" x14ac:dyDescent="0.2">
      <c r="A877" s="5"/>
      <c r="B877" s="5"/>
      <c r="C877" s="5"/>
      <c r="D877" s="5"/>
      <c r="E877" s="5"/>
      <c r="F877" s="5"/>
      <c r="G877" s="5"/>
    </row>
    <row r="878" spans="1:7" s="1" customFormat="1" x14ac:dyDescent="0.2">
      <c r="A878" s="5"/>
      <c r="B878" s="5"/>
      <c r="C878" s="5"/>
      <c r="D878" s="5"/>
      <c r="E878" s="5"/>
      <c r="F878" s="5"/>
      <c r="G878" s="5"/>
    </row>
    <row r="879" spans="1:7" s="1" customFormat="1" x14ac:dyDescent="0.2">
      <c r="A879" s="5"/>
      <c r="B879" s="5"/>
      <c r="C879" s="5"/>
      <c r="D879" s="5"/>
      <c r="E879" s="5"/>
      <c r="F879" s="5"/>
      <c r="G879" s="5"/>
    </row>
    <row r="880" spans="1:7" s="1" customFormat="1" x14ac:dyDescent="0.2">
      <c r="A880" s="5"/>
      <c r="B880" s="5"/>
      <c r="C880" s="5"/>
      <c r="D880" s="5"/>
      <c r="E880" s="5"/>
      <c r="F880" s="5"/>
      <c r="G880" s="5"/>
    </row>
    <row r="881" spans="1:7" s="1" customFormat="1" x14ac:dyDescent="0.2">
      <c r="A881" s="5"/>
      <c r="B881" s="5"/>
      <c r="C881" s="5"/>
      <c r="D881" s="5"/>
      <c r="E881" s="5"/>
      <c r="F881" s="5"/>
      <c r="G881" s="5"/>
    </row>
    <row r="882" spans="1:7" s="1" customFormat="1" x14ac:dyDescent="0.2">
      <c r="A882" s="5"/>
      <c r="B882" s="5"/>
      <c r="C882" s="5"/>
      <c r="D882" s="5"/>
      <c r="E882" s="5"/>
      <c r="F882" s="5"/>
      <c r="G882" s="5"/>
    </row>
    <row r="883" spans="1:7" s="1" customFormat="1" x14ac:dyDescent="0.2">
      <c r="A883" s="5"/>
      <c r="B883" s="5"/>
      <c r="C883" s="5"/>
      <c r="D883" s="5"/>
      <c r="E883" s="5"/>
      <c r="F883" s="5"/>
      <c r="G883" s="5"/>
    </row>
    <row r="884" spans="1:7" s="1" customFormat="1" x14ac:dyDescent="0.2">
      <c r="A884" s="5"/>
      <c r="B884" s="5"/>
      <c r="C884" s="5"/>
      <c r="D884" s="5"/>
      <c r="E884" s="5"/>
      <c r="F884" s="5"/>
      <c r="G884" s="5"/>
    </row>
    <row r="885" spans="1:7" s="1" customFormat="1" x14ac:dyDescent="0.2">
      <c r="A885" s="5"/>
      <c r="B885" s="5"/>
      <c r="C885" s="5"/>
      <c r="D885" s="5"/>
      <c r="E885" s="5"/>
      <c r="F885" s="5"/>
      <c r="G885" s="5"/>
    </row>
    <row r="886" spans="1:7" s="1" customFormat="1" x14ac:dyDescent="0.2">
      <c r="A886" s="5"/>
      <c r="B886" s="5"/>
      <c r="C886" s="5"/>
      <c r="D886" s="5"/>
      <c r="E886" s="5"/>
      <c r="F886" s="5"/>
      <c r="G886" s="5"/>
    </row>
    <row r="887" spans="1:7" s="1" customFormat="1" x14ac:dyDescent="0.2">
      <c r="A887" s="5"/>
      <c r="B887" s="5"/>
      <c r="C887" s="5"/>
      <c r="D887" s="5"/>
      <c r="E887" s="5"/>
      <c r="F887" s="5"/>
      <c r="G887" s="5"/>
    </row>
    <row r="888" spans="1:7" s="1" customFormat="1" x14ac:dyDescent="0.2">
      <c r="A888" s="5"/>
      <c r="B888" s="5"/>
      <c r="C888" s="5"/>
      <c r="D888" s="5"/>
      <c r="E888" s="5"/>
      <c r="F888" s="5"/>
      <c r="G888" s="5"/>
    </row>
    <row r="889" spans="1:7" s="1" customFormat="1" x14ac:dyDescent="0.2">
      <c r="A889" s="5"/>
      <c r="B889" s="5"/>
      <c r="C889" s="5"/>
      <c r="D889" s="5"/>
      <c r="E889" s="5"/>
      <c r="F889" s="5"/>
      <c r="G889" s="5"/>
    </row>
    <row r="890" spans="1:7" s="1" customFormat="1" x14ac:dyDescent="0.2">
      <c r="A890" s="5"/>
      <c r="B890" s="5"/>
      <c r="C890" s="5"/>
      <c r="D890" s="5"/>
      <c r="E890" s="5"/>
      <c r="F890" s="5"/>
      <c r="G890" s="5"/>
    </row>
    <row r="891" spans="1:7" s="1" customFormat="1" x14ac:dyDescent="0.2">
      <c r="A891" s="5"/>
      <c r="B891" s="5"/>
      <c r="C891" s="5"/>
      <c r="D891" s="5"/>
      <c r="E891" s="5"/>
      <c r="F891" s="5"/>
      <c r="G891" s="5"/>
    </row>
    <row r="892" spans="1:7" s="1" customFormat="1" x14ac:dyDescent="0.2">
      <c r="A892" s="5"/>
      <c r="B892" s="5"/>
      <c r="C892" s="5"/>
      <c r="D892" s="5"/>
      <c r="E892" s="5"/>
      <c r="F892" s="5"/>
      <c r="G892" s="5"/>
    </row>
    <row r="893" spans="1:7" s="1" customFormat="1" x14ac:dyDescent="0.2">
      <c r="A893" s="5"/>
      <c r="B893" s="5"/>
      <c r="C893" s="5"/>
      <c r="D893" s="5"/>
      <c r="E893" s="5"/>
      <c r="F893" s="5"/>
      <c r="G893" s="5"/>
    </row>
    <row r="894" spans="1:7" s="1" customFormat="1" x14ac:dyDescent="0.2">
      <c r="A894" s="5"/>
      <c r="B894" s="5"/>
      <c r="C894" s="5"/>
      <c r="D894" s="5"/>
      <c r="E894" s="5"/>
      <c r="F894" s="5"/>
      <c r="G894" s="5"/>
    </row>
    <row r="895" spans="1:7" s="1" customFormat="1" x14ac:dyDescent="0.2">
      <c r="A895" s="5"/>
      <c r="B895" s="5"/>
      <c r="C895" s="5"/>
      <c r="D895" s="5"/>
      <c r="E895" s="5"/>
      <c r="F895" s="5"/>
      <c r="G895" s="5"/>
    </row>
    <row r="896" spans="1:7" s="1" customFormat="1" x14ac:dyDescent="0.2">
      <c r="A896" s="5"/>
      <c r="B896" s="5"/>
      <c r="C896" s="5"/>
      <c r="D896" s="5"/>
      <c r="E896" s="5"/>
      <c r="F896" s="5"/>
      <c r="G896" s="5"/>
    </row>
    <row r="897" spans="1:7" s="1" customFormat="1" x14ac:dyDescent="0.2">
      <c r="A897" s="5"/>
      <c r="B897" s="5"/>
      <c r="C897" s="5"/>
      <c r="D897" s="5"/>
      <c r="E897" s="5"/>
      <c r="F897" s="5"/>
      <c r="G897" s="5"/>
    </row>
    <row r="898" spans="1:7" s="1" customFormat="1" x14ac:dyDescent="0.2">
      <c r="A898" s="5"/>
      <c r="B898" s="5"/>
      <c r="C898" s="5"/>
      <c r="D898" s="5"/>
      <c r="E898" s="5"/>
      <c r="F898" s="5"/>
      <c r="G898" s="5"/>
    </row>
    <row r="899" spans="1:7" s="1" customFormat="1" x14ac:dyDescent="0.2">
      <c r="A899" s="5"/>
      <c r="B899" s="5"/>
      <c r="C899" s="5"/>
      <c r="D899" s="5"/>
      <c r="E899" s="5"/>
      <c r="F899" s="5"/>
      <c r="G899" s="5"/>
    </row>
    <row r="900" spans="1:7" s="1" customFormat="1" x14ac:dyDescent="0.2">
      <c r="A900" s="5"/>
      <c r="B900" s="5"/>
      <c r="C900" s="5"/>
      <c r="D900" s="5"/>
      <c r="E900" s="5"/>
      <c r="F900" s="5"/>
      <c r="G900" s="5"/>
    </row>
    <row r="901" spans="1:7" s="1" customFormat="1" x14ac:dyDescent="0.2">
      <c r="A901" s="5"/>
      <c r="B901" s="5"/>
      <c r="C901" s="5"/>
      <c r="D901" s="5"/>
      <c r="E901" s="5"/>
      <c r="F901" s="5"/>
      <c r="G901" s="5"/>
    </row>
    <row r="902" spans="1:7" s="1" customFormat="1" x14ac:dyDescent="0.2">
      <c r="A902" s="5"/>
      <c r="B902" s="5"/>
      <c r="C902" s="5"/>
      <c r="D902" s="5"/>
      <c r="E902" s="5"/>
      <c r="F902" s="5"/>
      <c r="G902" s="5"/>
    </row>
    <row r="903" spans="1:7" s="1" customFormat="1" x14ac:dyDescent="0.2">
      <c r="A903" s="5"/>
      <c r="B903" s="5"/>
      <c r="C903" s="5"/>
      <c r="D903" s="5"/>
      <c r="E903" s="5"/>
      <c r="F903" s="5"/>
      <c r="G903" s="5"/>
    </row>
    <row r="904" spans="1:7" s="1" customFormat="1" x14ac:dyDescent="0.2">
      <c r="A904" s="5"/>
      <c r="B904" s="5"/>
      <c r="C904" s="5"/>
      <c r="D904" s="5"/>
      <c r="E904" s="5"/>
      <c r="F904" s="5"/>
      <c r="G904" s="5"/>
    </row>
    <row r="905" spans="1:7" s="1" customFormat="1" x14ac:dyDescent="0.2">
      <c r="A905" s="5"/>
      <c r="B905" s="5"/>
      <c r="C905" s="5"/>
      <c r="D905" s="5"/>
      <c r="E905" s="5"/>
      <c r="F905" s="5"/>
      <c r="G905" s="5"/>
    </row>
    <row r="906" spans="1:7" s="1" customFormat="1" x14ac:dyDescent="0.2">
      <c r="A906" s="5"/>
      <c r="B906" s="5"/>
      <c r="C906" s="5"/>
      <c r="D906" s="5"/>
      <c r="E906" s="5"/>
      <c r="F906" s="5"/>
      <c r="G906" s="5"/>
    </row>
    <row r="907" spans="1:7" s="1" customFormat="1" x14ac:dyDescent="0.2">
      <c r="A907" s="5"/>
      <c r="B907" s="5"/>
      <c r="C907" s="5"/>
      <c r="D907" s="5"/>
      <c r="E907" s="5"/>
      <c r="F907" s="5"/>
      <c r="G907" s="5"/>
    </row>
    <row r="908" spans="1:7" s="1" customFormat="1" x14ac:dyDescent="0.2">
      <c r="A908" s="5"/>
      <c r="B908" s="5"/>
      <c r="C908" s="5"/>
      <c r="D908" s="5"/>
      <c r="E908" s="5"/>
      <c r="F908" s="5"/>
      <c r="G908" s="5"/>
    </row>
    <row r="909" spans="1:7" s="1" customFormat="1" x14ac:dyDescent="0.2">
      <c r="A909" s="5"/>
      <c r="B909" s="5"/>
      <c r="C909" s="5"/>
      <c r="D909" s="5"/>
      <c r="E909" s="5"/>
      <c r="F909" s="5"/>
      <c r="G909" s="5"/>
    </row>
    <row r="910" spans="1:7" s="1" customFormat="1" x14ac:dyDescent="0.2">
      <c r="A910" s="5"/>
      <c r="B910" s="5"/>
      <c r="C910" s="5"/>
      <c r="D910" s="5"/>
      <c r="E910" s="5"/>
      <c r="F910" s="5"/>
      <c r="G910" s="5"/>
    </row>
    <row r="911" spans="1:7" s="1" customFormat="1" x14ac:dyDescent="0.2">
      <c r="A911" s="5"/>
      <c r="B911" s="5"/>
      <c r="C911" s="5"/>
      <c r="D911" s="5"/>
      <c r="E911" s="5"/>
      <c r="F911" s="5"/>
      <c r="G911" s="5"/>
    </row>
    <row r="912" spans="1:7" s="1" customFormat="1" x14ac:dyDescent="0.2">
      <c r="A912" s="5"/>
      <c r="B912" s="5"/>
      <c r="C912" s="5"/>
      <c r="D912" s="5"/>
      <c r="E912" s="5"/>
      <c r="F912" s="5"/>
      <c r="G912" s="5"/>
    </row>
    <row r="913" spans="1:7" s="1" customFormat="1" x14ac:dyDescent="0.2">
      <c r="A913" s="5"/>
      <c r="B913" s="5"/>
      <c r="C913" s="5"/>
      <c r="D913" s="5"/>
      <c r="E913" s="5"/>
      <c r="F913" s="5"/>
      <c r="G913" s="5"/>
    </row>
    <row r="914" spans="1:7" s="1" customFormat="1" x14ac:dyDescent="0.2">
      <c r="A914" s="5"/>
      <c r="B914" s="5"/>
      <c r="C914" s="5"/>
      <c r="D914" s="5"/>
      <c r="E914" s="5"/>
      <c r="F914" s="5"/>
      <c r="G914" s="5"/>
    </row>
    <row r="915" spans="1:7" s="1" customFormat="1" x14ac:dyDescent="0.2">
      <c r="A915" s="5"/>
      <c r="B915" s="5"/>
      <c r="C915" s="5"/>
      <c r="D915" s="5"/>
      <c r="E915" s="5"/>
      <c r="F915" s="5"/>
      <c r="G915" s="5"/>
    </row>
    <row r="916" spans="1:7" s="1" customFormat="1" x14ac:dyDescent="0.2">
      <c r="A916" s="5"/>
      <c r="B916" s="5"/>
      <c r="C916" s="5"/>
      <c r="D916" s="5"/>
      <c r="E916" s="5"/>
      <c r="F916" s="5"/>
      <c r="G916" s="5"/>
    </row>
    <row r="917" spans="1:7" s="1" customFormat="1" x14ac:dyDescent="0.2">
      <c r="A917" s="5"/>
      <c r="B917" s="5"/>
      <c r="C917" s="5"/>
      <c r="D917" s="5"/>
      <c r="E917" s="5"/>
      <c r="F917" s="5"/>
      <c r="G917" s="5"/>
    </row>
    <row r="918" spans="1:7" s="1" customFormat="1" x14ac:dyDescent="0.2">
      <c r="A918" s="5"/>
      <c r="B918" s="5"/>
      <c r="C918" s="5"/>
      <c r="D918" s="5"/>
      <c r="E918" s="5"/>
      <c r="F918" s="5"/>
      <c r="G918" s="5"/>
    </row>
    <row r="919" spans="1:7" s="1" customFormat="1" x14ac:dyDescent="0.2">
      <c r="A919" s="5"/>
      <c r="B919" s="5"/>
      <c r="C919" s="5"/>
      <c r="D919" s="5"/>
      <c r="E919" s="5"/>
      <c r="F919" s="5"/>
      <c r="G919" s="5"/>
    </row>
    <row r="920" spans="1:7" s="1" customFormat="1" x14ac:dyDescent="0.2">
      <c r="A920" s="5"/>
      <c r="B920" s="5"/>
      <c r="C920" s="5"/>
      <c r="D920" s="5"/>
      <c r="E920" s="5"/>
      <c r="F920" s="5"/>
      <c r="G920" s="5"/>
    </row>
    <row r="921" spans="1:7" s="1" customFormat="1" x14ac:dyDescent="0.2">
      <c r="A921" s="5"/>
      <c r="B921" s="5"/>
      <c r="C921" s="5"/>
      <c r="D921" s="5"/>
      <c r="E921" s="5"/>
      <c r="F921" s="5"/>
      <c r="G921" s="5"/>
    </row>
    <row r="922" spans="1:7" s="1" customFormat="1" x14ac:dyDescent="0.2">
      <c r="A922" s="5"/>
      <c r="B922" s="5"/>
      <c r="C922" s="5"/>
      <c r="D922" s="5"/>
      <c r="E922" s="5"/>
      <c r="F922" s="5"/>
      <c r="G922" s="5"/>
    </row>
    <row r="923" spans="1:7" s="1" customFormat="1" x14ac:dyDescent="0.2">
      <c r="A923" s="5"/>
      <c r="B923" s="5"/>
      <c r="C923" s="5"/>
      <c r="D923" s="5"/>
      <c r="E923" s="5"/>
      <c r="F923" s="5"/>
      <c r="G923" s="5"/>
    </row>
    <row r="924" spans="1:7" s="1" customFormat="1" x14ac:dyDescent="0.2">
      <c r="A924" s="5"/>
      <c r="B924" s="5"/>
      <c r="C924" s="5"/>
      <c r="D924" s="5"/>
      <c r="E924" s="5"/>
      <c r="F924" s="5"/>
      <c r="G924" s="5"/>
    </row>
    <row r="925" spans="1:7" s="1" customFormat="1" x14ac:dyDescent="0.2">
      <c r="A925" s="5"/>
      <c r="B925" s="5"/>
      <c r="C925" s="5"/>
      <c r="D925" s="5"/>
      <c r="E925" s="5"/>
      <c r="F925" s="5"/>
      <c r="G925" s="5"/>
    </row>
    <row r="926" spans="1:7" s="1" customFormat="1" x14ac:dyDescent="0.2">
      <c r="A926" s="5"/>
      <c r="B926" s="5"/>
      <c r="C926" s="5"/>
      <c r="D926" s="5"/>
      <c r="E926" s="5"/>
      <c r="F926" s="5"/>
      <c r="G926" s="5"/>
    </row>
    <row r="927" spans="1:7" s="1" customFormat="1" x14ac:dyDescent="0.2">
      <c r="A927" s="5"/>
      <c r="B927" s="5"/>
      <c r="C927" s="5"/>
      <c r="D927" s="5"/>
      <c r="E927" s="5"/>
      <c r="F927" s="5"/>
      <c r="G927" s="5"/>
    </row>
    <row r="928" spans="1:7" s="1" customFormat="1" x14ac:dyDescent="0.2">
      <c r="A928" s="5"/>
      <c r="B928" s="5"/>
      <c r="C928" s="5"/>
      <c r="D928" s="5"/>
      <c r="E928" s="5"/>
      <c r="F928" s="5"/>
      <c r="G928" s="5"/>
    </row>
    <row r="929" spans="1:7" s="1" customFormat="1" x14ac:dyDescent="0.2">
      <c r="A929" s="5"/>
      <c r="B929" s="5"/>
      <c r="C929" s="5"/>
      <c r="D929" s="5"/>
      <c r="E929" s="5"/>
      <c r="F929" s="5"/>
      <c r="G929" s="5"/>
    </row>
    <row r="930" spans="1:7" s="1" customFormat="1" x14ac:dyDescent="0.2">
      <c r="A930" s="5"/>
      <c r="B930" s="5"/>
      <c r="C930" s="5"/>
      <c r="D930" s="5"/>
      <c r="E930" s="5"/>
      <c r="F930" s="5"/>
      <c r="G930" s="5"/>
    </row>
    <row r="931" spans="1:7" s="1" customFormat="1" x14ac:dyDescent="0.2">
      <c r="A931" s="5"/>
      <c r="B931" s="5"/>
      <c r="C931" s="5"/>
      <c r="D931" s="5"/>
      <c r="E931" s="5"/>
      <c r="F931" s="5"/>
      <c r="G931" s="5"/>
    </row>
    <row r="932" spans="1:7" s="1" customFormat="1" x14ac:dyDescent="0.2">
      <c r="A932" s="5"/>
      <c r="B932" s="5"/>
      <c r="C932" s="5"/>
      <c r="D932" s="5"/>
      <c r="E932" s="5"/>
      <c r="F932" s="5"/>
      <c r="G932" s="5"/>
    </row>
    <row r="933" spans="1:7" s="1" customFormat="1" x14ac:dyDescent="0.2">
      <c r="A933" s="5"/>
      <c r="B933" s="5"/>
      <c r="C933" s="5"/>
      <c r="D933" s="5"/>
      <c r="E933" s="5"/>
      <c r="F933" s="5"/>
      <c r="G933" s="5"/>
    </row>
    <row r="934" spans="1:7" s="1" customFormat="1" x14ac:dyDescent="0.2">
      <c r="A934" s="5"/>
      <c r="B934" s="5"/>
      <c r="C934" s="5"/>
      <c r="D934" s="5"/>
      <c r="E934" s="5"/>
      <c r="F934" s="5"/>
      <c r="G934" s="5"/>
    </row>
    <row r="935" spans="1:7" s="1" customFormat="1" x14ac:dyDescent="0.2">
      <c r="A935" s="5"/>
      <c r="B935" s="5"/>
      <c r="C935" s="5"/>
      <c r="D935" s="5"/>
      <c r="E935" s="5"/>
      <c r="F935" s="5"/>
      <c r="G935" s="5"/>
    </row>
    <row r="936" spans="1:7" s="1" customFormat="1" x14ac:dyDescent="0.2">
      <c r="A936" s="5"/>
      <c r="B936" s="5"/>
      <c r="C936" s="5"/>
      <c r="D936" s="5"/>
      <c r="E936" s="5"/>
      <c r="F936" s="5"/>
      <c r="G936" s="5"/>
    </row>
    <row r="937" spans="1:7" s="1" customFormat="1" x14ac:dyDescent="0.2">
      <c r="A937" s="5"/>
      <c r="B937" s="5"/>
      <c r="C937" s="5"/>
      <c r="D937" s="5"/>
      <c r="E937" s="5"/>
      <c r="F937" s="5"/>
      <c r="G937" s="5"/>
    </row>
    <row r="938" spans="1:7" s="1" customFormat="1" x14ac:dyDescent="0.2">
      <c r="A938" s="5"/>
      <c r="B938" s="5"/>
      <c r="C938" s="5"/>
      <c r="D938" s="5"/>
      <c r="E938" s="5"/>
      <c r="F938" s="5"/>
      <c r="G938" s="5"/>
    </row>
    <row r="939" spans="1:7" s="1" customFormat="1" x14ac:dyDescent="0.2">
      <c r="A939" s="5"/>
      <c r="B939" s="5"/>
      <c r="C939" s="5"/>
      <c r="D939" s="5"/>
      <c r="E939" s="5"/>
      <c r="F939" s="5"/>
      <c r="G939" s="5"/>
    </row>
    <row r="940" spans="1:7" s="1" customFormat="1" x14ac:dyDescent="0.2">
      <c r="A940" s="5"/>
      <c r="B940" s="5"/>
      <c r="C940" s="5"/>
      <c r="D940" s="5"/>
      <c r="E940" s="5"/>
      <c r="F940" s="5"/>
      <c r="G940" s="5"/>
    </row>
    <row r="941" spans="1:7" s="1" customFormat="1" x14ac:dyDescent="0.2">
      <c r="A941" s="5"/>
      <c r="B941" s="5"/>
      <c r="C941" s="5"/>
      <c r="D941" s="5"/>
      <c r="E941" s="5"/>
      <c r="F941" s="5"/>
      <c r="G941" s="5"/>
    </row>
    <row r="942" spans="1:7" s="1" customFormat="1" x14ac:dyDescent="0.2">
      <c r="A942" s="5"/>
      <c r="B942" s="5"/>
      <c r="C942" s="5"/>
      <c r="D942" s="5"/>
      <c r="E942" s="5"/>
      <c r="F942" s="5"/>
      <c r="G942" s="5"/>
    </row>
    <row r="943" spans="1:7" s="1" customFormat="1" x14ac:dyDescent="0.2">
      <c r="A943" s="5"/>
      <c r="B943" s="5"/>
      <c r="C943" s="5"/>
      <c r="D943" s="5"/>
      <c r="E943" s="5"/>
      <c r="F943" s="5"/>
      <c r="G943" s="5"/>
    </row>
    <row r="944" spans="1:7" s="1" customFormat="1" x14ac:dyDescent="0.2">
      <c r="A944" s="5"/>
      <c r="B944" s="5"/>
      <c r="C944" s="5"/>
      <c r="D944" s="5"/>
      <c r="E944" s="5"/>
      <c r="F944" s="5"/>
      <c r="G944" s="5"/>
    </row>
    <row r="945" spans="1:7" s="1" customFormat="1" x14ac:dyDescent="0.2">
      <c r="A945" s="5"/>
      <c r="B945" s="5"/>
      <c r="C945" s="5"/>
      <c r="D945" s="5"/>
      <c r="E945" s="5"/>
      <c r="F945" s="5"/>
      <c r="G945" s="5"/>
    </row>
    <row r="946" spans="1:7" s="1" customFormat="1" x14ac:dyDescent="0.2">
      <c r="A946" s="5"/>
      <c r="B946" s="5"/>
      <c r="C946" s="5"/>
      <c r="D946" s="5"/>
      <c r="E946" s="5"/>
      <c r="F946" s="5"/>
      <c r="G946" s="5"/>
    </row>
    <row r="947" spans="1:7" s="1" customFormat="1" x14ac:dyDescent="0.2">
      <c r="A947" s="5"/>
      <c r="B947" s="5"/>
      <c r="C947" s="5"/>
      <c r="D947" s="5"/>
      <c r="E947" s="5"/>
      <c r="F947" s="5"/>
      <c r="G947" s="5"/>
    </row>
    <row r="948" spans="1:7" s="1" customFormat="1" x14ac:dyDescent="0.2">
      <c r="A948" s="5"/>
      <c r="B948" s="5"/>
      <c r="C948" s="5"/>
      <c r="D948" s="5"/>
      <c r="E948" s="5"/>
      <c r="F948" s="5"/>
      <c r="G948" s="5"/>
    </row>
    <row r="949" spans="1:7" s="1" customFormat="1" x14ac:dyDescent="0.2">
      <c r="A949" s="5"/>
      <c r="B949" s="5"/>
      <c r="C949" s="5"/>
      <c r="D949" s="5"/>
      <c r="E949" s="5"/>
      <c r="F949" s="5"/>
      <c r="G949" s="5"/>
    </row>
    <row r="950" spans="1:7" s="1" customFormat="1" x14ac:dyDescent="0.2">
      <c r="A950" s="5"/>
      <c r="B950" s="5"/>
      <c r="C950" s="5"/>
      <c r="D950" s="5"/>
      <c r="E950" s="5"/>
      <c r="F950" s="5"/>
      <c r="G950" s="5"/>
    </row>
    <row r="951" spans="1:7" s="1" customFormat="1" x14ac:dyDescent="0.2">
      <c r="A951" s="5"/>
      <c r="B951" s="5"/>
      <c r="C951" s="5"/>
      <c r="D951" s="5"/>
      <c r="E951" s="5"/>
      <c r="F951" s="5"/>
      <c r="G951" s="5"/>
    </row>
    <row r="952" spans="1:7" s="1" customFormat="1" x14ac:dyDescent="0.2">
      <c r="A952" s="5"/>
      <c r="B952" s="5"/>
      <c r="C952" s="5"/>
      <c r="D952" s="5"/>
      <c r="E952" s="5"/>
      <c r="F952" s="5"/>
      <c r="G952" s="5"/>
    </row>
    <row r="953" spans="1:7" s="1" customFormat="1" x14ac:dyDescent="0.2">
      <c r="A953" s="5"/>
      <c r="B953" s="5"/>
      <c r="C953" s="5"/>
      <c r="D953" s="5"/>
      <c r="E953" s="5"/>
      <c r="F953" s="5"/>
      <c r="G953" s="5"/>
    </row>
    <row r="954" spans="1:7" s="1" customFormat="1" x14ac:dyDescent="0.2">
      <c r="A954" s="5"/>
      <c r="B954" s="5"/>
      <c r="C954" s="5"/>
      <c r="D954" s="5"/>
      <c r="E954" s="5"/>
      <c r="F954" s="5"/>
      <c r="G954" s="5"/>
    </row>
    <row r="955" spans="1:7" s="1" customFormat="1" x14ac:dyDescent="0.2">
      <c r="A955" s="5"/>
      <c r="B955" s="5"/>
      <c r="C955" s="5"/>
      <c r="D955" s="5"/>
      <c r="E955" s="5"/>
      <c r="F955" s="5"/>
      <c r="G955" s="5"/>
    </row>
    <row r="956" spans="1:7" s="1" customFormat="1" x14ac:dyDescent="0.2">
      <c r="A956" s="5"/>
      <c r="B956" s="5"/>
      <c r="C956" s="5"/>
      <c r="D956" s="5"/>
      <c r="E956" s="5"/>
      <c r="F956" s="5"/>
      <c r="G956" s="5"/>
    </row>
    <row r="957" spans="1:7" s="1" customFormat="1" x14ac:dyDescent="0.2">
      <c r="A957" s="5"/>
      <c r="B957" s="5"/>
      <c r="C957" s="5"/>
      <c r="D957" s="5"/>
      <c r="E957" s="5"/>
      <c r="F957" s="5"/>
      <c r="G957" s="5"/>
    </row>
    <row r="958" spans="1:7" s="1" customFormat="1" x14ac:dyDescent="0.2">
      <c r="A958" s="5"/>
      <c r="B958" s="5"/>
      <c r="C958" s="5"/>
      <c r="D958" s="5"/>
      <c r="E958" s="5"/>
      <c r="F958" s="5"/>
      <c r="G958" s="5"/>
    </row>
    <row r="959" spans="1:7" s="1" customFormat="1" x14ac:dyDescent="0.2">
      <c r="A959" s="5"/>
      <c r="B959" s="5"/>
      <c r="C959" s="5"/>
      <c r="D959" s="5"/>
      <c r="E959" s="5"/>
      <c r="F959" s="5"/>
      <c r="G959" s="5"/>
    </row>
    <row r="960" spans="1:7" s="1" customFormat="1" x14ac:dyDescent="0.2">
      <c r="A960" s="5"/>
      <c r="B960" s="5"/>
      <c r="C960" s="5"/>
      <c r="D960" s="5"/>
      <c r="E960" s="5"/>
      <c r="F960" s="5"/>
      <c r="G960" s="5"/>
    </row>
    <row r="961" spans="1:7" s="1" customFormat="1" x14ac:dyDescent="0.2">
      <c r="A961" s="5"/>
      <c r="B961" s="5"/>
      <c r="C961" s="5"/>
      <c r="D961" s="5"/>
      <c r="E961" s="5"/>
      <c r="F961" s="5"/>
      <c r="G961" s="5"/>
    </row>
    <row r="962" spans="1:7" s="1" customFormat="1" x14ac:dyDescent="0.2">
      <c r="A962" s="5"/>
      <c r="B962" s="5"/>
      <c r="C962" s="5"/>
      <c r="D962" s="5"/>
      <c r="E962" s="5"/>
      <c r="F962" s="5"/>
      <c r="G962" s="5"/>
    </row>
    <row r="963" spans="1:7" s="1" customFormat="1" x14ac:dyDescent="0.2">
      <c r="A963" s="5"/>
      <c r="B963" s="5"/>
      <c r="C963" s="5"/>
      <c r="D963" s="5"/>
      <c r="E963" s="5"/>
      <c r="F963" s="5"/>
      <c r="G963" s="5"/>
    </row>
    <row r="964" spans="1:7" s="1" customFormat="1" x14ac:dyDescent="0.2">
      <c r="A964" s="5"/>
      <c r="B964" s="5"/>
      <c r="C964" s="5"/>
      <c r="D964" s="5"/>
      <c r="E964" s="5"/>
      <c r="F964" s="5"/>
      <c r="G964" s="5"/>
    </row>
    <row r="965" spans="1:7" s="1" customFormat="1" x14ac:dyDescent="0.2">
      <c r="A965" s="5"/>
      <c r="B965" s="5"/>
      <c r="C965" s="5"/>
      <c r="D965" s="5"/>
      <c r="E965" s="5"/>
      <c r="F965" s="5"/>
      <c r="G965" s="5"/>
    </row>
    <row r="966" spans="1:7" s="1" customFormat="1" x14ac:dyDescent="0.2">
      <c r="A966" s="5"/>
      <c r="B966" s="5"/>
      <c r="C966" s="5"/>
      <c r="D966" s="5"/>
      <c r="E966" s="5"/>
      <c r="F966" s="5"/>
      <c r="G966" s="5"/>
    </row>
    <row r="967" spans="1:7" s="1" customFormat="1" x14ac:dyDescent="0.2">
      <c r="A967" s="5"/>
      <c r="B967" s="5"/>
      <c r="C967" s="5"/>
      <c r="D967" s="5"/>
      <c r="E967" s="5"/>
      <c r="F967" s="5"/>
      <c r="G967" s="5"/>
    </row>
    <row r="968" spans="1:7" s="1" customFormat="1" x14ac:dyDescent="0.2">
      <c r="A968" s="5"/>
      <c r="B968" s="5"/>
      <c r="C968" s="5"/>
      <c r="D968" s="5"/>
      <c r="E968" s="5"/>
      <c r="F968" s="5"/>
      <c r="G968" s="5"/>
    </row>
    <row r="969" spans="1:7" s="1" customFormat="1" x14ac:dyDescent="0.2">
      <c r="A969" s="5"/>
      <c r="B969" s="5"/>
      <c r="C969" s="5"/>
      <c r="D969" s="5"/>
      <c r="E969" s="5"/>
      <c r="F969" s="5"/>
      <c r="G969" s="5"/>
    </row>
    <row r="970" spans="1:7" s="1" customFormat="1" x14ac:dyDescent="0.2">
      <c r="A970" s="5"/>
      <c r="B970" s="5"/>
      <c r="C970" s="5"/>
      <c r="D970" s="5"/>
      <c r="E970" s="5"/>
      <c r="F970" s="5"/>
      <c r="G970" s="5"/>
    </row>
    <row r="971" spans="1:7" s="1" customFormat="1" x14ac:dyDescent="0.2">
      <c r="A971" s="5"/>
      <c r="B971" s="5"/>
      <c r="C971" s="5"/>
      <c r="D971" s="5"/>
      <c r="E971" s="5"/>
      <c r="F971" s="5"/>
      <c r="G971" s="5"/>
    </row>
    <row r="972" spans="1:7" s="1" customFormat="1" x14ac:dyDescent="0.2">
      <c r="A972" s="5"/>
      <c r="B972" s="5"/>
      <c r="C972" s="5"/>
      <c r="D972" s="5"/>
      <c r="E972" s="5"/>
      <c r="F972" s="5"/>
      <c r="G972" s="5"/>
    </row>
    <row r="973" spans="1:7" s="1" customFormat="1" x14ac:dyDescent="0.2">
      <c r="A973" s="5"/>
      <c r="B973" s="5"/>
      <c r="C973" s="5"/>
      <c r="D973" s="5"/>
      <c r="E973" s="5"/>
      <c r="F973" s="5"/>
      <c r="G973" s="5"/>
    </row>
    <row r="974" spans="1:7" s="1" customFormat="1" x14ac:dyDescent="0.2">
      <c r="A974" s="5"/>
      <c r="B974" s="5"/>
      <c r="C974" s="5"/>
      <c r="D974" s="5"/>
      <c r="E974" s="5"/>
      <c r="F974" s="5"/>
      <c r="G974" s="5"/>
    </row>
    <row r="975" spans="1:7" s="1" customFormat="1" x14ac:dyDescent="0.2">
      <c r="A975" s="5"/>
      <c r="B975" s="5"/>
      <c r="C975" s="5"/>
      <c r="D975" s="5"/>
      <c r="E975" s="5"/>
      <c r="F975" s="5"/>
      <c r="G975" s="5"/>
    </row>
    <row r="976" spans="1:7" s="1" customFormat="1" x14ac:dyDescent="0.2">
      <c r="A976" s="5"/>
      <c r="B976" s="5"/>
      <c r="C976" s="5"/>
      <c r="D976" s="5"/>
      <c r="E976" s="5"/>
      <c r="F976" s="5"/>
      <c r="G976" s="5"/>
    </row>
    <row r="977" spans="1:7" s="1" customFormat="1" x14ac:dyDescent="0.2">
      <c r="A977" s="5"/>
      <c r="B977" s="5"/>
      <c r="C977" s="5"/>
      <c r="D977" s="5"/>
      <c r="E977" s="5"/>
      <c r="F977" s="5"/>
      <c r="G977" s="5"/>
    </row>
    <row r="978" spans="1:7" s="1" customFormat="1" x14ac:dyDescent="0.2">
      <c r="A978" s="5"/>
      <c r="B978" s="5"/>
      <c r="C978" s="5"/>
      <c r="D978" s="5"/>
      <c r="E978" s="5"/>
      <c r="F978" s="5"/>
      <c r="G978" s="5"/>
    </row>
    <row r="979" spans="1:7" s="1" customFormat="1" x14ac:dyDescent="0.2">
      <c r="A979" s="5"/>
      <c r="B979" s="5"/>
      <c r="C979" s="5"/>
      <c r="D979" s="5"/>
      <c r="E979" s="5"/>
      <c r="F979" s="5"/>
      <c r="G979" s="5"/>
    </row>
    <row r="980" spans="1:7" s="1" customFormat="1" x14ac:dyDescent="0.2">
      <c r="A980" s="5"/>
      <c r="B980" s="5"/>
      <c r="C980" s="5"/>
      <c r="D980" s="5"/>
      <c r="E980" s="5"/>
      <c r="F980" s="5"/>
      <c r="G980" s="5"/>
    </row>
    <row r="981" spans="1:7" s="1" customFormat="1" x14ac:dyDescent="0.2">
      <c r="A981" s="5"/>
      <c r="B981" s="5"/>
      <c r="C981" s="5"/>
      <c r="D981" s="5"/>
      <c r="E981" s="5"/>
      <c r="F981" s="5"/>
      <c r="G981" s="5"/>
    </row>
    <row r="982" spans="1:7" s="1" customFormat="1" x14ac:dyDescent="0.2">
      <c r="A982" s="5"/>
      <c r="B982" s="5"/>
      <c r="C982" s="5"/>
      <c r="D982" s="5"/>
      <c r="E982" s="5"/>
      <c r="F982" s="5"/>
      <c r="G982" s="5"/>
    </row>
    <row r="983" spans="1:7" s="1" customFormat="1" x14ac:dyDescent="0.2">
      <c r="A983" s="5"/>
      <c r="B983" s="5"/>
      <c r="C983" s="5"/>
      <c r="D983" s="5"/>
      <c r="E983" s="5"/>
      <c r="F983" s="5"/>
      <c r="G983" s="5"/>
    </row>
    <row r="984" spans="1:7" s="1" customFormat="1" x14ac:dyDescent="0.2">
      <c r="A984" s="5"/>
      <c r="B984" s="5"/>
      <c r="C984" s="5"/>
      <c r="D984" s="5"/>
      <c r="E984" s="5"/>
      <c r="F984" s="5"/>
      <c r="G984" s="5"/>
    </row>
    <row r="985" spans="1:7" s="1" customFormat="1" x14ac:dyDescent="0.2">
      <c r="A985" s="5"/>
      <c r="B985" s="5"/>
      <c r="C985" s="5"/>
      <c r="D985" s="5"/>
      <c r="E985" s="5"/>
      <c r="F985" s="5"/>
      <c r="G985" s="5"/>
    </row>
    <row r="986" spans="1:7" s="1" customFormat="1" x14ac:dyDescent="0.2">
      <c r="A986" s="5"/>
      <c r="B986" s="5"/>
      <c r="C986" s="5"/>
      <c r="D986" s="5"/>
      <c r="E986" s="5"/>
      <c r="F986" s="5"/>
      <c r="G986" s="5"/>
    </row>
    <row r="987" spans="1:7" s="1" customFormat="1" x14ac:dyDescent="0.2">
      <c r="A987" s="5"/>
      <c r="B987" s="5"/>
      <c r="C987" s="5"/>
      <c r="D987" s="5"/>
      <c r="E987" s="5"/>
      <c r="F987" s="5"/>
      <c r="G987" s="5"/>
    </row>
    <row r="988" spans="1:7" s="1" customFormat="1" x14ac:dyDescent="0.2">
      <c r="A988" s="5"/>
      <c r="B988" s="5"/>
      <c r="C988" s="5"/>
      <c r="D988" s="5"/>
      <c r="E988" s="5"/>
      <c r="F988" s="5"/>
      <c r="G988" s="5"/>
    </row>
    <row r="989" spans="1:7" s="1" customFormat="1" x14ac:dyDescent="0.2">
      <c r="A989" s="5"/>
      <c r="B989" s="5"/>
      <c r="C989" s="5"/>
      <c r="D989" s="5"/>
      <c r="E989" s="5"/>
      <c r="F989" s="5"/>
      <c r="G989" s="5"/>
    </row>
    <row r="990" spans="1:7" s="1" customFormat="1" x14ac:dyDescent="0.2">
      <c r="A990" s="5"/>
      <c r="B990" s="5"/>
      <c r="C990" s="5"/>
      <c r="D990" s="5"/>
      <c r="E990" s="5"/>
      <c r="F990" s="5"/>
      <c r="G990" s="5"/>
    </row>
    <row r="991" spans="1:7" s="1" customFormat="1" x14ac:dyDescent="0.2">
      <c r="A991" s="5"/>
      <c r="B991" s="5"/>
      <c r="C991" s="5"/>
      <c r="D991" s="5"/>
      <c r="E991" s="5"/>
      <c r="F991" s="5"/>
      <c r="G991" s="5"/>
    </row>
    <row r="992" spans="1:7" s="1" customFormat="1" x14ac:dyDescent="0.2">
      <c r="A992" s="5"/>
      <c r="B992" s="5"/>
      <c r="C992" s="5"/>
      <c r="D992" s="5"/>
      <c r="E992" s="5"/>
      <c r="F992" s="5"/>
      <c r="G992" s="5"/>
    </row>
    <row r="993" spans="1:7" s="1" customFormat="1" x14ac:dyDescent="0.2">
      <c r="A993" s="5"/>
      <c r="B993" s="5"/>
      <c r="C993" s="5"/>
      <c r="D993" s="5"/>
      <c r="E993" s="5"/>
      <c r="F993" s="5"/>
      <c r="G993" s="5"/>
    </row>
    <row r="994" spans="1:7" s="1" customFormat="1" x14ac:dyDescent="0.2">
      <c r="A994" s="5"/>
      <c r="B994" s="5"/>
      <c r="C994" s="5"/>
      <c r="D994" s="5"/>
      <c r="E994" s="5"/>
      <c r="F994" s="5"/>
      <c r="G994" s="5"/>
    </row>
    <row r="995" spans="1:7" s="1" customFormat="1" x14ac:dyDescent="0.2">
      <c r="A995" s="5"/>
      <c r="B995" s="5"/>
      <c r="C995" s="5"/>
      <c r="D995" s="5"/>
      <c r="E995" s="5"/>
      <c r="F995" s="5"/>
      <c r="G995" s="5"/>
    </row>
    <row r="996" spans="1:7" s="1" customFormat="1" x14ac:dyDescent="0.2">
      <c r="A996" s="5"/>
      <c r="B996" s="5"/>
      <c r="C996" s="5"/>
      <c r="D996" s="5"/>
      <c r="E996" s="5"/>
      <c r="F996" s="5"/>
      <c r="G996" s="5"/>
    </row>
    <row r="997" spans="1:7" s="1" customFormat="1" x14ac:dyDescent="0.2">
      <c r="A997" s="5"/>
      <c r="B997" s="5"/>
      <c r="C997" s="5"/>
      <c r="D997" s="5"/>
      <c r="E997" s="5"/>
      <c r="F997" s="5"/>
      <c r="G997" s="5"/>
    </row>
    <row r="998" spans="1:7" s="1" customFormat="1" x14ac:dyDescent="0.2">
      <c r="A998" s="5"/>
      <c r="B998" s="5"/>
      <c r="C998" s="5"/>
      <c r="D998" s="5"/>
      <c r="E998" s="5"/>
      <c r="F998" s="5"/>
      <c r="G998" s="5"/>
    </row>
    <row r="999" spans="1:7" s="1" customFormat="1" x14ac:dyDescent="0.2">
      <c r="A999" s="5"/>
      <c r="B999" s="5"/>
      <c r="C999" s="5"/>
      <c r="D999" s="5"/>
      <c r="E999" s="5"/>
      <c r="F999" s="5"/>
      <c r="G999" s="5"/>
    </row>
    <row r="1000" spans="1:7" s="1" customFormat="1" x14ac:dyDescent="0.2">
      <c r="A1000" s="5"/>
      <c r="B1000" s="5"/>
      <c r="C1000" s="5"/>
      <c r="D1000" s="5"/>
      <c r="E1000" s="5"/>
      <c r="F1000" s="5"/>
      <c r="G1000" s="5"/>
    </row>
    <row r="1001" spans="1:7" s="1" customFormat="1" x14ac:dyDescent="0.2">
      <c r="A1001" s="5"/>
      <c r="B1001" s="5"/>
      <c r="C1001" s="5"/>
      <c r="D1001" s="5"/>
      <c r="E1001" s="5"/>
      <c r="F1001" s="5"/>
      <c r="G1001" s="5"/>
    </row>
    <row r="1002" spans="1:7" s="1" customFormat="1" x14ac:dyDescent="0.2">
      <c r="A1002" s="5"/>
      <c r="B1002" s="5"/>
      <c r="C1002" s="5"/>
      <c r="D1002" s="5"/>
      <c r="E1002" s="5"/>
      <c r="F1002" s="5"/>
      <c r="G1002" s="5"/>
    </row>
    <row r="1003" spans="1:7" s="1" customFormat="1" x14ac:dyDescent="0.2">
      <c r="A1003" s="5"/>
      <c r="B1003" s="5"/>
      <c r="C1003" s="5"/>
      <c r="D1003" s="5"/>
      <c r="E1003" s="5"/>
      <c r="F1003" s="5"/>
      <c r="G1003" s="5"/>
    </row>
    <row r="1004" spans="1:7" s="1" customFormat="1" x14ac:dyDescent="0.2">
      <c r="A1004" s="5"/>
      <c r="B1004" s="5"/>
      <c r="C1004" s="5"/>
      <c r="D1004" s="5"/>
      <c r="E1004" s="5"/>
      <c r="F1004" s="5"/>
      <c r="G1004" s="5"/>
    </row>
    <row r="1005" spans="1:7" s="1" customFormat="1" x14ac:dyDescent="0.2">
      <c r="A1005" s="5"/>
      <c r="B1005" s="5"/>
      <c r="C1005" s="5"/>
      <c r="D1005" s="5"/>
      <c r="E1005" s="5"/>
      <c r="F1005" s="5"/>
      <c r="G1005" s="5"/>
    </row>
    <row r="1006" spans="1:7" s="1" customFormat="1" x14ac:dyDescent="0.2">
      <c r="A1006" s="5"/>
      <c r="B1006" s="5"/>
      <c r="C1006" s="5"/>
      <c r="D1006" s="5"/>
      <c r="E1006" s="5"/>
      <c r="F1006" s="5"/>
      <c r="G1006" s="5"/>
    </row>
    <row r="1007" spans="1:7" s="1" customFormat="1" x14ac:dyDescent="0.2">
      <c r="A1007" s="5"/>
      <c r="B1007" s="5"/>
      <c r="C1007" s="5"/>
      <c r="D1007" s="5"/>
      <c r="E1007" s="5"/>
      <c r="F1007" s="5"/>
      <c r="G1007" s="5"/>
    </row>
    <row r="1008" spans="1:7" s="1" customFormat="1" x14ac:dyDescent="0.2">
      <c r="A1008" s="5"/>
      <c r="B1008" s="5"/>
      <c r="C1008" s="5"/>
      <c r="D1008" s="5"/>
      <c r="E1008" s="5"/>
      <c r="F1008" s="5"/>
      <c r="G1008" s="5"/>
    </row>
    <row r="1009" spans="1:7" s="1" customFormat="1" x14ac:dyDescent="0.2">
      <c r="A1009" s="5"/>
      <c r="B1009" s="5"/>
      <c r="C1009" s="5"/>
      <c r="D1009" s="5"/>
      <c r="E1009" s="5"/>
      <c r="F1009" s="5"/>
      <c r="G1009" s="5"/>
    </row>
    <row r="1010" spans="1:7" s="1" customFormat="1" x14ac:dyDescent="0.2">
      <c r="A1010" s="5"/>
      <c r="B1010" s="5"/>
      <c r="C1010" s="5"/>
      <c r="D1010" s="5"/>
      <c r="E1010" s="5"/>
      <c r="F1010" s="5"/>
      <c r="G1010" s="5"/>
    </row>
    <row r="1011" spans="1:7" s="1" customFormat="1" x14ac:dyDescent="0.2">
      <c r="A1011" s="5"/>
      <c r="B1011" s="5"/>
      <c r="C1011" s="5"/>
      <c r="D1011" s="5"/>
      <c r="E1011" s="5"/>
      <c r="F1011" s="5"/>
      <c r="G1011" s="5"/>
    </row>
    <row r="1012" spans="1:7" s="1" customFormat="1" x14ac:dyDescent="0.2">
      <c r="A1012" s="5"/>
      <c r="B1012" s="5"/>
      <c r="C1012" s="5"/>
      <c r="D1012" s="5"/>
      <c r="E1012" s="5"/>
      <c r="F1012" s="5"/>
      <c r="G1012" s="5"/>
    </row>
    <row r="1013" spans="1:7" s="1" customFormat="1" x14ac:dyDescent="0.2">
      <c r="A1013" s="5"/>
      <c r="B1013" s="5"/>
      <c r="C1013" s="5"/>
      <c r="D1013" s="5"/>
      <c r="E1013" s="5"/>
      <c r="F1013" s="5"/>
      <c r="G1013" s="5"/>
    </row>
    <row r="1014" spans="1:7" s="1" customFormat="1" x14ac:dyDescent="0.2">
      <c r="A1014" s="5"/>
      <c r="B1014" s="5"/>
      <c r="C1014" s="5"/>
      <c r="D1014" s="5"/>
      <c r="E1014" s="5"/>
      <c r="F1014" s="5"/>
      <c r="G1014" s="5"/>
    </row>
    <row r="1015" spans="1:7" s="1" customFormat="1" x14ac:dyDescent="0.2">
      <c r="A1015" s="5"/>
      <c r="B1015" s="5"/>
      <c r="C1015" s="5"/>
      <c r="D1015" s="5"/>
      <c r="E1015" s="5"/>
      <c r="F1015" s="5"/>
      <c r="G1015" s="5"/>
    </row>
    <row r="1016" spans="1:7" s="1" customFormat="1" x14ac:dyDescent="0.2">
      <c r="A1016" s="5"/>
      <c r="B1016" s="5"/>
      <c r="C1016" s="5"/>
      <c r="D1016" s="5"/>
      <c r="E1016" s="5"/>
      <c r="F1016" s="5"/>
      <c r="G1016" s="5"/>
    </row>
    <row r="1017" spans="1:7" s="1" customFormat="1" x14ac:dyDescent="0.2">
      <c r="A1017" s="5"/>
      <c r="B1017" s="5"/>
      <c r="C1017" s="5"/>
      <c r="D1017" s="5"/>
      <c r="E1017" s="5"/>
      <c r="F1017" s="5"/>
      <c r="G1017" s="5"/>
    </row>
    <row r="1018" spans="1:7" s="1" customFormat="1" x14ac:dyDescent="0.2">
      <c r="A1018" s="5"/>
      <c r="B1018" s="5"/>
      <c r="C1018" s="5"/>
      <c r="D1018" s="5"/>
      <c r="E1018" s="5"/>
      <c r="F1018" s="5"/>
      <c r="G1018" s="5"/>
    </row>
    <row r="1019" spans="1:7" s="1" customFormat="1" x14ac:dyDescent="0.2">
      <c r="A1019" s="5"/>
      <c r="B1019" s="5"/>
      <c r="C1019" s="5"/>
      <c r="D1019" s="5"/>
      <c r="E1019" s="5"/>
      <c r="F1019" s="5"/>
      <c r="G1019" s="5"/>
    </row>
    <row r="1020" spans="1:7" s="1" customFormat="1" x14ac:dyDescent="0.2">
      <c r="A1020" s="5"/>
      <c r="B1020" s="5"/>
      <c r="C1020" s="5"/>
      <c r="D1020" s="5"/>
      <c r="E1020" s="5"/>
      <c r="F1020" s="5"/>
      <c r="G1020" s="5"/>
    </row>
    <row r="1021" spans="1:7" s="1" customFormat="1" x14ac:dyDescent="0.2">
      <c r="A1021" s="5"/>
      <c r="B1021" s="5"/>
      <c r="C1021" s="5"/>
      <c r="D1021" s="5"/>
      <c r="E1021" s="5"/>
      <c r="F1021" s="5"/>
      <c r="G1021" s="5"/>
    </row>
    <row r="1022" spans="1:7" s="1" customFormat="1" x14ac:dyDescent="0.2">
      <c r="A1022" s="5"/>
      <c r="B1022" s="5"/>
      <c r="C1022" s="5"/>
      <c r="D1022" s="5"/>
      <c r="E1022" s="5"/>
      <c r="F1022" s="5"/>
      <c r="G1022" s="5"/>
    </row>
    <row r="1023" spans="1:7" s="1" customFormat="1" x14ac:dyDescent="0.2">
      <c r="A1023" s="5"/>
      <c r="B1023" s="5"/>
      <c r="C1023" s="5"/>
      <c r="D1023" s="5"/>
      <c r="E1023" s="5"/>
      <c r="F1023" s="5"/>
      <c r="G1023" s="5"/>
    </row>
    <row r="1024" spans="1:7" s="1" customFormat="1" x14ac:dyDescent="0.2">
      <c r="A1024" s="5"/>
      <c r="B1024" s="5"/>
      <c r="C1024" s="5"/>
      <c r="D1024" s="5"/>
      <c r="E1024" s="5"/>
      <c r="F1024" s="5"/>
      <c r="G1024" s="5"/>
    </row>
    <row r="1025" spans="1:7" s="1" customFormat="1" x14ac:dyDescent="0.2">
      <c r="A1025" s="5"/>
      <c r="B1025" s="5"/>
      <c r="C1025" s="5"/>
      <c r="D1025" s="5"/>
      <c r="E1025" s="5"/>
      <c r="F1025" s="5"/>
      <c r="G1025" s="5"/>
    </row>
    <row r="1026" spans="1:7" s="1" customFormat="1" x14ac:dyDescent="0.2">
      <c r="A1026" s="5"/>
      <c r="B1026" s="5"/>
      <c r="C1026" s="5"/>
      <c r="D1026" s="5"/>
      <c r="E1026" s="5"/>
      <c r="F1026" s="5"/>
      <c r="G1026" s="5"/>
    </row>
    <row r="1027" spans="1:7" s="1" customFormat="1" x14ac:dyDescent="0.2">
      <c r="A1027" s="5"/>
      <c r="B1027" s="5"/>
      <c r="C1027" s="5"/>
      <c r="D1027" s="5"/>
      <c r="E1027" s="5"/>
      <c r="F1027" s="5"/>
      <c r="G1027" s="5"/>
    </row>
    <row r="1028" spans="1:7" s="1" customFormat="1" x14ac:dyDescent="0.2">
      <c r="A1028" s="5"/>
      <c r="B1028" s="5"/>
      <c r="C1028" s="5"/>
      <c r="D1028" s="5"/>
      <c r="E1028" s="5"/>
      <c r="F1028" s="5"/>
      <c r="G1028" s="5"/>
    </row>
    <row r="1029" spans="1:7" s="1" customFormat="1" x14ac:dyDescent="0.2">
      <c r="A1029" s="5"/>
      <c r="B1029" s="5"/>
      <c r="C1029" s="5"/>
      <c r="D1029" s="5"/>
      <c r="E1029" s="5"/>
      <c r="F1029" s="5"/>
      <c r="G1029" s="5"/>
    </row>
    <row r="1030" spans="1:7" s="1" customFormat="1" x14ac:dyDescent="0.2">
      <c r="A1030" s="5"/>
      <c r="B1030" s="5"/>
      <c r="C1030" s="5"/>
      <c r="D1030" s="5"/>
      <c r="E1030" s="5"/>
      <c r="F1030" s="5"/>
      <c r="G1030" s="5"/>
    </row>
    <row r="1031" spans="1:7" s="1" customFormat="1" x14ac:dyDescent="0.2">
      <c r="A1031" s="5"/>
      <c r="B1031" s="5"/>
      <c r="C1031" s="5"/>
      <c r="D1031" s="5"/>
      <c r="E1031" s="5"/>
      <c r="F1031" s="5"/>
      <c r="G1031" s="5"/>
    </row>
    <row r="1032" spans="1:7" s="1" customFormat="1" x14ac:dyDescent="0.2">
      <c r="A1032" s="5"/>
      <c r="B1032" s="5"/>
      <c r="C1032" s="5"/>
      <c r="D1032" s="5"/>
      <c r="E1032" s="5"/>
      <c r="F1032" s="5"/>
      <c r="G1032" s="5"/>
    </row>
    <row r="1033" spans="1:7" s="1" customFormat="1" x14ac:dyDescent="0.2">
      <c r="A1033" s="5"/>
      <c r="B1033" s="5"/>
      <c r="C1033" s="5"/>
      <c r="D1033" s="5"/>
      <c r="E1033" s="5"/>
      <c r="F1033" s="5"/>
      <c r="G1033" s="5"/>
    </row>
    <row r="1034" spans="1:7" s="1" customFormat="1" x14ac:dyDescent="0.2">
      <c r="A1034" s="5"/>
      <c r="B1034" s="5"/>
      <c r="C1034" s="5"/>
      <c r="D1034" s="5"/>
      <c r="E1034" s="5"/>
      <c r="F1034" s="5"/>
      <c r="G1034" s="5"/>
    </row>
    <row r="1035" spans="1:7" s="1" customFormat="1" x14ac:dyDescent="0.2">
      <c r="A1035" s="5"/>
      <c r="B1035" s="5"/>
      <c r="C1035" s="5"/>
      <c r="D1035" s="5"/>
      <c r="E1035" s="5"/>
      <c r="F1035" s="5"/>
      <c r="G1035" s="5"/>
    </row>
    <row r="1036" spans="1:7" s="1" customFormat="1" x14ac:dyDescent="0.2">
      <c r="A1036" s="5"/>
      <c r="B1036" s="5"/>
      <c r="C1036" s="5"/>
      <c r="D1036" s="5"/>
      <c r="E1036" s="5"/>
      <c r="F1036" s="5"/>
      <c r="G1036" s="5"/>
    </row>
    <row r="1037" spans="1:7" s="1" customFormat="1" x14ac:dyDescent="0.2">
      <c r="A1037" s="5"/>
      <c r="B1037" s="5"/>
      <c r="C1037" s="5"/>
      <c r="D1037" s="5"/>
      <c r="E1037" s="5"/>
      <c r="F1037" s="5"/>
      <c r="G1037" s="5"/>
    </row>
    <row r="1038" spans="1:7" s="1" customFormat="1" x14ac:dyDescent="0.2">
      <c r="A1038" s="5"/>
      <c r="B1038" s="5"/>
      <c r="C1038" s="5"/>
      <c r="D1038" s="5"/>
      <c r="E1038" s="5"/>
      <c r="F1038" s="5"/>
      <c r="G1038" s="5"/>
    </row>
    <row r="1039" spans="1:7" s="1" customFormat="1" x14ac:dyDescent="0.2">
      <c r="A1039" s="5"/>
      <c r="B1039" s="5"/>
      <c r="C1039" s="5"/>
      <c r="D1039" s="5"/>
      <c r="E1039" s="5"/>
      <c r="F1039" s="5"/>
      <c r="G1039" s="5"/>
    </row>
    <row r="1040" spans="1:7" s="1" customFormat="1" x14ac:dyDescent="0.2">
      <c r="A1040" s="5"/>
      <c r="B1040" s="5"/>
      <c r="C1040" s="5"/>
      <c r="D1040" s="5"/>
      <c r="E1040" s="5"/>
      <c r="F1040" s="5"/>
      <c r="G1040" s="5"/>
    </row>
    <row r="1041" spans="1:7" s="1" customFormat="1" x14ac:dyDescent="0.2">
      <c r="A1041" s="5"/>
      <c r="B1041" s="5"/>
      <c r="C1041" s="5"/>
      <c r="D1041" s="5"/>
      <c r="E1041" s="5"/>
      <c r="F1041" s="5"/>
      <c r="G1041" s="5"/>
    </row>
    <row r="1042" spans="1:7" s="1" customFormat="1" x14ac:dyDescent="0.2">
      <c r="A1042" s="5"/>
      <c r="B1042" s="5"/>
      <c r="C1042" s="5"/>
      <c r="D1042" s="5"/>
      <c r="E1042" s="5"/>
      <c r="F1042" s="5"/>
      <c r="G1042" s="5"/>
    </row>
    <row r="1043" spans="1:7" s="1" customFormat="1" x14ac:dyDescent="0.2">
      <c r="A1043" s="5"/>
      <c r="B1043" s="5"/>
      <c r="C1043" s="5"/>
      <c r="D1043" s="5"/>
      <c r="E1043" s="5"/>
      <c r="F1043" s="5"/>
      <c r="G1043" s="5"/>
    </row>
    <row r="1044" spans="1:7" s="1" customFormat="1" x14ac:dyDescent="0.2">
      <c r="A1044" s="5"/>
      <c r="B1044" s="5"/>
      <c r="C1044" s="5"/>
      <c r="D1044" s="5"/>
      <c r="E1044" s="5"/>
      <c r="F1044" s="5"/>
      <c r="G1044" s="5"/>
    </row>
    <row r="1045" spans="1:7" s="1" customFormat="1" x14ac:dyDescent="0.2">
      <c r="A1045" s="5"/>
      <c r="B1045" s="5"/>
      <c r="C1045" s="5"/>
      <c r="D1045" s="5"/>
      <c r="E1045" s="5"/>
      <c r="F1045" s="5"/>
      <c r="G1045" s="5"/>
    </row>
    <row r="1046" spans="1:7" s="1" customFormat="1" x14ac:dyDescent="0.2">
      <c r="A1046" s="5"/>
      <c r="B1046" s="5"/>
      <c r="C1046" s="5"/>
      <c r="D1046" s="5"/>
      <c r="E1046" s="5"/>
      <c r="F1046" s="5"/>
      <c r="G1046" s="5"/>
    </row>
    <row r="1047" spans="1:7" s="1" customFormat="1" x14ac:dyDescent="0.2">
      <c r="A1047" s="5"/>
      <c r="B1047" s="5"/>
      <c r="C1047" s="5"/>
      <c r="D1047" s="5"/>
      <c r="E1047" s="5"/>
      <c r="F1047" s="5"/>
      <c r="G1047" s="5"/>
    </row>
    <row r="1048" spans="1:7" s="1" customFormat="1" x14ac:dyDescent="0.2">
      <c r="A1048" s="5"/>
      <c r="B1048" s="5"/>
      <c r="C1048" s="5"/>
      <c r="D1048" s="5"/>
      <c r="E1048" s="5"/>
      <c r="F1048" s="5"/>
      <c r="G1048" s="5"/>
    </row>
    <row r="1049" spans="1:7" s="1" customFormat="1" x14ac:dyDescent="0.2">
      <c r="A1049" s="5"/>
      <c r="B1049" s="5"/>
      <c r="C1049" s="5"/>
      <c r="D1049" s="5"/>
      <c r="E1049" s="5"/>
      <c r="F1049" s="5"/>
      <c r="G1049" s="5"/>
    </row>
    <row r="1050" spans="1:7" s="1" customFormat="1" x14ac:dyDescent="0.2">
      <c r="A1050" s="5"/>
      <c r="B1050" s="5"/>
      <c r="C1050" s="5"/>
      <c r="D1050" s="5"/>
      <c r="E1050" s="5"/>
      <c r="F1050" s="5"/>
      <c r="G1050" s="5"/>
    </row>
    <row r="1051" spans="1:7" s="1" customFormat="1" x14ac:dyDescent="0.2">
      <c r="A1051" s="5"/>
      <c r="B1051" s="5"/>
      <c r="C1051" s="5"/>
      <c r="D1051" s="5"/>
      <c r="E1051" s="5"/>
      <c r="F1051" s="5"/>
      <c r="G1051" s="5"/>
    </row>
    <row r="1052" spans="1:7" s="1" customFormat="1" x14ac:dyDescent="0.2">
      <c r="A1052" s="5"/>
      <c r="B1052" s="5"/>
      <c r="C1052" s="5"/>
      <c r="D1052" s="5"/>
      <c r="E1052" s="5"/>
      <c r="F1052" s="5"/>
      <c r="G1052" s="5"/>
    </row>
    <row r="1053" spans="1:7" s="1" customFormat="1" x14ac:dyDescent="0.2">
      <c r="A1053" s="5"/>
      <c r="B1053" s="5"/>
      <c r="C1053" s="5"/>
      <c r="D1053" s="5"/>
      <c r="E1053" s="5"/>
      <c r="F1053" s="5"/>
      <c r="G1053" s="5"/>
    </row>
    <row r="1054" spans="1:7" s="1" customFormat="1" x14ac:dyDescent="0.2">
      <c r="A1054" s="5"/>
      <c r="B1054" s="5"/>
      <c r="C1054" s="5"/>
      <c r="D1054" s="5"/>
      <c r="E1054" s="5"/>
      <c r="F1054" s="5"/>
      <c r="G1054" s="5"/>
    </row>
    <row r="1055" spans="1:7" s="1" customFormat="1" x14ac:dyDescent="0.2">
      <c r="A1055" s="5"/>
      <c r="B1055" s="5"/>
      <c r="C1055" s="5"/>
      <c r="D1055" s="5"/>
      <c r="E1055" s="5"/>
      <c r="F1055" s="5"/>
      <c r="G1055" s="5"/>
    </row>
    <row r="1056" spans="1:7" s="1" customFormat="1" x14ac:dyDescent="0.2">
      <c r="A1056" s="5"/>
      <c r="B1056" s="5"/>
      <c r="C1056" s="5"/>
      <c r="D1056" s="5"/>
      <c r="E1056" s="5"/>
      <c r="F1056" s="5"/>
      <c r="G1056" s="5"/>
    </row>
    <row r="1057" spans="1:7" s="1" customFormat="1" x14ac:dyDescent="0.2">
      <c r="A1057" s="5"/>
      <c r="B1057" s="5"/>
      <c r="C1057" s="5"/>
      <c r="D1057" s="5"/>
      <c r="E1057" s="5"/>
      <c r="F1057" s="5"/>
      <c r="G1057" s="5"/>
    </row>
    <row r="1058" spans="1:7" s="1" customFormat="1" x14ac:dyDescent="0.2">
      <c r="A1058" s="5"/>
      <c r="B1058" s="5"/>
      <c r="C1058" s="5"/>
      <c r="D1058" s="5"/>
      <c r="E1058" s="5"/>
      <c r="F1058" s="5"/>
      <c r="G1058" s="5"/>
    </row>
    <row r="1059" spans="1:7" s="1" customFormat="1" x14ac:dyDescent="0.2">
      <c r="A1059" s="5"/>
      <c r="B1059" s="5"/>
      <c r="C1059" s="5"/>
      <c r="D1059" s="5"/>
      <c r="E1059" s="5"/>
      <c r="F1059" s="5"/>
      <c r="G1059" s="5"/>
    </row>
    <row r="1060" spans="1:7" s="1" customFormat="1" x14ac:dyDescent="0.2">
      <c r="A1060" s="5"/>
      <c r="B1060" s="5"/>
      <c r="C1060" s="5"/>
      <c r="D1060" s="5"/>
      <c r="E1060" s="5"/>
      <c r="F1060" s="5"/>
      <c r="G1060" s="5"/>
    </row>
    <row r="1061" spans="1:7" s="1" customFormat="1" x14ac:dyDescent="0.2">
      <c r="A1061" s="5"/>
      <c r="B1061" s="5"/>
      <c r="C1061" s="5"/>
      <c r="D1061" s="5"/>
      <c r="E1061" s="5"/>
      <c r="F1061" s="5"/>
      <c r="G1061" s="5"/>
    </row>
    <row r="1062" spans="1:7" s="1" customFormat="1" x14ac:dyDescent="0.2">
      <c r="A1062" s="5"/>
      <c r="B1062" s="5"/>
      <c r="C1062" s="5"/>
      <c r="D1062" s="5"/>
      <c r="E1062" s="5"/>
      <c r="F1062" s="5"/>
      <c r="G1062" s="5"/>
    </row>
    <row r="1063" spans="1:7" s="1" customFormat="1" x14ac:dyDescent="0.2">
      <c r="A1063" s="5"/>
      <c r="B1063" s="5"/>
      <c r="C1063" s="5"/>
      <c r="D1063" s="5"/>
      <c r="E1063" s="5"/>
      <c r="F1063" s="5"/>
      <c r="G1063" s="5"/>
    </row>
    <row r="1064" spans="1:7" s="1" customFormat="1" x14ac:dyDescent="0.2">
      <c r="A1064" s="5"/>
      <c r="B1064" s="5"/>
      <c r="C1064" s="5"/>
      <c r="D1064" s="5"/>
      <c r="E1064" s="5"/>
      <c r="F1064" s="5"/>
      <c r="G1064" s="5"/>
    </row>
    <row r="1065" spans="1:7" s="1" customFormat="1" x14ac:dyDescent="0.2">
      <c r="A1065" s="5"/>
      <c r="B1065" s="5"/>
      <c r="C1065" s="5"/>
      <c r="D1065" s="5"/>
      <c r="E1065" s="5"/>
      <c r="F1065" s="5"/>
      <c r="G1065" s="5"/>
    </row>
    <row r="1066" spans="1:7" s="1" customFormat="1" x14ac:dyDescent="0.2">
      <c r="A1066" s="5"/>
      <c r="B1066" s="5"/>
      <c r="C1066" s="5"/>
      <c r="D1066" s="5"/>
      <c r="E1066" s="5"/>
      <c r="F1066" s="5"/>
      <c r="G1066" s="5"/>
    </row>
    <row r="1067" spans="1:7" s="1" customFormat="1" x14ac:dyDescent="0.2">
      <c r="A1067" s="5"/>
      <c r="B1067" s="5"/>
      <c r="C1067" s="5"/>
      <c r="D1067" s="5"/>
      <c r="E1067" s="5"/>
      <c r="F1067" s="5"/>
      <c r="G1067" s="5"/>
    </row>
    <row r="1068" spans="1:7" s="1" customFormat="1" x14ac:dyDescent="0.2">
      <c r="A1068" s="5"/>
      <c r="B1068" s="5"/>
      <c r="C1068" s="5"/>
      <c r="D1068" s="5"/>
      <c r="E1068" s="5"/>
      <c r="F1068" s="5"/>
      <c r="G1068" s="5"/>
    </row>
    <row r="1069" spans="1:7" s="1" customFormat="1" x14ac:dyDescent="0.2">
      <c r="A1069" s="5"/>
      <c r="B1069" s="5"/>
      <c r="C1069" s="5"/>
      <c r="D1069" s="5"/>
      <c r="E1069" s="5"/>
      <c r="F1069" s="5"/>
      <c r="G1069" s="5"/>
    </row>
    <row r="1070" spans="1:7" s="1" customFormat="1" x14ac:dyDescent="0.2">
      <c r="A1070" s="5"/>
      <c r="B1070" s="5"/>
      <c r="C1070" s="5"/>
      <c r="D1070" s="5"/>
      <c r="E1070" s="5"/>
      <c r="F1070" s="5"/>
      <c r="G1070" s="5"/>
    </row>
    <row r="1071" spans="1:7" s="1" customFormat="1" x14ac:dyDescent="0.2">
      <c r="A1071" s="5"/>
      <c r="B1071" s="5"/>
      <c r="C1071" s="5"/>
      <c r="D1071" s="5"/>
      <c r="E1071" s="5"/>
      <c r="F1071" s="5"/>
      <c r="G1071" s="5"/>
    </row>
    <row r="1072" spans="1:7" s="1" customFormat="1" x14ac:dyDescent="0.2">
      <c r="A1072" s="5"/>
      <c r="B1072" s="5"/>
      <c r="C1072" s="5"/>
      <c r="D1072" s="5"/>
      <c r="E1072" s="5"/>
      <c r="F1072" s="5"/>
      <c r="G1072" s="5"/>
    </row>
    <row r="1073" spans="1:7" s="1" customFormat="1" x14ac:dyDescent="0.2">
      <c r="A1073" s="5"/>
      <c r="B1073" s="5"/>
      <c r="C1073" s="5"/>
      <c r="D1073" s="5"/>
      <c r="E1073" s="5"/>
      <c r="F1073" s="5"/>
      <c r="G1073" s="5"/>
    </row>
    <row r="1074" spans="1:7" s="1" customFormat="1" x14ac:dyDescent="0.2">
      <c r="A1074" s="5"/>
      <c r="B1074" s="5"/>
      <c r="C1074" s="5"/>
      <c r="D1074" s="5"/>
      <c r="E1074" s="5"/>
      <c r="F1074" s="5"/>
      <c r="G1074" s="5"/>
    </row>
    <row r="1075" spans="1:7" s="1" customFormat="1" x14ac:dyDescent="0.2">
      <c r="A1075" s="5"/>
      <c r="B1075" s="5"/>
      <c r="C1075" s="5"/>
      <c r="D1075" s="5"/>
      <c r="E1075" s="5"/>
      <c r="F1075" s="5"/>
      <c r="G1075" s="5"/>
    </row>
    <row r="1076" spans="1:7" s="1" customFormat="1" x14ac:dyDescent="0.2">
      <c r="A1076" s="5"/>
      <c r="B1076" s="5"/>
      <c r="C1076" s="5"/>
      <c r="D1076" s="5"/>
      <c r="E1076" s="5"/>
      <c r="F1076" s="5"/>
      <c r="G1076" s="5"/>
    </row>
    <row r="1077" spans="1:7" s="1" customFormat="1" x14ac:dyDescent="0.2">
      <c r="A1077" s="5"/>
      <c r="B1077" s="5"/>
      <c r="C1077" s="5"/>
      <c r="D1077" s="5"/>
      <c r="E1077" s="5"/>
      <c r="F1077" s="5"/>
      <c r="G1077" s="5"/>
    </row>
    <row r="1078" spans="1:7" s="1" customFormat="1" x14ac:dyDescent="0.2">
      <c r="A1078" s="5"/>
      <c r="B1078" s="5"/>
      <c r="C1078" s="5"/>
      <c r="D1078" s="5"/>
      <c r="E1078" s="5"/>
      <c r="F1078" s="5"/>
      <c r="G1078" s="5"/>
    </row>
    <row r="1079" spans="1:7" s="1" customFormat="1" x14ac:dyDescent="0.2">
      <c r="A1079" s="5"/>
      <c r="B1079" s="5"/>
      <c r="C1079" s="5"/>
      <c r="D1079" s="5"/>
      <c r="E1079" s="5"/>
      <c r="F1079" s="5"/>
      <c r="G1079" s="5"/>
    </row>
    <row r="1080" spans="1:7" s="1" customFormat="1" x14ac:dyDescent="0.2">
      <c r="A1080" s="5"/>
      <c r="B1080" s="5"/>
      <c r="C1080" s="5"/>
      <c r="D1080" s="5"/>
      <c r="E1080" s="5"/>
      <c r="F1080" s="5"/>
      <c r="G1080" s="5"/>
    </row>
    <row r="1081" spans="1:7" s="1" customFormat="1" x14ac:dyDescent="0.2">
      <c r="A1081" s="5"/>
      <c r="B1081" s="5"/>
      <c r="C1081" s="5"/>
      <c r="D1081" s="5"/>
      <c r="E1081" s="5"/>
      <c r="F1081" s="5"/>
      <c r="G1081" s="5"/>
    </row>
    <row r="1082" spans="1:7" s="1" customFormat="1" x14ac:dyDescent="0.2">
      <c r="A1082" s="5"/>
      <c r="B1082" s="5"/>
      <c r="C1082" s="5"/>
      <c r="D1082" s="5"/>
      <c r="E1082" s="5"/>
      <c r="F1082" s="5"/>
      <c r="G1082" s="5"/>
    </row>
    <row r="1083" spans="1:7" s="1" customFormat="1" x14ac:dyDescent="0.2">
      <c r="A1083" s="5"/>
      <c r="B1083" s="5"/>
      <c r="C1083" s="5"/>
      <c r="D1083" s="5"/>
      <c r="E1083" s="5"/>
      <c r="F1083" s="5"/>
      <c r="G1083" s="5"/>
    </row>
    <row r="1084" spans="1:7" s="1" customFormat="1" x14ac:dyDescent="0.2">
      <c r="A1084" s="5"/>
      <c r="B1084" s="5"/>
      <c r="C1084" s="5"/>
      <c r="D1084" s="5"/>
      <c r="E1084" s="5"/>
      <c r="F1084" s="5"/>
      <c r="G1084" s="5"/>
    </row>
    <row r="1085" spans="1:7" s="1" customFormat="1" x14ac:dyDescent="0.2">
      <c r="A1085" s="5"/>
      <c r="B1085" s="5"/>
      <c r="C1085" s="5"/>
      <c r="D1085" s="5"/>
      <c r="E1085" s="5"/>
      <c r="F1085" s="5"/>
      <c r="G1085" s="5"/>
    </row>
    <row r="1086" spans="1:7" s="1" customFormat="1" x14ac:dyDescent="0.2">
      <c r="A1086" s="5"/>
      <c r="B1086" s="5"/>
      <c r="C1086" s="5"/>
      <c r="D1086" s="5"/>
      <c r="E1086" s="5"/>
      <c r="F1086" s="5"/>
      <c r="G1086" s="5"/>
    </row>
    <row r="1087" spans="1:7" s="1" customFormat="1" x14ac:dyDescent="0.2">
      <c r="A1087" s="5"/>
      <c r="B1087" s="5"/>
      <c r="C1087" s="5"/>
      <c r="D1087" s="5"/>
      <c r="E1087" s="5"/>
      <c r="F1087" s="5"/>
      <c r="G1087" s="5"/>
    </row>
    <row r="1088" spans="1:7" s="1" customFormat="1" x14ac:dyDescent="0.2">
      <c r="A1088" s="5"/>
      <c r="B1088" s="5"/>
      <c r="C1088" s="5"/>
      <c r="D1088" s="5"/>
      <c r="E1088" s="5"/>
      <c r="F1088" s="5"/>
      <c r="G1088" s="5"/>
    </row>
    <row r="1089" spans="1:7" s="1" customFormat="1" x14ac:dyDescent="0.2">
      <c r="A1089" s="5"/>
      <c r="B1089" s="5"/>
      <c r="C1089" s="5"/>
      <c r="D1089" s="5"/>
      <c r="E1089" s="5"/>
      <c r="F1089" s="5"/>
      <c r="G1089" s="5"/>
    </row>
    <row r="1090" spans="1:7" s="1" customFormat="1" x14ac:dyDescent="0.2">
      <c r="A1090" s="5"/>
      <c r="B1090" s="5"/>
      <c r="C1090" s="5"/>
      <c r="D1090" s="5"/>
      <c r="E1090" s="5"/>
      <c r="F1090" s="5"/>
      <c r="G1090" s="5"/>
    </row>
    <row r="1091" spans="1:7" s="1" customFormat="1" x14ac:dyDescent="0.2">
      <c r="A1091" s="5"/>
      <c r="B1091" s="5"/>
      <c r="C1091" s="5"/>
      <c r="D1091" s="5"/>
      <c r="E1091" s="5"/>
      <c r="F1091" s="5"/>
      <c r="G1091" s="5"/>
    </row>
    <row r="1092" spans="1:7" s="1" customFormat="1" x14ac:dyDescent="0.2">
      <c r="A1092" s="5"/>
      <c r="B1092" s="5"/>
      <c r="C1092" s="5"/>
      <c r="D1092" s="5"/>
      <c r="E1092" s="5"/>
      <c r="F1092" s="5"/>
      <c r="G1092" s="5"/>
    </row>
    <row r="1093" spans="1:7" s="1" customFormat="1" x14ac:dyDescent="0.2">
      <c r="A1093" s="5"/>
      <c r="B1093" s="5"/>
      <c r="C1093" s="5"/>
      <c r="D1093" s="5"/>
      <c r="E1093" s="5"/>
      <c r="F1093" s="5"/>
      <c r="G1093" s="5"/>
    </row>
    <row r="1094" spans="1:7" s="1" customFormat="1" x14ac:dyDescent="0.2">
      <c r="A1094" s="5"/>
      <c r="B1094" s="5"/>
      <c r="C1094" s="5"/>
      <c r="D1094" s="5"/>
      <c r="E1094" s="5"/>
      <c r="F1094" s="5"/>
      <c r="G1094" s="5"/>
    </row>
    <row r="1095" spans="1:7" s="1" customFormat="1" x14ac:dyDescent="0.2">
      <c r="A1095" s="5"/>
      <c r="B1095" s="5"/>
      <c r="C1095" s="5"/>
      <c r="D1095" s="5"/>
      <c r="E1095" s="5"/>
      <c r="F1095" s="5"/>
      <c r="G1095" s="5"/>
    </row>
    <row r="1096" spans="1:7" s="1" customFormat="1" x14ac:dyDescent="0.2">
      <c r="A1096" s="5"/>
      <c r="B1096" s="5"/>
      <c r="C1096" s="5"/>
      <c r="D1096" s="5"/>
      <c r="E1096" s="5"/>
      <c r="F1096" s="5"/>
      <c r="G1096" s="5"/>
    </row>
    <row r="1097" spans="1:7" s="1" customFormat="1" x14ac:dyDescent="0.2">
      <c r="A1097" s="5"/>
      <c r="B1097" s="5"/>
      <c r="C1097" s="5"/>
      <c r="D1097" s="5"/>
      <c r="E1097" s="5"/>
      <c r="F1097" s="5"/>
      <c r="G1097" s="5"/>
    </row>
    <row r="1098" spans="1:7" s="1" customFormat="1" x14ac:dyDescent="0.2">
      <c r="A1098" s="5"/>
      <c r="B1098" s="5"/>
      <c r="C1098" s="5"/>
      <c r="D1098" s="5"/>
      <c r="E1098" s="5"/>
      <c r="F1098" s="5"/>
      <c r="G1098" s="5"/>
    </row>
    <row r="1099" spans="1:7" s="1" customFormat="1" x14ac:dyDescent="0.2">
      <c r="A1099" s="5"/>
      <c r="B1099" s="5"/>
      <c r="C1099" s="5"/>
      <c r="D1099" s="5"/>
      <c r="E1099" s="5"/>
      <c r="F1099" s="5"/>
      <c r="G1099" s="5"/>
    </row>
    <row r="1100" spans="1:7" s="1" customFormat="1" x14ac:dyDescent="0.2">
      <c r="A1100" s="5"/>
      <c r="B1100" s="5"/>
      <c r="C1100" s="5"/>
      <c r="D1100" s="5"/>
      <c r="E1100" s="5"/>
      <c r="F1100" s="5"/>
      <c r="G1100" s="5"/>
    </row>
    <row r="1101" spans="1:7" s="1" customFormat="1" x14ac:dyDescent="0.2">
      <c r="A1101" s="5"/>
      <c r="B1101" s="5"/>
      <c r="C1101" s="5"/>
      <c r="D1101" s="5"/>
      <c r="E1101" s="5"/>
      <c r="F1101" s="5"/>
      <c r="G1101" s="5"/>
    </row>
    <row r="1102" spans="1:7" s="1" customFormat="1" x14ac:dyDescent="0.2">
      <c r="A1102" s="5"/>
      <c r="B1102" s="5"/>
      <c r="C1102" s="5"/>
      <c r="D1102" s="5"/>
      <c r="E1102" s="5"/>
      <c r="F1102" s="5"/>
      <c r="G1102" s="5"/>
    </row>
    <row r="1103" spans="1:7" s="1" customFormat="1" x14ac:dyDescent="0.2">
      <c r="A1103" s="5"/>
      <c r="B1103" s="5"/>
      <c r="C1103" s="5"/>
      <c r="D1103" s="5"/>
      <c r="E1103" s="5"/>
      <c r="F1103" s="5"/>
      <c r="G1103" s="5"/>
    </row>
    <row r="1104" spans="1:7" s="1" customFormat="1" x14ac:dyDescent="0.2">
      <c r="A1104" s="5"/>
      <c r="B1104" s="5"/>
      <c r="C1104" s="5"/>
      <c r="D1104" s="5"/>
      <c r="E1104" s="5"/>
      <c r="F1104" s="5"/>
      <c r="G1104" s="5"/>
    </row>
    <row r="1105" spans="1:7" s="1" customFormat="1" x14ac:dyDescent="0.2">
      <c r="A1105" s="5"/>
      <c r="B1105" s="5"/>
      <c r="C1105" s="5"/>
      <c r="D1105" s="5"/>
      <c r="E1105" s="5"/>
      <c r="F1105" s="5"/>
      <c r="G1105" s="5"/>
    </row>
    <row r="1106" spans="1:7" s="1" customFormat="1" x14ac:dyDescent="0.2">
      <c r="A1106" s="5"/>
      <c r="B1106" s="5"/>
      <c r="C1106" s="5"/>
      <c r="D1106" s="5"/>
      <c r="E1106" s="5"/>
      <c r="F1106" s="5"/>
      <c r="G1106" s="5"/>
    </row>
    <row r="1107" spans="1:7" s="1" customFormat="1" x14ac:dyDescent="0.2">
      <c r="A1107" s="5"/>
      <c r="B1107" s="5"/>
      <c r="C1107" s="5"/>
      <c r="D1107" s="5"/>
      <c r="E1107" s="5"/>
      <c r="F1107" s="5"/>
      <c r="G1107" s="5"/>
    </row>
    <row r="1108" spans="1:7" s="1" customFormat="1" x14ac:dyDescent="0.2">
      <c r="A1108" s="5"/>
      <c r="B1108" s="5"/>
      <c r="C1108" s="5"/>
      <c r="D1108" s="5"/>
      <c r="E1108" s="5"/>
      <c r="F1108" s="5"/>
      <c r="G1108" s="5"/>
    </row>
    <row r="1109" spans="1:7" s="1" customFormat="1" x14ac:dyDescent="0.2">
      <c r="A1109" s="5"/>
      <c r="B1109" s="5"/>
      <c r="C1109" s="5"/>
      <c r="D1109" s="5"/>
      <c r="E1109" s="5"/>
      <c r="F1109" s="5"/>
      <c r="G1109" s="5"/>
    </row>
    <row r="1110" spans="1:7" s="1" customFormat="1" x14ac:dyDescent="0.2">
      <c r="A1110" s="5"/>
      <c r="B1110" s="5"/>
      <c r="C1110" s="5"/>
      <c r="D1110" s="5"/>
      <c r="E1110" s="5"/>
      <c r="F1110" s="5"/>
      <c r="G1110" s="5"/>
    </row>
    <row r="1111" spans="1:7" s="1" customFormat="1" x14ac:dyDescent="0.2">
      <c r="A1111" s="5"/>
      <c r="B1111" s="5"/>
      <c r="C1111" s="5"/>
      <c r="D1111" s="5"/>
      <c r="E1111" s="5"/>
      <c r="F1111" s="5"/>
      <c r="G1111" s="5"/>
    </row>
    <row r="1112" spans="1:7" s="1" customFormat="1" x14ac:dyDescent="0.2">
      <c r="A1112" s="5"/>
      <c r="B1112" s="5"/>
      <c r="C1112" s="5"/>
      <c r="D1112" s="5"/>
      <c r="E1112" s="5"/>
      <c r="F1112" s="5"/>
      <c r="G1112" s="5"/>
    </row>
    <row r="1113" spans="1:7" s="1" customFormat="1" x14ac:dyDescent="0.2">
      <c r="A1113" s="5"/>
      <c r="B1113" s="5"/>
      <c r="C1113" s="5"/>
      <c r="D1113" s="5"/>
      <c r="E1113" s="5"/>
      <c r="F1113" s="5"/>
      <c r="G1113" s="5"/>
    </row>
    <row r="1114" spans="1:7" s="1" customFormat="1" x14ac:dyDescent="0.2">
      <c r="A1114" s="5"/>
      <c r="B1114" s="5"/>
      <c r="C1114" s="5"/>
      <c r="D1114" s="5"/>
      <c r="E1114" s="5"/>
      <c r="F1114" s="5"/>
      <c r="G1114" s="5"/>
    </row>
    <row r="1115" spans="1:7" s="1" customFormat="1" x14ac:dyDescent="0.2">
      <c r="A1115" s="5"/>
      <c r="B1115" s="5"/>
      <c r="C1115" s="5"/>
      <c r="D1115" s="5"/>
      <c r="E1115" s="5"/>
      <c r="F1115" s="5"/>
      <c r="G1115" s="5"/>
    </row>
    <row r="1116" spans="1:7" s="1" customFormat="1" x14ac:dyDescent="0.2">
      <c r="A1116" s="5"/>
      <c r="B1116" s="5"/>
      <c r="C1116" s="5"/>
      <c r="D1116" s="5"/>
      <c r="E1116" s="5"/>
      <c r="F1116" s="5"/>
      <c r="G1116" s="5"/>
    </row>
    <row r="1117" spans="1:7" s="1" customFormat="1" x14ac:dyDescent="0.2">
      <c r="A1117" s="5"/>
      <c r="B1117" s="5"/>
      <c r="C1117" s="5"/>
      <c r="D1117" s="5"/>
      <c r="E1117" s="5"/>
      <c r="F1117" s="5"/>
      <c r="G1117" s="5"/>
    </row>
    <row r="1118" spans="1:7" s="1" customFormat="1" x14ac:dyDescent="0.2">
      <c r="A1118" s="5"/>
      <c r="B1118" s="5"/>
      <c r="C1118" s="5"/>
      <c r="D1118" s="5"/>
      <c r="E1118" s="5"/>
      <c r="F1118" s="5"/>
      <c r="G1118" s="5"/>
    </row>
    <row r="1119" spans="1:7" s="1" customFormat="1" x14ac:dyDescent="0.2">
      <c r="A1119" s="5"/>
      <c r="B1119" s="5"/>
      <c r="C1119" s="5"/>
      <c r="D1119" s="5"/>
      <c r="E1119" s="5"/>
      <c r="F1119" s="5"/>
      <c r="G1119" s="5"/>
    </row>
    <row r="1120" spans="1:7" s="1" customFormat="1" x14ac:dyDescent="0.2">
      <c r="A1120" s="5"/>
      <c r="B1120" s="5"/>
      <c r="C1120" s="5"/>
      <c r="D1120" s="5"/>
      <c r="E1120" s="5"/>
      <c r="F1120" s="5"/>
      <c r="G1120" s="5"/>
    </row>
    <row r="1121" spans="1:7" s="1" customFormat="1" x14ac:dyDescent="0.2">
      <c r="A1121" s="5"/>
      <c r="B1121" s="5"/>
      <c r="C1121" s="5"/>
      <c r="D1121" s="5"/>
      <c r="E1121" s="5"/>
      <c r="F1121" s="5"/>
      <c r="G1121" s="5"/>
    </row>
    <row r="1122" spans="1:7" s="1" customFormat="1" x14ac:dyDescent="0.2">
      <c r="A1122" s="5"/>
      <c r="B1122" s="5"/>
      <c r="C1122" s="5"/>
      <c r="D1122" s="5"/>
      <c r="E1122" s="5"/>
      <c r="F1122" s="5"/>
      <c r="G1122" s="5"/>
    </row>
    <row r="1123" spans="1:7" s="1" customFormat="1" x14ac:dyDescent="0.2">
      <c r="A1123" s="5"/>
      <c r="B1123" s="5"/>
      <c r="C1123" s="5"/>
      <c r="D1123" s="5"/>
      <c r="E1123" s="5"/>
      <c r="F1123" s="5"/>
      <c r="G1123" s="5"/>
    </row>
    <row r="1124" spans="1:7" s="1" customFormat="1" x14ac:dyDescent="0.2">
      <c r="A1124" s="5"/>
      <c r="B1124" s="5"/>
      <c r="C1124" s="5"/>
      <c r="D1124" s="5"/>
      <c r="E1124" s="5"/>
      <c r="F1124" s="5"/>
      <c r="G1124" s="5"/>
    </row>
    <row r="1125" spans="1:7" s="1" customFormat="1" x14ac:dyDescent="0.2">
      <c r="A1125" s="5"/>
      <c r="B1125" s="5"/>
      <c r="C1125" s="5"/>
      <c r="D1125" s="5"/>
      <c r="E1125" s="5"/>
      <c r="F1125" s="5"/>
      <c r="G1125" s="5"/>
    </row>
    <row r="1126" spans="1:7" s="1" customFormat="1" x14ac:dyDescent="0.2">
      <c r="A1126" s="5"/>
      <c r="B1126" s="5"/>
      <c r="C1126" s="5"/>
      <c r="D1126" s="5"/>
      <c r="E1126" s="5"/>
      <c r="F1126" s="5"/>
      <c r="G1126" s="5"/>
    </row>
    <row r="1127" spans="1:7" s="1" customFormat="1" x14ac:dyDescent="0.2">
      <c r="A1127" s="5"/>
      <c r="B1127" s="5"/>
      <c r="C1127" s="5"/>
      <c r="D1127" s="5"/>
      <c r="E1127" s="5"/>
      <c r="F1127" s="5"/>
      <c r="G1127" s="5"/>
    </row>
    <row r="1128" spans="1:7" s="1" customFormat="1" x14ac:dyDescent="0.2">
      <c r="A1128" s="5"/>
      <c r="B1128" s="5"/>
      <c r="C1128" s="5"/>
      <c r="D1128" s="5"/>
      <c r="E1128" s="5"/>
      <c r="F1128" s="5"/>
      <c r="G1128" s="5"/>
    </row>
    <row r="1129" spans="1:7" s="1" customFormat="1" x14ac:dyDescent="0.2">
      <c r="A1129" s="5"/>
      <c r="B1129" s="5"/>
      <c r="C1129" s="5"/>
      <c r="D1129" s="5"/>
      <c r="E1129" s="5"/>
      <c r="F1129" s="5"/>
      <c r="G1129" s="5"/>
    </row>
    <row r="1130" spans="1:7" s="1" customFormat="1" x14ac:dyDescent="0.2">
      <c r="A1130" s="5"/>
      <c r="B1130" s="5"/>
      <c r="C1130" s="5"/>
      <c r="D1130" s="5"/>
      <c r="E1130" s="5"/>
      <c r="F1130" s="5"/>
      <c r="G1130" s="5"/>
    </row>
    <row r="1131" spans="1:7" s="1" customFormat="1" x14ac:dyDescent="0.2">
      <c r="A1131" s="5"/>
      <c r="B1131" s="5"/>
      <c r="C1131" s="5"/>
      <c r="D1131" s="5"/>
      <c r="E1131" s="5"/>
      <c r="F1131" s="5"/>
      <c r="G1131" s="5"/>
    </row>
    <row r="1132" spans="1:7" s="1" customFormat="1" x14ac:dyDescent="0.2">
      <c r="A1132" s="5"/>
      <c r="B1132" s="5"/>
      <c r="C1132" s="5"/>
      <c r="D1132" s="5"/>
      <c r="E1132" s="5"/>
      <c r="F1132" s="5"/>
      <c r="G1132" s="5"/>
    </row>
    <row r="1133" spans="1:7" s="1" customFormat="1" x14ac:dyDescent="0.2">
      <c r="A1133" s="5"/>
      <c r="B1133" s="5"/>
      <c r="C1133" s="5"/>
      <c r="D1133" s="5"/>
      <c r="E1133" s="5"/>
      <c r="F1133" s="5"/>
      <c r="G1133" s="5"/>
    </row>
    <row r="1134" spans="1:7" s="1" customFormat="1" x14ac:dyDescent="0.2">
      <c r="A1134" s="5"/>
      <c r="B1134" s="5"/>
      <c r="C1134" s="5"/>
      <c r="D1134" s="5"/>
      <c r="E1134" s="5"/>
      <c r="F1134" s="5"/>
      <c r="G1134" s="5"/>
    </row>
    <row r="1135" spans="1:7" s="1" customFormat="1" x14ac:dyDescent="0.2">
      <c r="A1135" s="5"/>
      <c r="B1135" s="5"/>
      <c r="C1135" s="5"/>
      <c r="D1135" s="5"/>
      <c r="E1135" s="5"/>
      <c r="F1135" s="5"/>
      <c r="G1135" s="5"/>
    </row>
    <row r="1136" spans="1:7" s="1" customFormat="1" x14ac:dyDescent="0.2">
      <c r="A1136" s="5"/>
      <c r="B1136" s="5"/>
      <c r="C1136" s="5"/>
      <c r="D1136" s="5"/>
      <c r="E1136" s="5"/>
      <c r="F1136" s="5"/>
      <c r="G1136" s="5"/>
    </row>
    <row r="1137" spans="1:7" s="1" customFormat="1" x14ac:dyDescent="0.2">
      <c r="A1137" s="5"/>
      <c r="B1137" s="5"/>
      <c r="C1137" s="5"/>
      <c r="D1137" s="5"/>
      <c r="E1137" s="5"/>
      <c r="F1137" s="5"/>
      <c r="G1137" s="5"/>
    </row>
    <row r="1138" spans="1:7" s="1" customFormat="1" x14ac:dyDescent="0.2">
      <c r="A1138" s="5"/>
      <c r="B1138" s="5"/>
      <c r="C1138" s="5"/>
      <c r="D1138" s="5"/>
      <c r="E1138" s="5"/>
      <c r="F1138" s="5"/>
      <c r="G1138" s="5"/>
    </row>
    <row r="1139" spans="1:7" s="1" customFormat="1" x14ac:dyDescent="0.2">
      <c r="A1139" s="5"/>
      <c r="B1139" s="5"/>
      <c r="C1139" s="5"/>
      <c r="D1139" s="5"/>
      <c r="E1139" s="5"/>
      <c r="F1139" s="5"/>
      <c r="G1139" s="5"/>
    </row>
    <row r="1140" spans="1:7" s="1" customFormat="1" x14ac:dyDescent="0.2">
      <c r="A1140" s="5"/>
      <c r="B1140" s="5"/>
      <c r="C1140" s="5"/>
      <c r="D1140" s="5"/>
      <c r="E1140" s="5"/>
      <c r="F1140" s="5"/>
      <c r="G1140" s="5"/>
    </row>
    <row r="1141" spans="1:7" s="1" customFormat="1" x14ac:dyDescent="0.2">
      <c r="A1141" s="5"/>
      <c r="B1141" s="5"/>
      <c r="C1141" s="5"/>
      <c r="D1141" s="5"/>
      <c r="E1141" s="5"/>
      <c r="F1141" s="5"/>
      <c r="G1141" s="5"/>
    </row>
    <row r="1142" spans="1:7" s="1" customFormat="1" x14ac:dyDescent="0.2">
      <c r="A1142" s="5"/>
      <c r="B1142" s="5"/>
      <c r="C1142" s="5"/>
      <c r="D1142" s="5"/>
      <c r="E1142" s="5"/>
      <c r="F1142" s="5"/>
      <c r="G1142" s="5"/>
    </row>
    <row r="1143" spans="1:7" s="1" customFormat="1" x14ac:dyDescent="0.2">
      <c r="A1143" s="5"/>
      <c r="B1143" s="5"/>
      <c r="C1143" s="5"/>
      <c r="D1143" s="5"/>
      <c r="E1143" s="5"/>
      <c r="F1143" s="5"/>
      <c r="G1143" s="5"/>
    </row>
    <row r="1144" spans="1:7" s="1" customFormat="1" x14ac:dyDescent="0.2">
      <c r="A1144" s="5"/>
      <c r="B1144" s="5"/>
      <c r="C1144" s="5"/>
      <c r="D1144" s="5"/>
      <c r="E1144" s="5"/>
      <c r="F1144" s="5"/>
      <c r="G1144" s="5"/>
    </row>
    <row r="1145" spans="1:7" s="1" customFormat="1" x14ac:dyDescent="0.2">
      <c r="A1145" s="5"/>
      <c r="B1145" s="5"/>
      <c r="C1145" s="5"/>
      <c r="D1145" s="5"/>
      <c r="E1145" s="5"/>
      <c r="F1145" s="5"/>
      <c r="G1145" s="5"/>
    </row>
    <row r="1146" spans="1:7" s="1" customFormat="1" x14ac:dyDescent="0.2">
      <c r="A1146" s="5"/>
      <c r="B1146" s="5"/>
      <c r="C1146" s="5"/>
      <c r="D1146" s="5"/>
      <c r="E1146" s="5"/>
      <c r="F1146" s="5"/>
      <c r="G1146" s="5"/>
    </row>
    <row r="1147" spans="1:7" s="1" customFormat="1" x14ac:dyDescent="0.2">
      <c r="A1147" s="5"/>
      <c r="B1147" s="5"/>
      <c r="C1147" s="5"/>
      <c r="D1147" s="5"/>
      <c r="E1147" s="5"/>
      <c r="F1147" s="5"/>
      <c r="G1147" s="5"/>
    </row>
    <row r="1148" spans="1:7" s="1" customFormat="1" x14ac:dyDescent="0.2">
      <c r="A1148" s="5"/>
      <c r="B1148" s="5"/>
      <c r="C1148" s="5"/>
      <c r="D1148" s="5"/>
      <c r="E1148" s="5"/>
      <c r="F1148" s="5"/>
      <c r="G1148" s="5"/>
    </row>
    <row r="1149" spans="1:7" s="1" customFormat="1" x14ac:dyDescent="0.2">
      <c r="A1149" s="5"/>
      <c r="B1149" s="5"/>
      <c r="C1149" s="5"/>
      <c r="D1149" s="5"/>
      <c r="E1149" s="5"/>
      <c r="F1149" s="5"/>
      <c r="G1149" s="5"/>
    </row>
    <row r="1150" spans="1:7" s="1" customFormat="1" x14ac:dyDescent="0.2">
      <c r="A1150" s="5"/>
      <c r="B1150" s="5"/>
      <c r="C1150" s="5"/>
      <c r="D1150" s="5"/>
      <c r="E1150" s="5"/>
      <c r="F1150" s="5"/>
      <c r="G1150" s="5"/>
    </row>
    <row r="1151" spans="1:7" s="1" customFormat="1" x14ac:dyDescent="0.2">
      <c r="A1151" s="5"/>
      <c r="B1151" s="5"/>
      <c r="C1151" s="5"/>
      <c r="D1151" s="5"/>
      <c r="E1151" s="5"/>
      <c r="F1151" s="5"/>
      <c r="G1151" s="5"/>
    </row>
    <row r="1152" spans="1:7" s="1" customFormat="1" x14ac:dyDescent="0.2">
      <c r="A1152" s="5"/>
      <c r="B1152" s="5"/>
      <c r="C1152" s="5"/>
      <c r="D1152" s="5"/>
      <c r="E1152" s="5"/>
      <c r="F1152" s="5"/>
      <c r="G1152" s="5"/>
    </row>
    <row r="1153" spans="1:7" s="1" customFormat="1" x14ac:dyDescent="0.2">
      <c r="A1153" s="5"/>
      <c r="B1153" s="5"/>
      <c r="C1153" s="5"/>
      <c r="D1153" s="5"/>
      <c r="E1153" s="5"/>
      <c r="F1153" s="5"/>
      <c r="G1153" s="5"/>
    </row>
    <row r="1154" spans="1:7" s="1" customFormat="1" x14ac:dyDescent="0.2">
      <c r="A1154" s="5"/>
      <c r="B1154" s="5"/>
      <c r="C1154" s="5"/>
      <c r="D1154" s="5"/>
      <c r="E1154" s="5"/>
      <c r="F1154" s="5"/>
      <c r="G1154" s="5"/>
    </row>
    <row r="1155" spans="1:7" s="1" customFormat="1" x14ac:dyDescent="0.2">
      <c r="A1155" s="5"/>
      <c r="B1155" s="5"/>
      <c r="C1155" s="5"/>
      <c r="D1155" s="5"/>
      <c r="E1155" s="5"/>
      <c r="F1155" s="5"/>
      <c r="G1155" s="5"/>
    </row>
    <row r="1156" spans="1:7" s="1" customFormat="1" x14ac:dyDescent="0.2">
      <c r="A1156" s="5"/>
      <c r="B1156" s="5"/>
      <c r="C1156" s="5"/>
      <c r="D1156" s="5"/>
      <c r="E1156" s="5"/>
      <c r="F1156" s="5"/>
      <c r="G1156" s="5"/>
    </row>
    <row r="1157" spans="1:7" s="1" customFormat="1" x14ac:dyDescent="0.2">
      <c r="A1157" s="5"/>
      <c r="B1157" s="5"/>
      <c r="C1157" s="5"/>
      <c r="D1157" s="5"/>
      <c r="E1157" s="5"/>
      <c r="F1157" s="5"/>
      <c r="G1157" s="5"/>
    </row>
    <row r="1158" spans="1:7" s="1" customFormat="1" x14ac:dyDescent="0.2">
      <c r="A1158" s="5"/>
      <c r="B1158" s="5"/>
      <c r="C1158" s="5"/>
      <c r="D1158" s="5"/>
      <c r="E1158" s="5"/>
      <c r="F1158" s="5"/>
      <c r="G1158" s="5"/>
    </row>
    <row r="1159" spans="1:7" s="1" customFormat="1" x14ac:dyDescent="0.2">
      <c r="A1159" s="5"/>
      <c r="B1159" s="5"/>
      <c r="C1159" s="5"/>
      <c r="D1159" s="5"/>
      <c r="E1159" s="5"/>
      <c r="F1159" s="5"/>
      <c r="G1159" s="5"/>
    </row>
    <row r="1160" spans="1:7" s="1" customFormat="1" x14ac:dyDescent="0.2">
      <c r="A1160" s="5"/>
      <c r="B1160" s="5"/>
      <c r="C1160" s="5"/>
      <c r="D1160" s="5"/>
      <c r="E1160" s="5"/>
      <c r="F1160" s="5"/>
      <c r="G1160" s="5"/>
    </row>
    <row r="1161" spans="1:7" s="1" customFormat="1" x14ac:dyDescent="0.2">
      <c r="A1161" s="5"/>
      <c r="B1161" s="5"/>
      <c r="C1161" s="5"/>
      <c r="D1161" s="5"/>
      <c r="E1161" s="5"/>
      <c r="F1161" s="5"/>
      <c r="G1161" s="5"/>
    </row>
    <row r="1162" spans="1:7" s="1" customFormat="1" x14ac:dyDescent="0.2">
      <c r="A1162" s="5"/>
      <c r="B1162" s="5"/>
      <c r="C1162" s="5"/>
      <c r="D1162" s="5"/>
      <c r="E1162" s="5"/>
      <c r="F1162" s="5"/>
      <c r="G1162" s="5"/>
    </row>
    <row r="1163" spans="1:7" s="1" customFormat="1" x14ac:dyDescent="0.2">
      <c r="A1163" s="5"/>
      <c r="B1163" s="5"/>
      <c r="C1163" s="5"/>
      <c r="D1163" s="5"/>
      <c r="E1163" s="5"/>
      <c r="F1163" s="5"/>
      <c r="G1163" s="5"/>
    </row>
    <row r="1164" spans="1:7" s="1" customFormat="1" x14ac:dyDescent="0.2">
      <c r="A1164" s="5"/>
      <c r="B1164" s="5"/>
      <c r="C1164" s="5"/>
      <c r="D1164" s="5"/>
      <c r="E1164" s="5"/>
      <c r="F1164" s="5"/>
      <c r="G1164" s="5"/>
    </row>
    <row r="1165" spans="1:7" s="1" customFormat="1" x14ac:dyDescent="0.2">
      <c r="A1165" s="5"/>
      <c r="B1165" s="5"/>
      <c r="C1165" s="5"/>
      <c r="D1165" s="5"/>
      <c r="E1165" s="5"/>
      <c r="F1165" s="5"/>
      <c r="G1165" s="5"/>
    </row>
    <row r="1166" spans="1:7" s="1" customFormat="1" x14ac:dyDescent="0.2">
      <c r="A1166" s="5"/>
      <c r="B1166" s="5"/>
      <c r="C1166" s="5"/>
      <c r="D1166" s="5"/>
      <c r="E1166" s="5"/>
      <c r="F1166" s="5"/>
      <c r="G1166" s="5"/>
    </row>
    <row r="1167" spans="1:7" s="1" customFormat="1" x14ac:dyDescent="0.2">
      <c r="A1167" s="5"/>
      <c r="B1167" s="5"/>
      <c r="C1167" s="5"/>
      <c r="D1167" s="5"/>
      <c r="E1167" s="5"/>
      <c r="F1167" s="5"/>
      <c r="G1167" s="5"/>
    </row>
    <row r="1168" spans="1:7" s="1" customFormat="1" x14ac:dyDescent="0.2">
      <c r="A1168" s="5"/>
      <c r="B1168" s="5"/>
      <c r="C1168" s="5"/>
      <c r="D1168" s="5"/>
      <c r="E1168" s="5"/>
      <c r="F1168" s="5"/>
      <c r="G1168" s="5"/>
    </row>
    <row r="1169" spans="1:7" s="1" customFormat="1" x14ac:dyDescent="0.2">
      <c r="A1169" s="5"/>
      <c r="B1169" s="5"/>
      <c r="C1169" s="5"/>
      <c r="D1169" s="5"/>
      <c r="E1169" s="5"/>
      <c r="F1169" s="5"/>
      <c r="G1169" s="5"/>
    </row>
    <row r="1170" spans="1:7" s="1" customFormat="1" x14ac:dyDescent="0.2">
      <c r="A1170" s="5"/>
      <c r="B1170" s="5"/>
      <c r="C1170" s="5"/>
      <c r="D1170" s="5"/>
      <c r="E1170" s="5"/>
      <c r="F1170" s="5"/>
      <c r="G1170" s="5"/>
    </row>
    <row r="1171" spans="1:7" s="1" customFormat="1" x14ac:dyDescent="0.2">
      <c r="A1171" s="5"/>
      <c r="B1171" s="5"/>
      <c r="C1171" s="5"/>
      <c r="D1171" s="5"/>
      <c r="E1171" s="5"/>
      <c r="F1171" s="5"/>
      <c r="G1171" s="5"/>
    </row>
    <row r="1172" spans="1:7" s="1" customFormat="1" x14ac:dyDescent="0.2">
      <c r="A1172" s="5"/>
      <c r="B1172" s="5"/>
      <c r="C1172" s="5"/>
      <c r="D1172" s="5"/>
      <c r="E1172" s="5"/>
      <c r="F1172" s="5"/>
      <c r="G1172" s="5"/>
    </row>
    <row r="1173" spans="1:7" s="1" customFormat="1" x14ac:dyDescent="0.2">
      <c r="A1173" s="5"/>
      <c r="B1173" s="5"/>
      <c r="C1173" s="5"/>
      <c r="D1173" s="5"/>
      <c r="E1173" s="5"/>
      <c r="F1173" s="5"/>
      <c r="G1173" s="5"/>
    </row>
    <row r="1174" spans="1:7" s="1" customFormat="1" x14ac:dyDescent="0.2">
      <c r="A1174" s="5"/>
      <c r="B1174" s="5"/>
      <c r="C1174" s="5"/>
      <c r="D1174" s="5"/>
      <c r="E1174" s="5"/>
      <c r="F1174" s="5"/>
      <c r="G1174" s="5"/>
    </row>
    <row r="1175" spans="1:7" s="1" customFormat="1" x14ac:dyDescent="0.2">
      <c r="A1175" s="5"/>
      <c r="B1175" s="5"/>
      <c r="C1175" s="5"/>
      <c r="D1175" s="5"/>
      <c r="E1175" s="5"/>
      <c r="F1175" s="5"/>
      <c r="G1175" s="5"/>
    </row>
    <row r="1176" spans="1:7" s="1" customFormat="1" x14ac:dyDescent="0.2">
      <c r="A1176" s="5"/>
      <c r="B1176" s="5"/>
      <c r="C1176" s="5"/>
      <c r="D1176" s="5"/>
      <c r="E1176" s="5"/>
      <c r="F1176" s="5"/>
      <c r="G1176" s="5"/>
    </row>
    <row r="1177" spans="1:7" s="1" customFormat="1" x14ac:dyDescent="0.2">
      <c r="A1177" s="5"/>
      <c r="B1177" s="5"/>
      <c r="C1177" s="5"/>
      <c r="D1177" s="5"/>
      <c r="E1177" s="5"/>
      <c r="F1177" s="5"/>
      <c r="G1177" s="5"/>
    </row>
    <row r="1178" spans="1:7" s="1" customFormat="1" x14ac:dyDescent="0.2">
      <c r="A1178" s="5"/>
      <c r="B1178" s="5"/>
      <c r="C1178" s="5"/>
      <c r="D1178" s="5"/>
      <c r="E1178" s="5"/>
      <c r="F1178" s="5"/>
      <c r="G1178" s="5"/>
    </row>
    <row r="1179" spans="1:7" s="1" customFormat="1" x14ac:dyDescent="0.2">
      <c r="A1179" s="5"/>
      <c r="B1179" s="5"/>
      <c r="C1179" s="5"/>
      <c r="D1179" s="5"/>
      <c r="E1179" s="5"/>
      <c r="F1179" s="5"/>
      <c r="G1179" s="5"/>
    </row>
    <row r="1180" spans="1:7" s="1" customFormat="1" x14ac:dyDescent="0.2">
      <c r="A1180" s="5"/>
      <c r="B1180" s="5"/>
      <c r="C1180" s="5"/>
      <c r="D1180" s="5"/>
      <c r="E1180" s="5"/>
      <c r="F1180" s="5"/>
      <c r="G1180" s="5"/>
    </row>
    <row r="1181" spans="1:7" s="1" customFormat="1" x14ac:dyDescent="0.2">
      <c r="A1181" s="5"/>
      <c r="B1181" s="5"/>
      <c r="C1181" s="5"/>
      <c r="D1181" s="5"/>
      <c r="E1181" s="5"/>
      <c r="F1181" s="5"/>
      <c r="G1181" s="5"/>
    </row>
    <row r="1182" spans="1:7" s="1" customFormat="1" x14ac:dyDescent="0.2">
      <c r="A1182" s="5"/>
      <c r="B1182" s="5"/>
      <c r="C1182" s="5"/>
      <c r="D1182" s="5"/>
      <c r="E1182" s="5"/>
      <c r="F1182" s="5"/>
      <c r="G1182" s="5"/>
    </row>
    <row r="1183" spans="1:7" s="1" customFormat="1" x14ac:dyDescent="0.2">
      <c r="A1183" s="5"/>
      <c r="B1183" s="5"/>
      <c r="C1183" s="5"/>
      <c r="D1183" s="5"/>
      <c r="E1183" s="5"/>
      <c r="F1183" s="5"/>
      <c r="G1183" s="5"/>
    </row>
    <row r="1184" spans="1:7" s="1" customFormat="1" x14ac:dyDescent="0.2">
      <c r="A1184" s="5"/>
      <c r="B1184" s="5"/>
      <c r="C1184" s="5"/>
      <c r="D1184" s="5"/>
      <c r="E1184" s="5"/>
      <c r="F1184" s="5"/>
      <c r="G1184" s="5"/>
    </row>
    <row r="1185" spans="1:7" s="1" customFormat="1" x14ac:dyDescent="0.2">
      <c r="A1185" s="5"/>
      <c r="B1185" s="5"/>
      <c r="C1185" s="5"/>
      <c r="D1185" s="5"/>
      <c r="E1185" s="5"/>
      <c r="F1185" s="5"/>
      <c r="G1185" s="5"/>
    </row>
    <row r="1186" spans="1:7" s="1" customFormat="1" x14ac:dyDescent="0.2">
      <c r="A1186" s="5"/>
      <c r="B1186" s="5"/>
      <c r="C1186" s="5"/>
      <c r="D1186" s="5"/>
      <c r="E1186" s="5"/>
      <c r="F1186" s="5"/>
      <c r="G1186" s="5"/>
    </row>
    <row r="1187" spans="1:7" s="1" customFormat="1" x14ac:dyDescent="0.2">
      <c r="A1187" s="5"/>
      <c r="B1187" s="5"/>
      <c r="C1187" s="5"/>
      <c r="D1187" s="5"/>
      <c r="E1187" s="5"/>
      <c r="F1187" s="5"/>
      <c r="G1187" s="5"/>
    </row>
    <row r="1188" spans="1:7" s="1" customFormat="1" x14ac:dyDescent="0.2">
      <c r="A1188" s="5"/>
      <c r="B1188" s="5"/>
      <c r="C1188" s="5"/>
      <c r="D1188" s="5"/>
      <c r="E1188" s="5"/>
      <c r="F1188" s="5"/>
      <c r="G1188" s="5"/>
    </row>
    <row r="1189" spans="1:7" s="1" customFormat="1" x14ac:dyDescent="0.2">
      <c r="A1189" s="5"/>
      <c r="B1189" s="5"/>
      <c r="C1189" s="5"/>
      <c r="D1189" s="5"/>
      <c r="E1189" s="5"/>
      <c r="F1189" s="5"/>
      <c r="G1189" s="5"/>
    </row>
    <row r="1190" spans="1:7" s="1" customFormat="1" x14ac:dyDescent="0.2">
      <c r="A1190" s="5"/>
      <c r="B1190" s="5"/>
      <c r="C1190" s="5"/>
      <c r="D1190" s="5"/>
      <c r="E1190" s="5"/>
      <c r="F1190" s="5"/>
      <c r="G1190" s="5"/>
    </row>
    <row r="1191" spans="1:7" s="1" customFormat="1" x14ac:dyDescent="0.2">
      <c r="A1191" s="5"/>
      <c r="B1191" s="5"/>
      <c r="C1191" s="5"/>
      <c r="D1191" s="5"/>
      <c r="E1191" s="5"/>
      <c r="F1191" s="5"/>
      <c r="G1191" s="5"/>
    </row>
    <row r="1192" spans="1:7" s="1" customFormat="1" x14ac:dyDescent="0.2">
      <c r="A1192" s="5"/>
      <c r="B1192" s="5"/>
      <c r="C1192" s="5"/>
      <c r="D1192" s="5"/>
      <c r="E1192" s="5"/>
      <c r="F1192" s="5"/>
      <c r="G1192" s="5"/>
    </row>
    <row r="1193" spans="1:7" s="1" customFormat="1" x14ac:dyDescent="0.2">
      <c r="A1193" s="5"/>
      <c r="B1193" s="5"/>
      <c r="C1193" s="5"/>
      <c r="D1193" s="5"/>
      <c r="E1193" s="5"/>
      <c r="F1193" s="5"/>
      <c r="G1193" s="5"/>
    </row>
    <row r="1194" spans="1:7" s="1" customFormat="1" x14ac:dyDescent="0.2">
      <c r="A1194" s="5"/>
      <c r="B1194" s="5"/>
      <c r="C1194" s="5"/>
      <c r="D1194" s="5"/>
      <c r="E1194" s="5"/>
      <c r="F1194" s="5"/>
      <c r="G1194" s="5"/>
    </row>
    <row r="1195" spans="1:7" s="1" customFormat="1" x14ac:dyDescent="0.2">
      <c r="A1195" s="5"/>
      <c r="B1195" s="5"/>
      <c r="C1195" s="5"/>
      <c r="D1195" s="5"/>
      <c r="E1195" s="5"/>
      <c r="F1195" s="5"/>
      <c r="G1195" s="5"/>
    </row>
    <row r="1196" spans="1:7" s="1" customFormat="1" x14ac:dyDescent="0.2">
      <c r="A1196" s="5"/>
      <c r="B1196" s="5"/>
      <c r="C1196" s="5"/>
      <c r="D1196" s="5"/>
      <c r="E1196" s="5"/>
      <c r="F1196" s="5"/>
      <c r="G1196" s="5"/>
    </row>
    <row r="1197" spans="1:7" s="1" customFormat="1" x14ac:dyDescent="0.2">
      <c r="A1197" s="5"/>
      <c r="B1197" s="5"/>
      <c r="C1197" s="5"/>
      <c r="D1197" s="5"/>
      <c r="E1197" s="5"/>
      <c r="F1197" s="5"/>
      <c r="G1197" s="5"/>
    </row>
    <row r="1198" spans="1:7" s="1" customFormat="1" x14ac:dyDescent="0.2">
      <c r="A1198" s="5"/>
      <c r="B1198" s="5"/>
      <c r="C1198" s="5"/>
      <c r="D1198" s="5"/>
      <c r="E1198" s="5"/>
      <c r="F1198" s="5"/>
      <c r="G1198" s="5"/>
    </row>
    <row r="1199" spans="1:7" s="1" customFormat="1" x14ac:dyDescent="0.2">
      <c r="A1199" s="5"/>
      <c r="B1199" s="5"/>
      <c r="C1199" s="5"/>
      <c r="D1199" s="5"/>
      <c r="E1199" s="5"/>
      <c r="F1199" s="5"/>
      <c r="G1199" s="5"/>
    </row>
    <row r="1200" spans="1:7" s="1" customFormat="1" x14ac:dyDescent="0.2">
      <c r="A1200" s="5"/>
      <c r="B1200" s="5"/>
      <c r="C1200" s="5"/>
      <c r="D1200" s="5"/>
      <c r="E1200" s="5"/>
      <c r="F1200" s="5"/>
      <c r="G1200" s="5"/>
    </row>
    <row r="1201" spans="1:7" s="1" customFormat="1" x14ac:dyDescent="0.2">
      <c r="A1201" s="5"/>
      <c r="B1201" s="5"/>
      <c r="C1201" s="5"/>
      <c r="D1201" s="5"/>
      <c r="E1201" s="5"/>
      <c r="F1201" s="5"/>
      <c r="G1201" s="5"/>
    </row>
    <row r="1202" spans="1:7" s="1" customFormat="1" x14ac:dyDescent="0.2">
      <c r="A1202" s="5"/>
      <c r="B1202" s="5"/>
      <c r="C1202" s="5"/>
      <c r="D1202" s="5"/>
      <c r="E1202" s="5"/>
      <c r="F1202" s="5"/>
      <c r="G1202" s="5"/>
    </row>
    <row r="1203" spans="1:7" s="1" customFormat="1" x14ac:dyDescent="0.2">
      <c r="A1203" s="5"/>
      <c r="B1203" s="5"/>
      <c r="C1203" s="5"/>
      <c r="D1203" s="5"/>
      <c r="E1203" s="5"/>
      <c r="F1203" s="5"/>
      <c r="G1203" s="5"/>
    </row>
    <row r="1204" spans="1:7" s="1" customFormat="1" x14ac:dyDescent="0.2">
      <c r="A1204" s="5"/>
      <c r="B1204" s="5"/>
      <c r="C1204" s="5"/>
      <c r="D1204" s="5"/>
      <c r="E1204" s="5"/>
      <c r="F1204" s="5"/>
      <c r="G1204" s="5"/>
    </row>
    <row r="1205" spans="1:7" s="1" customFormat="1" x14ac:dyDescent="0.2">
      <c r="A1205" s="5"/>
      <c r="B1205" s="5"/>
      <c r="C1205" s="5"/>
      <c r="D1205" s="5"/>
      <c r="E1205" s="5"/>
      <c r="F1205" s="5"/>
      <c r="G1205" s="5"/>
    </row>
    <row r="1206" spans="1:7" s="1" customFormat="1" x14ac:dyDescent="0.2">
      <c r="A1206" s="5"/>
      <c r="B1206" s="5"/>
      <c r="C1206" s="5"/>
      <c r="D1206" s="5"/>
      <c r="E1206" s="5"/>
      <c r="F1206" s="5"/>
      <c r="G1206" s="5"/>
    </row>
    <row r="1207" spans="1:7" s="1" customFormat="1" x14ac:dyDescent="0.2">
      <c r="A1207" s="5"/>
      <c r="B1207" s="5"/>
      <c r="C1207" s="5"/>
      <c r="D1207" s="5"/>
      <c r="E1207" s="5"/>
      <c r="F1207" s="5"/>
      <c r="G1207" s="5"/>
    </row>
    <row r="1208" spans="1:7" s="1" customFormat="1" x14ac:dyDescent="0.2">
      <c r="A1208" s="5"/>
      <c r="B1208" s="5"/>
      <c r="C1208" s="5"/>
      <c r="D1208" s="5"/>
      <c r="E1208" s="5"/>
      <c r="F1208" s="5"/>
      <c r="G1208" s="5"/>
    </row>
    <row r="1209" spans="1:7" s="1" customFormat="1" x14ac:dyDescent="0.2">
      <c r="A1209" s="5"/>
      <c r="B1209" s="5"/>
      <c r="C1209" s="5"/>
      <c r="D1209" s="5"/>
      <c r="E1209" s="5"/>
      <c r="F1209" s="5"/>
      <c r="G1209" s="5"/>
    </row>
    <row r="1210" spans="1:7" s="1" customFormat="1" x14ac:dyDescent="0.2">
      <c r="A1210" s="5"/>
      <c r="B1210" s="5"/>
      <c r="C1210" s="5"/>
      <c r="D1210" s="5"/>
      <c r="E1210" s="5"/>
      <c r="F1210" s="5"/>
      <c r="G1210" s="5"/>
    </row>
    <row r="1211" spans="1:7" s="1" customFormat="1" x14ac:dyDescent="0.2">
      <c r="A1211" s="5"/>
      <c r="B1211" s="5"/>
      <c r="C1211" s="5"/>
      <c r="D1211" s="5"/>
      <c r="E1211" s="5"/>
      <c r="F1211" s="5"/>
      <c r="G1211" s="5"/>
    </row>
    <row r="1212" spans="1:7" s="1" customFormat="1" x14ac:dyDescent="0.2">
      <c r="A1212" s="5"/>
      <c r="B1212" s="5"/>
      <c r="C1212" s="5"/>
      <c r="D1212" s="5"/>
      <c r="E1212" s="5"/>
      <c r="F1212" s="5"/>
      <c r="G1212" s="5"/>
    </row>
    <row r="1213" spans="1:7" s="1" customFormat="1" x14ac:dyDescent="0.2">
      <c r="A1213" s="5"/>
      <c r="B1213" s="5"/>
      <c r="C1213" s="5"/>
      <c r="D1213" s="5"/>
      <c r="E1213" s="5"/>
      <c r="F1213" s="5"/>
      <c r="G1213" s="5"/>
    </row>
    <row r="1214" spans="1:7" s="1" customFormat="1" x14ac:dyDescent="0.2">
      <c r="A1214" s="5"/>
      <c r="B1214" s="5"/>
      <c r="C1214" s="5"/>
      <c r="D1214" s="5"/>
      <c r="E1214" s="5"/>
      <c r="F1214" s="5"/>
      <c r="G1214" s="5"/>
    </row>
    <row r="1215" spans="1:7" s="1" customFormat="1" x14ac:dyDescent="0.2">
      <c r="A1215" s="5"/>
      <c r="B1215" s="5"/>
      <c r="C1215" s="5"/>
      <c r="D1215" s="5"/>
      <c r="E1215" s="5"/>
      <c r="F1215" s="5"/>
      <c r="G1215" s="5"/>
    </row>
    <row r="1216" spans="1:7" s="1" customFormat="1" x14ac:dyDescent="0.2">
      <c r="A1216" s="5"/>
      <c r="B1216" s="5"/>
      <c r="C1216" s="5"/>
      <c r="D1216" s="5"/>
      <c r="E1216" s="5"/>
      <c r="F1216" s="5"/>
      <c r="G1216" s="5"/>
    </row>
    <row r="1217" spans="1:7" s="1" customFormat="1" x14ac:dyDescent="0.2">
      <c r="A1217" s="5"/>
      <c r="B1217" s="5"/>
      <c r="C1217" s="5"/>
      <c r="D1217" s="5"/>
      <c r="E1217" s="5"/>
      <c r="F1217" s="5"/>
      <c r="G1217" s="5"/>
    </row>
    <row r="1218" spans="1:7" s="1" customFormat="1" x14ac:dyDescent="0.2">
      <c r="A1218" s="5"/>
      <c r="B1218" s="5"/>
      <c r="C1218" s="5"/>
      <c r="D1218" s="5"/>
      <c r="E1218" s="5"/>
      <c r="F1218" s="5"/>
      <c r="G1218" s="5"/>
    </row>
    <row r="1219" spans="1:7" s="1" customFormat="1" x14ac:dyDescent="0.2">
      <c r="A1219" s="5"/>
      <c r="B1219" s="5"/>
      <c r="C1219" s="5"/>
      <c r="D1219" s="5"/>
      <c r="E1219" s="5"/>
      <c r="F1219" s="5"/>
      <c r="G1219" s="5"/>
    </row>
    <row r="1220" spans="1:7" s="1" customFormat="1" x14ac:dyDescent="0.2">
      <c r="A1220" s="5"/>
      <c r="B1220" s="5"/>
      <c r="C1220" s="5"/>
      <c r="D1220" s="5"/>
      <c r="E1220" s="5"/>
      <c r="F1220" s="5"/>
      <c r="G1220" s="5"/>
    </row>
    <row r="1221" spans="1:7" s="1" customFormat="1" x14ac:dyDescent="0.2">
      <c r="A1221" s="5"/>
      <c r="B1221" s="5"/>
      <c r="C1221" s="5"/>
      <c r="D1221" s="5"/>
      <c r="E1221" s="5"/>
      <c r="F1221" s="5"/>
      <c r="G1221" s="5"/>
    </row>
    <row r="1222" spans="1:7" s="1" customFormat="1" x14ac:dyDescent="0.2">
      <c r="A1222" s="5"/>
      <c r="B1222" s="5"/>
      <c r="C1222" s="5"/>
      <c r="D1222" s="5"/>
      <c r="E1222" s="5"/>
      <c r="F1222" s="5"/>
      <c r="G1222" s="5"/>
    </row>
    <row r="1223" spans="1:7" s="1" customFormat="1" x14ac:dyDescent="0.2">
      <c r="A1223" s="5"/>
      <c r="B1223" s="5"/>
      <c r="C1223" s="5"/>
      <c r="D1223" s="5"/>
      <c r="E1223" s="5"/>
      <c r="F1223" s="5"/>
      <c r="G1223" s="5"/>
    </row>
    <row r="1224" spans="1:7" s="1" customFormat="1" x14ac:dyDescent="0.2">
      <c r="A1224" s="5"/>
      <c r="B1224" s="5"/>
      <c r="C1224" s="5"/>
      <c r="D1224" s="5"/>
      <c r="E1224" s="5"/>
      <c r="F1224" s="5"/>
      <c r="G1224" s="5"/>
    </row>
    <row r="1225" spans="1:7" s="1" customFormat="1" x14ac:dyDescent="0.2">
      <c r="A1225" s="5"/>
      <c r="B1225" s="5"/>
      <c r="C1225" s="5"/>
      <c r="D1225" s="5"/>
      <c r="E1225" s="5"/>
      <c r="F1225" s="5"/>
      <c r="G1225" s="5"/>
    </row>
    <row r="1226" spans="1:7" s="1" customFormat="1" x14ac:dyDescent="0.2">
      <c r="A1226" s="5"/>
      <c r="B1226" s="5"/>
      <c r="C1226" s="5"/>
      <c r="D1226" s="5"/>
      <c r="E1226" s="5"/>
      <c r="F1226" s="5"/>
      <c r="G1226" s="5"/>
    </row>
    <row r="1227" spans="1:7" s="1" customFormat="1" x14ac:dyDescent="0.2">
      <c r="A1227" s="5"/>
      <c r="B1227" s="5"/>
      <c r="C1227" s="5"/>
      <c r="D1227" s="5"/>
      <c r="E1227" s="5"/>
      <c r="F1227" s="5"/>
      <c r="G1227" s="5"/>
    </row>
    <row r="1228" spans="1:7" s="1" customFormat="1" x14ac:dyDescent="0.2">
      <c r="A1228" s="5"/>
      <c r="B1228" s="5"/>
      <c r="C1228" s="5"/>
      <c r="D1228" s="5"/>
      <c r="E1228" s="5"/>
      <c r="F1228" s="5"/>
      <c r="G1228" s="5"/>
    </row>
    <row r="1229" spans="1:7" s="1" customFormat="1" x14ac:dyDescent="0.2">
      <c r="A1229" s="5"/>
      <c r="B1229" s="5"/>
      <c r="C1229" s="5"/>
      <c r="D1229" s="5"/>
      <c r="E1229" s="5"/>
      <c r="F1229" s="5"/>
      <c r="G1229" s="5"/>
    </row>
    <row r="1230" spans="1:7" s="1" customFormat="1" x14ac:dyDescent="0.2">
      <c r="A1230" s="5"/>
      <c r="B1230" s="5"/>
      <c r="C1230" s="5"/>
      <c r="D1230" s="5"/>
      <c r="E1230" s="5"/>
      <c r="F1230" s="5"/>
      <c r="G1230" s="5"/>
    </row>
    <row r="1231" spans="1:7" s="1" customFormat="1" x14ac:dyDescent="0.2">
      <c r="A1231" s="5"/>
      <c r="B1231" s="5"/>
      <c r="C1231" s="5"/>
      <c r="D1231" s="5"/>
      <c r="E1231" s="5"/>
      <c r="F1231" s="5"/>
      <c r="G1231" s="5"/>
    </row>
    <row r="1232" spans="1:7" s="1" customFormat="1" x14ac:dyDescent="0.2">
      <c r="A1232" s="5"/>
      <c r="B1232" s="5"/>
      <c r="C1232" s="5"/>
      <c r="D1232" s="5"/>
      <c r="E1232" s="5"/>
      <c r="F1232" s="5"/>
      <c r="G1232" s="5"/>
    </row>
    <row r="1233" spans="1:7" s="1" customFormat="1" x14ac:dyDescent="0.2">
      <c r="A1233" s="5"/>
      <c r="B1233" s="5"/>
      <c r="C1233" s="5"/>
      <c r="D1233" s="5"/>
      <c r="E1233" s="5"/>
      <c r="F1233" s="5"/>
      <c r="G1233" s="5"/>
    </row>
    <row r="1234" spans="1:7" s="1" customFormat="1" x14ac:dyDescent="0.2">
      <c r="A1234" s="5"/>
      <c r="B1234" s="5"/>
      <c r="C1234" s="5"/>
      <c r="D1234" s="5"/>
      <c r="E1234" s="5"/>
      <c r="F1234" s="5"/>
      <c r="G1234" s="5"/>
    </row>
    <row r="1235" spans="1:7" s="1" customFormat="1" x14ac:dyDescent="0.2">
      <c r="A1235" s="5"/>
      <c r="B1235" s="5"/>
      <c r="C1235" s="5"/>
      <c r="D1235" s="5"/>
      <c r="E1235" s="5"/>
      <c r="F1235" s="5"/>
      <c r="G1235" s="5"/>
    </row>
    <row r="1236" spans="1:7" s="1" customFormat="1" x14ac:dyDescent="0.2">
      <c r="A1236" s="5"/>
      <c r="B1236" s="5"/>
      <c r="C1236" s="5"/>
      <c r="D1236" s="5"/>
      <c r="E1236" s="5"/>
      <c r="F1236" s="5"/>
      <c r="G1236" s="5"/>
    </row>
    <row r="1237" spans="1:7" s="1" customFormat="1" x14ac:dyDescent="0.2">
      <c r="A1237" s="5"/>
      <c r="B1237" s="5"/>
      <c r="C1237" s="5"/>
      <c r="D1237" s="5"/>
      <c r="E1237" s="5"/>
      <c r="F1237" s="5"/>
      <c r="G1237" s="5"/>
    </row>
    <row r="1238" spans="1:7" s="1" customFormat="1" x14ac:dyDescent="0.2">
      <c r="A1238" s="5"/>
      <c r="B1238" s="5"/>
      <c r="C1238" s="5"/>
      <c r="D1238" s="5"/>
      <c r="E1238" s="5"/>
      <c r="F1238" s="5"/>
      <c r="G1238" s="5"/>
    </row>
    <row r="1239" spans="1:7" s="1" customFormat="1" x14ac:dyDescent="0.2">
      <c r="A1239" s="5"/>
      <c r="B1239" s="5"/>
      <c r="C1239" s="5"/>
      <c r="D1239" s="5"/>
      <c r="E1239" s="5"/>
      <c r="F1239" s="5"/>
      <c r="G1239" s="5"/>
    </row>
    <row r="1240" spans="1:7" s="1" customFormat="1" x14ac:dyDescent="0.2">
      <c r="A1240" s="5"/>
      <c r="B1240" s="5"/>
      <c r="C1240" s="5"/>
      <c r="D1240" s="5"/>
      <c r="E1240" s="5"/>
      <c r="F1240" s="5"/>
      <c r="G1240" s="5"/>
    </row>
    <row r="1241" spans="1:7" s="1" customFormat="1" x14ac:dyDescent="0.2">
      <c r="A1241" s="5"/>
      <c r="B1241" s="5"/>
      <c r="C1241" s="5"/>
      <c r="D1241" s="5"/>
      <c r="E1241" s="5"/>
      <c r="F1241" s="5"/>
      <c r="G1241" s="5"/>
    </row>
    <row r="1242" spans="1:7" s="1" customFormat="1" x14ac:dyDescent="0.2">
      <c r="A1242" s="5"/>
      <c r="B1242" s="5"/>
      <c r="C1242" s="5"/>
      <c r="D1242" s="5"/>
      <c r="E1242" s="5"/>
      <c r="F1242" s="5"/>
      <c r="G1242" s="5"/>
    </row>
    <row r="1243" spans="1:7" s="1" customFormat="1" x14ac:dyDescent="0.2">
      <c r="A1243" s="5"/>
      <c r="B1243" s="5"/>
      <c r="C1243" s="5"/>
      <c r="D1243" s="5"/>
      <c r="E1243" s="5"/>
      <c r="F1243" s="5"/>
      <c r="G1243" s="5"/>
    </row>
    <row r="1244" spans="1:7" s="1" customFormat="1" x14ac:dyDescent="0.2">
      <c r="A1244" s="5"/>
      <c r="B1244" s="5"/>
      <c r="C1244" s="5"/>
      <c r="D1244" s="5"/>
      <c r="E1244" s="5"/>
      <c r="F1244" s="5"/>
      <c r="G1244" s="5"/>
    </row>
    <row r="1245" spans="1:7" s="1" customFormat="1" x14ac:dyDescent="0.2">
      <c r="A1245" s="5"/>
      <c r="B1245" s="5"/>
      <c r="C1245" s="5"/>
      <c r="D1245" s="5"/>
      <c r="E1245" s="5"/>
      <c r="F1245" s="5"/>
      <c r="G1245" s="5"/>
    </row>
    <row r="1246" spans="1:7" s="1" customFormat="1" x14ac:dyDescent="0.2">
      <c r="A1246" s="5"/>
      <c r="B1246" s="5"/>
      <c r="C1246" s="5"/>
      <c r="D1246" s="5"/>
      <c r="E1246" s="5"/>
      <c r="F1246" s="5"/>
      <c r="G1246" s="5"/>
    </row>
    <row r="1247" spans="1:7" s="1" customFormat="1" x14ac:dyDescent="0.2">
      <c r="A1247" s="5"/>
      <c r="B1247" s="5"/>
      <c r="C1247" s="5"/>
      <c r="D1247" s="5"/>
      <c r="E1247" s="5"/>
      <c r="F1247" s="5"/>
      <c r="G1247" s="5"/>
    </row>
    <row r="1248" spans="1:7" s="1" customFormat="1" x14ac:dyDescent="0.2">
      <c r="A1248" s="5"/>
      <c r="B1248" s="5"/>
      <c r="C1248" s="5"/>
      <c r="D1248" s="5"/>
      <c r="E1248" s="5"/>
      <c r="F1248" s="5"/>
      <c r="G1248" s="5"/>
    </row>
    <row r="1249" spans="1:7" s="1" customFormat="1" x14ac:dyDescent="0.2">
      <c r="A1249" s="5"/>
      <c r="B1249" s="5"/>
      <c r="C1249" s="5"/>
      <c r="D1249" s="5"/>
      <c r="E1249" s="5"/>
      <c r="F1249" s="5"/>
      <c r="G1249" s="5"/>
    </row>
    <row r="1250" spans="1:7" s="1" customFormat="1" x14ac:dyDescent="0.2">
      <c r="A1250" s="5"/>
      <c r="B1250" s="5"/>
      <c r="C1250" s="5"/>
      <c r="D1250" s="5"/>
      <c r="E1250" s="5"/>
      <c r="F1250" s="5"/>
      <c r="G1250" s="5"/>
    </row>
    <row r="1251" spans="1:7" s="1" customFormat="1" x14ac:dyDescent="0.2">
      <c r="A1251" s="5"/>
      <c r="B1251" s="5"/>
      <c r="C1251" s="5"/>
      <c r="D1251" s="5"/>
      <c r="E1251" s="5"/>
      <c r="F1251" s="5"/>
      <c r="G1251" s="5"/>
    </row>
    <row r="1252" spans="1:7" s="1" customFormat="1" x14ac:dyDescent="0.2">
      <c r="A1252" s="5"/>
      <c r="B1252" s="5"/>
      <c r="C1252" s="5"/>
      <c r="D1252" s="5"/>
      <c r="E1252" s="5"/>
      <c r="F1252" s="5"/>
      <c r="G1252" s="5"/>
    </row>
    <row r="1253" spans="1:7" s="1" customFormat="1" x14ac:dyDescent="0.2">
      <c r="A1253" s="5"/>
      <c r="B1253" s="5"/>
      <c r="C1253" s="5"/>
      <c r="D1253" s="5"/>
      <c r="E1253" s="5"/>
      <c r="F1253" s="5"/>
      <c r="G1253" s="5"/>
    </row>
    <row r="1254" spans="1:7" s="1" customFormat="1" x14ac:dyDescent="0.2">
      <c r="A1254" s="5"/>
      <c r="B1254" s="5"/>
      <c r="C1254" s="5"/>
      <c r="D1254" s="5"/>
      <c r="E1254" s="5"/>
      <c r="F1254" s="5"/>
      <c r="G1254" s="5"/>
    </row>
    <row r="1255" spans="1:7" s="1" customFormat="1" x14ac:dyDescent="0.2">
      <c r="A1255" s="5"/>
      <c r="B1255" s="5"/>
      <c r="C1255" s="5"/>
      <c r="D1255" s="5"/>
      <c r="E1255" s="5"/>
      <c r="F1255" s="5"/>
      <c r="G1255" s="5"/>
    </row>
    <row r="1256" spans="1:7" s="1" customFormat="1" x14ac:dyDescent="0.2">
      <c r="A1256" s="5"/>
      <c r="B1256" s="5"/>
      <c r="C1256" s="5"/>
      <c r="D1256" s="5"/>
      <c r="E1256" s="5"/>
      <c r="F1256" s="5"/>
      <c r="G1256" s="5"/>
    </row>
    <row r="1257" spans="1:7" s="1" customFormat="1" x14ac:dyDescent="0.2">
      <c r="A1257" s="5"/>
      <c r="B1257" s="5"/>
      <c r="C1257" s="5"/>
      <c r="D1257" s="5"/>
      <c r="E1257" s="5"/>
      <c r="F1257" s="5"/>
      <c r="G1257" s="5"/>
    </row>
    <row r="1258" spans="1:7" s="1" customFormat="1" x14ac:dyDescent="0.2">
      <c r="A1258" s="5"/>
      <c r="B1258" s="5"/>
      <c r="C1258" s="5"/>
      <c r="D1258" s="5"/>
      <c r="E1258" s="5"/>
      <c r="F1258" s="5"/>
      <c r="G1258" s="5"/>
    </row>
    <row r="1259" spans="1:7" s="1" customFormat="1" x14ac:dyDescent="0.2">
      <c r="A1259" s="5"/>
      <c r="B1259" s="5"/>
      <c r="C1259" s="5"/>
      <c r="D1259" s="5"/>
      <c r="E1259" s="5"/>
      <c r="F1259" s="5"/>
      <c r="G1259" s="5"/>
    </row>
    <row r="1260" spans="1:7" s="1" customFormat="1" x14ac:dyDescent="0.2">
      <c r="A1260" s="5"/>
      <c r="B1260" s="5"/>
      <c r="C1260" s="5"/>
      <c r="D1260" s="5"/>
      <c r="E1260" s="5"/>
      <c r="F1260" s="5"/>
      <c r="G1260" s="5"/>
    </row>
    <row r="1261" spans="1:7" s="1" customFormat="1" x14ac:dyDescent="0.2">
      <c r="A1261" s="5"/>
      <c r="B1261" s="5"/>
      <c r="C1261" s="5"/>
      <c r="D1261" s="5"/>
      <c r="E1261" s="5"/>
      <c r="F1261" s="5"/>
      <c r="G1261" s="5"/>
    </row>
    <row r="1262" spans="1:7" s="1" customFormat="1" x14ac:dyDescent="0.2">
      <c r="A1262" s="5"/>
      <c r="B1262" s="5"/>
      <c r="C1262" s="5"/>
      <c r="D1262" s="5"/>
      <c r="E1262" s="5"/>
      <c r="F1262" s="5"/>
      <c r="G1262" s="5"/>
    </row>
    <row r="1263" spans="1:7" s="1" customFormat="1" x14ac:dyDescent="0.2">
      <c r="A1263" s="5"/>
      <c r="B1263" s="5"/>
      <c r="C1263" s="5"/>
      <c r="D1263" s="5"/>
      <c r="E1263" s="5"/>
      <c r="F1263" s="5"/>
      <c r="G1263" s="5"/>
    </row>
    <row r="1264" spans="1:7" s="1" customFormat="1" x14ac:dyDescent="0.2">
      <c r="A1264" s="5"/>
      <c r="B1264" s="5"/>
      <c r="C1264" s="5"/>
      <c r="D1264" s="5"/>
      <c r="E1264" s="5"/>
      <c r="F1264" s="5"/>
      <c r="G1264" s="5"/>
    </row>
    <row r="1265" spans="1:7" s="1" customFormat="1" x14ac:dyDescent="0.2">
      <c r="A1265" s="5"/>
      <c r="B1265" s="5"/>
      <c r="C1265" s="5"/>
      <c r="D1265" s="5"/>
      <c r="E1265" s="5"/>
      <c r="F1265" s="5"/>
      <c r="G1265" s="5"/>
    </row>
    <row r="1266" spans="1:7" s="1" customFormat="1" x14ac:dyDescent="0.2">
      <c r="A1266" s="5"/>
      <c r="B1266" s="5"/>
      <c r="C1266" s="5"/>
      <c r="D1266" s="5"/>
      <c r="E1266" s="5"/>
      <c r="F1266" s="5"/>
      <c r="G1266" s="5"/>
    </row>
    <row r="1267" spans="1:7" s="1" customFormat="1" x14ac:dyDescent="0.2">
      <c r="A1267" s="5"/>
      <c r="B1267" s="5"/>
      <c r="C1267" s="5"/>
      <c r="D1267" s="5"/>
      <c r="E1267" s="5"/>
      <c r="F1267" s="5"/>
      <c r="G1267" s="5"/>
    </row>
    <row r="1268" spans="1:7" s="1" customFormat="1" x14ac:dyDescent="0.2">
      <c r="A1268" s="5"/>
      <c r="B1268" s="5"/>
      <c r="C1268" s="5"/>
      <c r="D1268" s="5"/>
      <c r="E1268" s="5"/>
      <c r="F1268" s="5"/>
      <c r="G1268" s="5"/>
    </row>
    <row r="1269" spans="1:7" s="1" customFormat="1" x14ac:dyDescent="0.2">
      <c r="A1269" s="5"/>
      <c r="B1269" s="5"/>
      <c r="C1269" s="5"/>
      <c r="D1269" s="5"/>
      <c r="E1269" s="5"/>
      <c r="F1269" s="5"/>
      <c r="G1269" s="5"/>
    </row>
    <row r="1270" spans="1:7" s="1" customFormat="1" x14ac:dyDescent="0.2">
      <c r="A1270" s="5"/>
      <c r="B1270" s="5"/>
      <c r="C1270" s="5"/>
      <c r="D1270" s="5"/>
      <c r="E1270" s="5"/>
      <c r="F1270" s="5"/>
      <c r="G1270" s="5"/>
    </row>
    <row r="1271" spans="1:7" s="1" customFormat="1" x14ac:dyDescent="0.2">
      <c r="A1271" s="5"/>
      <c r="B1271" s="5"/>
      <c r="C1271" s="5"/>
      <c r="D1271" s="5"/>
      <c r="E1271" s="5"/>
      <c r="F1271" s="5"/>
      <c r="G1271" s="5"/>
    </row>
    <row r="1272" spans="1:7" s="1" customFormat="1" x14ac:dyDescent="0.2">
      <c r="A1272" s="5"/>
      <c r="B1272" s="5"/>
      <c r="C1272" s="5"/>
      <c r="D1272" s="5"/>
      <c r="E1272" s="5"/>
      <c r="F1272" s="5"/>
      <c r="G1272" s="5"/>
    </row>
    <row r="1273" spans="1:7" s="1" customFormat="1" x14ac:dyDescent="0.2">
      <c r="A1273" s="5"/>
      <c r="B1273" s="5"/>
      <c r="C1273" s="5"/>
      <c r="D1273" s="5"/>
      <c r="E1273" s="5"/>
      <c r="F1273" s="5"/>
      <c r="G1273" s="5"/>
    </row>
    <row r="1274" spans="1:7" s="1" customFormat="1" x14ac:dyDescent="0.2">
      <c r="A1274" s="5"/>
      <c r="B1274" s="5"/>
      <c r="C1274" s="5"/>
      <c r="D1274" s="5"/>
      <c r="E1274" s="5"/>
      <c r="F1274" s="5"/>
      <c r="G1274" s="5"/>
    </row>
    <row r="1275" spans="1:7" s="1" customFormat="1" x14ac:dyDescent="0.2">
      <c r="A1275" s="5"/>
      <c r="B1275" s="5"/>
      <c r="C1275" s="5"/>
      <c r="D1275" s="5"/>
      <c r="E1275" s="5"/>
      <c r="F1275" s="5"/>
      <c r="G1275" s="5"/>
    </row>
    <row r="1276" spans="1:7" s="1" customFormat="1" x14ac:dyDescent="0.2">
      <c r="A1276" s="5"/>
      <c r="B1276" s="5"/>
      <c r="C1276" s="5"/>
      <c r="D1276" s="5"/>
      <c r="E1276" s="5"/>
      <c r="F1276" s="5"/>
      <c r="G1276" s="5"/>
    </row>
    <row r="1277" spans="1:7" s="1" customFormat="1" x14ac:dyDescent="0.2">
      <c r="A1277" s="5"/>
      <c r="B1277" s="5"/>
      <c r="C1277" s="5"/>
      <c r="D1277" s="5"/>
      <c r="E1277" s="5"/>
      <c r="F1277" s="5"/>
      <c r="G1277" s="5"/>
    </row>
    <row r="1278" spans="1:7" s="1" customFormat="1" x14ac:dyDescent="0.2">
      <c r="A1278" s="5"/>
      <c r="B1278" s="5"/>
      <c r="C1278" s="5"/>
      <c r="D1278" s="5"/>
      <c r="E1278" s="5"/>
      <c r="F1278" s="5"/>
      <c r="G1278" s="5"/>
    </row>
    <row r="1279" spans="1:7" s="1" customFormat="1" x14ac:dyDescent="0.2">
      <c r="A1279" s="5"/>
      <c r="B1279" s="5"/>
      <c r="C1279" s="5"/>
      <c r="D1279" s="5"/>
      <c r="E1279" s="5"/>
      <c r="F1279" s="5"/>
      <c r="G1279" s="5"/>
    </row>
    <row r="1280" spans="1:7" s="1" customFormat="1" x14ac:dyDescent="0.2">
      <c r="A1280" s="5"/>
      <c r="B1280" s="5"/>
      <c r="C1280" s="5"/>
      <c r="D1280" s="5"/>
      <c r="E1280" s="5"/>
      <c r="F1280" s="5"/>
      <c r="G1280" s="5"/>
    </row>
    <row r="1281" spans="1:7" s="1" customFormat="1" x14ac:dyDescent="0.2">
      <c r="A1281" s="5"/>
      <c r="B1281" s="5"/>
      <c r="C1281" s="5"/>
      <c r="D1281" s="5"/>
      <c r="E1281" s="5"/>
      <c r="F1281" s="5"/>
      <c r="G1281" s="5"/>
    </row>
    <row r="1282" spans="1:7" s="1" customFormat="1" x14ac:dyDescent="0.2">
      <c r="A1282" s="5"/>
      <c r="B1282" s="5"/>
      <c r="C1282" s="5"/>
      <c r="D1282" s="5"/>
      <c r="E1282" s="5"/>
      <c r="F1282" s="5"/>
      <c r="G1282" s="5"/>
    </row>
    <row r="1283" spans="1:7" s="1" customFormat="1" x14ac:dyDescent="0.2">
      <c r="A1283" s="5"/>
      <c r="B1283" s="5"/>
      <c r="C1283" s="5"/>
      <c r="D1283" s="5"/>
      <c r="E1283" s="5"/>
      <c r="F1283" s="5"/>
      <c r="G1283" s="5"/>
    </row>
    <row r="1284" spans="1:7" s="1" customFormat="1" x14ac:dyDescent="0.2">
      <c r="A1284" s="5"/>
      <c r="B1284" s="5"/>
      <c r="C1284" s="5"/>
      <c r="D1284" s="5"/>
      <c r="E1284" s="5"/>
      <c r="F1284" s="5"/>
      <c r="G1284" s="5"/>
    </row>
    <row r="1285" spans="1:7" s="1" customFormat="1" x14ac:dyDescent="0.2">
      <c r="A1285" s="5"/>
      <c r="B1285" s="5"/>
      <c r="C1285" s="5"/>
      <c r="D1285" s="5"/>
      <c r="E1285" s="5"/>
      <c r="F1285" s="5"/>
      <c r="G1285" s="5"/>
    </row>
    <row r="1286" spans="1:7" s="1" customFormat="1" x14ac:dyDescent="0.2">
      <c r="A1286" s="5"/>
      <c r="B1286" s="5"/>
      <c r="C1286" s="5"/>
      <c r="D1286" s="5"/>
      <c r="E1286" s="5"/>
      <c r="F1286" s="5"/>
      <c r="G1286" s="5"/>
    </row>
    <row r="1287" spans="1:7" s="1" customFormat="1" x14ac:dyDescent="0.2">
      <c r="A1287" s="5"/>
      <c r="B1287" s="5"/>
      <c r="C1287" s="5"/>
      <c r="D1287" s="5"/>
      <c r="E1287" s="5"/>
      <c r="F1287" s="5"/>
      <c r="G1287" s="5"/>
    </row>
    <row r="1288" spans="1:7" s="1" customFormat="1" x14ac:dyDescent="0.2">
      <c r="A1288" s="5"/>
      <c r="B1288" s="5"/>
      <c r="C1288" s="5"/>
      <c r="D1288" s="5"/>
      <c r="E1288" s="5"/>
      <c r="F1288" s="5"/>
      <c r="G1288" s="5"/>
    </row>
    <row r="1289" spans="1:7" s="1" customFormat="1" x14ac:dyDescent="0.2">
      <c r="A1289" s="5"/>
      <c r="B1289" s="5"/>
      <c r="C1289" s="5"/>
      <c r="D1289" s="5"/>
      <c r="E1289" s="5"/>
      <c r="F1289" s="5"/>
      <c r="G1289" s="5"/>
    </row>
    <row r="1290" spans="1:7" s="1" customFormat="1" x14ac:dyDescent="0.2">
      <c r="A1290" s="5"/>
      <c r="B1290" s="5"/>
      <c r="C1290" s="5"/>
      <c r="D1290" s="5"/>
      <c r="E1290" s="5"/>
      <c r="F1290" s="5"/>
      <c r="G1290" s="5"/>
    </row>
    <row r="1291" spans="1:7" s="1" customFormat="1" x14ac:dyDescent="0.2">
      <c r="A1291" s="5"/>
      <c r="B1291" s="5"/>
      <c r="C1291" s="5"/>
      <c r="D1291" s="5"/>
      <c r="E1291" s="5"/>
      <c r="F1291" s="5"/>
      <c r="G1291" s="5"/>
    </row>
    <row r="1292" spans="1:7" s="1" customFormat="1" x14ac:dyDescent="0.2">
      <c r="A1292" s="5"/>
      <c r="B1292" s="5"/>
      <c r="C1292" s="5"/>
      <c r="D1292" s="5"/>
      <c r="E1292" s="5"/>
      <c r="F1292" s="5"/>
      <c r="G1292" s="5"/>
    </row>
    <row r="1293" spans="1:7" s="1" customFormat="1" x14ac:dyDescent="0.2">
      <c r="A1293" s="5"/>
      <c r="B1293" s="5"/>
      <c r="C1293" s="5"/>
      <c r="D1293" s="5"/>
      <c r="E1293" s="5"/>
      <c r="F1293" s="5"/>
      <c r="G1293" s="5"/>
    </row>
    <row r="1294" spans="1:7" s="1" customFormat="1" x14ac:dyDescent="0.2">
      <c r="A1294" s="5"/>
      <c r="B1294" s="5"/>
      <c r="C1294" s="5"/>
      <c r="D1294" s="5"/>
      <c r="E1294" s="5"/>
      <c r="F1294" s="5"/>
      <c r="G1294" s="5"/>
    </row>
    <row r="1295" spans="1:7" s="1" customFormat="1" x14ac:dyDescent="0.2">
      <c r="A1295" s="5"/>
      <c r="B1295" s="5"/>
      <c r="C1295" s="5"/>
      <c r="D1295" s="5"/>
      <c r="E1295" s="5"/>
      <c r="F1295" s="5"/>
      <c r="G1295" s="5"/>
    </row>
    <row r="1296" spans="1:7" s="1" customFormat="1" x14ac:dyDescent="0.2">
      <c r="A1296" s="5"/>
      <c r="B1296" s="5"/>
      <c r="C1296" s="5"/>
      <c r="D1296" s="5"/>
      <c r="E1296" s="5"/>
      <c r="F1296" s="5"/>
      <c r="G1296" s="5"/>
    </row>
    <row r="1297" spans="1:7" s="1" customFormat="1" x14ac:dyDescent="0.2">
      <c r="A1297" s="5"/>
      <c r="B1297" s="5"/>
      <c r="C1297" s="5"/>
      <c r="D1297" s="5"/>
      <c r="E1297" s="5"/>
      <c r="F1297" s="5"/>
      <c r="G1297" s="5"/>
    </row>
    <row r="1298" spans="1:7" s="1" customFormat="1" x14ac:dyDescent="0.2">
      <c r="A1298" s="5"/>
      <c r="B1298" s="5"/>
      <c r="C1298" s="5"/>
      <c r="D1298" s="5"/>
      <c r="E1298" s="5"/>
      <c r="F1298" s="5"/>
      <c r="G1298" s="5"/>
    </row>
    <row r="1299" spans="1:7" s="1" customFormat="1" x14ac:dyDescent="0.2">
      <c r="A1299" s="5"/>
      <c r="B1299" s="5"/>
      <c r="C1299" s="5"/>
      <c r="D1299" s="5"/>
      <c r="E1299" s="5"/>
      <c r="F1299" s="5"/>
      <c r="G1299" s="5"/>
    </row>
    <row r="1300" spans="1:7" s="1" customFormat="1" x14ac:dyDescent="0.2">
      <c r="A1300" s="5"/>
      <c r="B1300" s="5"/>
      <c r="C1300" s="5"/>
      <c r="D1300" s="5"/>
      <c r="E1300" s="5"/>
      <c r="F1300" s="5"/>
      <c r="G1300" s="5"/>
    </row>
    <row r="1301" spans="1:7" s="1" customFormat="1" x14ac:dyDescent="0.2">
      <c r="A1301" s="5"/>
      <c r="B1301" s="5"/>
      <c r="C1301" s="5"/>
      <c r="D1301" s="5"/>
      <c r="E1301" s="5"/>
      <c r="F1301" s="5"/>
      <c r="G1301" s="5"/>
    </row>
    <row r="1302" spans="1:7" s="1" customFormat="1" x14ac:dyDescent="0.2">
      <c r="A1302" s="5"/>
      <c r="B1302" s="5"/>
      <c r="C1302" s="5"/>
      <c r="D1302" s="5"/>
      <c r="E1302" s="5"/>
      <c r="F1302" s="5"/>
      <c r="G1302" s="5"/>
    </row>
    <row r="1303" spans="1:7" s="1" customFormat="1" x14ac:dyDescent="0.2">
      <c r="A1303" s="5"/>
      <c r="B1303" s="5"/>
      <c r="C1303" s="5"/>
      <c r="D1303" s="5"/>
      <c r="E1303" s="5"/>
      <c r="F1303" s="5"/>
      <c r="G1303" s="5"/>
    </row>
    <row r="1304" spans="1:7" s="1" customFormat="1" x14ac:dyDescent="0.2">
      <c r="A1304" s="5"/>
      <c r="B1304" s="5"/>
      <c r="C1304" s="5"/>
      <c r="D1304" s="5"/>
      <c r="E1304" s="5"/>
      <c r="F1304" s="5"/>
      <c r="G1304" s="5"/>
    </row>
    <row r="1305" spans="1:7" s="1" customFormat="1" x14ac:dyDescent="0.2">
      <c r="A1305" s="5"/>
      <c r="B1305" s="5"/>
      <c r="C1305" s="5"/>
      <c r="D1305" s="5"/>
      <c r="E1305" s="5"/>
      <c r="F1305" s="5"/>
      <c r="G1305" s="5"/>
    </row>
    <row r="1306" spans="1:7" s="1" customFormat="1" x14ac:dyDescent="0.2">
      <c r="A1306" s="5"/>
      <c r="B1306" s="5"/>
      <c r="C1306" s="5"/>
      <c r="D1306" s="5"/>
      <c r="E1306" s="5"/>
      <c r="F1306" s="5"/>
      <c r="G1306" s="5"/>
    </row>
    <row r="1307" spans="1:7" s="1" customFormat="1" x14ac:dyDescent="0.2">
      <c r="A1307" s="5"/>
      <c r="B1307" s="5"/>
      <c r="C1307" s="5"/>
      <c r="D1307" s="5"/>
      <c r="E1307" s="5"/>
      <c r="F1307" s="5"/>
      <c r="G1307" s="5"/>
    </row>
    <row r="1308" spans="1:7" s="1" customFormat="1" x14ac:dyDescent="0.2">
      <c r="A1308" s="5"/>
      <c r="B1308" s="5"/>
      <c r="C1308" s="5"/>
      <c r="D1308" s="5"/>
      <c r="E1308" s="5"/>
      <c r="F1308" s="5"/>
      <c r="G1308" s="5"/>
    </row>
    <row r="1309" spans="1:7" s="1" customFormat="1" x14ac:dyDescent="0.2">
      <c r="A1309" s="5"/>
      <c r="B1309" s="5"/>
      <c r="C1309" s="5"/>
      <c r="D1309" s="5"/>
      <c r="E1309" s="5"/>
      <c r="F1309" s="5"/>
      <c r="G1309" s="5"/>
    </row>
    <row r="1310" spans="1:7" s="1" customFormat="1" x14ac:dyDescent="0.2">
      <c r="A1310" s="5"/>
      <c r="B1310" s="5"/>
      <c r="C1310" s="5"/>
      <c r="D1310" s="5"/>
      <c r="E1310" s="5"/>
      <c r="F1310" s="5"/>
      <c r="G1310" s="5"/>
    </row>
    <row r="1311" spans="1:7" s="1" customFormat="1" x14ac:dyDescent="0.2">
      <c r="A1311" s="5"/>
      <c r="B1311" s="5"/>
      <c r="C1311" s="5"/>
      <c r="D1311" s="5"/>
      <c r="E1311" s="5"/>
      <c r="F1311" s="5"/>
      <c r="G1311" s="5"/>
    </row>
    <row r="1312" spans="1:7" s="1" customFormat="1" x14ac:dyDescent="0.2">
      <c r="A1312" s="5"/>
      <c r="B1312" s="5"/>
      <c r="C1312" s="5"/>
      <c r="D1312" s="5"/>
      <c r="E1312" s="5"/>
      <c r="F1312" s="5"/>
      <c r="G1312" s="5"/>
    </row>
    <row r="1313" spans="1:7" s="1" customFormat="1" x14ac:dyDescent="0.2">
      <c r="A1313" s="5"/>
      <c r="B1313" s="5"/>
      <c r="C1313" s="5"/>
      <c r="D1313" s="5"/>
      <c r="E1313" s="5"/>
      <c r="F1313" s="5"/>
      <c r="G1313" s="5"/>
    </row>
    <row r="1314" spans="1:7" s="1" customFormat="1" x14ac:dyDescent="0.2">
      <c r="A1314" s="5"/>
      <c r="B1314" s="5"/>
      <c r="C1314" s="5"/>
      <c r="D1314" s="5"/>
      <c r="E1314" s="5"/>
      <c r="F1314" s="5"/>
      <c r="G1314" s="5"/>
    </row>
    <row r="1315" spans="1:7" s="1" customFormat="1" x14ac:dyDescent="0.2">
      <c r="A1315" s="5"/>
      <c r="B1315" s="5"/>
      <c r="C1315" s="5"/>
      <c r="D1315" s="5"/>
      <c r="E1315" s="5"/>
      <c r="F1315" s="5"/>
      <c r="G1315" s="5"/>
    </row>
    <row r="1316" spans="1:7" s="1" customFormat="1" x14ac:dyDescent="0.2">
      <c r="A1316" s="5"/>
      <c r="B1316" s="5"/>
      <c r="C1316" s="5"/>
      <c r="D1316" s="5"/>
      <c r="E1316" s="5"/>
      <c r="F1316" s="5"/>
      <c r="G1316" s="5"/>
    </row>
    <row r="1317" spans="1:7" s="1" customFormat="1" x14ac:dyDescent="0.2">
      <c r="A1317" s="5"/>
      <c r="B1317" s="5"/>
      <c r="C1317" s="5"/>
      <c r="D1317" s="5"/>
      <c r="E1317" s="5"/>
      <c r="F1317" s="5"/>
      <c r="G1317" s="5"/>
    </row>
    <row r="1318" spans="1:7" s="1" customFormat="1" x14ac:dyDescent="0.2">
      <c r="A1318" s="5"/>
      <c r="B1318" s="5"/>
      <c r="C1318" s="5"/>
      <c r="D1318" s="5"/>
      <c r="E1318" s="5"/>
      <c r="F1318" s="5"/>
      <c r="G1318" s="5"/>
    </row>
    <row r="1319" spans="1:7" s="1" customFormat="1" x14ac:dyDescent="0.2">
      <c r="A1319" s="5"/>
      <c r="B1319" s="5"/>
      <c r="C1319" s="5"/>
      <c r="D1319" s="5"/>
      <c r="E1319" s="5"/>
      <c r="F1319" s="5"/>
      <c r="G1319" s="5"/>
    </row>
    <row r="1320" spans="1:7" s="1" customFormat="1" x14ac:dyDescent="0.2">
      <c r="A1320" s="5"/>
      <c r="B1320" s="5"/>
      <c r="C1320" s="5"/>
      <c r="D1320" s="5"/>
      <c r="E1320" s="5"/>
      <c r="F1320" s="5"/>
      <c r="G1320" s="5"/>
    </row>
    <row r="1321" spans="1:7" s="1" customFormat="1" x14ac:dyDescent="0.2">
      <c r="A1321" s="5"/>
      <c r="B1321" s="5"/>
      <c r="C1321" s="5"/>
      <c r="D1321" s="5"/>
      <c r="E1321" s="5"/>
      <c r="F1321" s="5"/>
      <c r="G1321" s="5"/>
    </row>
    <row r="1322" spans="1:7" s="1" customFormat="1" x14ac:dyDescent="0.2">
      <c r="A1322" s="5"/>
      <c r="B1322" s="5"/>
      <c r="C1322" s="5"/>
      <c r="D1322" s="5"/>
      <c r="E1322" s="5"/>
      <c r="F1322" s="5"/>
      <c r="G1322" s="5"/>
    </row>
    <row r="1323" spans="1:7" s="1" customFormat="1" x14ac:dyDescent="0.2">
      <c r="A1323" s="5"/>
      <c r="B1323" s="5"/>
      <c r="C1323" s="5"/>
      <c r="D1323" s="5"/>
      <c r="E1323" s="5"/>
      <c r="F1323" s="5"/>
      <c r="G1323" s="5"/>
    </row>
    <row r="1324" spans="1:7" s="1" customFormat="1" x14ac:dyDescent="0.2">
      <c r="A1324" s="5"/>
      <c r="B1324" s="5"/>
      <c r="C1324" s="5"/>
      <c r="D1324" s="5"/>
      <c r="E1324" s="5"/>
      <c r="F1324" s="5"/>
      <c r="G1324" s="5"/>
    </row>
    <row r="1325" spans="1:7" s="1" customFormat="1" x14ac:dyDescent="0.2">
      <c r="A1325" s="5"/>
      <c r="B1325" s="5"/>
      <c r="C1325" s="5"/>
      <c r="D1325" s="5"/>
      <c r="E1325" s="5"/>
      <c r="F1325" s="5"/>
      <c r="G1325" s="5"/>
    </row>
    <row r="1326" spans="1:7" s="1" customFormat="1" x14ac:dyDescent="0.2">
      <c r="A1326" s="5"/>
      <c r="B1326" s="5"/>
      <c r="C1326" s="5"/>
      <c r="D1326" s="5"/>
      <c r="E1326" s="5"/>
      <c r="F1326" s="5"/>
      <c r="G1326" s="5"/>
    </row>
    <row r="1327" spans="1:7" s="1" customFormat="1" x14ac:dyDescent="0.2">
      <c r="A1327" s="5"/>
      <c r="B1327" s="5"/>
      <c r="C1327" s="5"/>
      <c r="D1327" s="5"/>
      <c r="E1327" s="5"/>
      <c r="F1327" s="5"/>
      <c r="G1327" s="5"/>
    </row>
    <row r="1328" spans="1:7" s="1" customFormat="1" x14ac:dyDescent="0.2">
      <c r="A1328" s="5"/>
      <c r="B1328" s="5"/>
      <c r="C1328" s="5"/>
      <c r="D1328" s="5"/>
      <c r="E1328" s="5"/>
      <c r="F1328" s="5"/>
      <c r="G1328" s="5"/>
    </row>
    <row r="1329" spans="1:7" s="1" customFormat="1" x14ac:dyDescent="0.2">
      <c r="A1329" s="5"/>
      <c r="B1329" s="5"/>
      <c r="C1329" s="5"/>
      <c r="D1329" s="5"/>
      <c r="E1329" s="5"/>
      <c r="F1329" s="5"/>
      <c r="G1329" s="5"/>
    </row>
    <row r="1330" spans="1:7" s="1" customFormat="1" x14ac:dyDescent="0.2">
      <c r="A1330" s="5"/>
      <c r="B1330" s="5"/>
      <c r="C1330" s="5"/>
      <c r="D1330" s="5"/>
      <c r="E1330" s="5"/>
      <c r="F1330" s="5"/>
      <c r="G1330" s="5"/>
    </row>
    <row r="1331" spans="1:7" s="1" customFormat="1" x14ac:dyDescent="0.2">
      <c r="A1331" s="5"/>
      <c r="B1331" s="5"/>
      <c r="C1331" s="5"/>
      <c r="D1331" s="5"/>
      <c r="E1331" s="5"/>
      <c r="F1331" s="5"/>
      <c r="G1331" s="5"/>
    </row>
    <row r="1332" spans="1:7" s="1" customFormat="1" x14ac:dyDescent="0.2">
      <c r="A1332" s="5"/>
      <c r="B1332" s="5"/>
      <c r="C1332" s="5"/>
      <c r="D1332" s="5"/>
      <c r="E1332" s="5"/>
      <c r="F1332" s="5"/>
      <c r="G1332" s="5"/>
    </row>
    <row r="1333" spans="1:7" s="1" customFormat="1" x14ac:dyDescent="0.2">
      <c r="A1333" s="5"/>
      <c r="B1333" s="5"/>
      <c r="C1333" s="5"/>
      <c r="D1333" s="5"/>
      <c r="E1333" s="5"/>
      <c r="F1333" s="5"/>
      <c r="G1333" s="5"/>
    </row>
    <row r="1334" spans="1:7" s="1" customFormat="1" x14ac:dyDescent="0.2">
      <c r="A1334" s="5"/>
      <c r="B1334" s="5"/>
      <c r="C1334" s="5"/>
      <c r="D1334" s="5"/>
      <c r="E1334" s="5"/>
      <c r="F1334" s="5"/>
      <c r="G1334" s="5"/>
    </row>
    <row r="1335" spans="1:7" s="1" customFormat="1" x14ac:dyDescent="0.2">
      <c r="A1335" s="5"/>
      <c r="B1335" s="5"/>
      <c r="C1335" s="5"/>
      <c r="D1335" s="5"/>
      <c r="E1335" s="5"/>
      <c r="F1335" s="5"/>
      <c r="G1335" s="5"/>
    </row>
    <row r="1336" spans="1:7" s="1" customFormat="1" x14ac:dyDescent="0.2">
      <c r="A1336" s="5"/>
      <c r="B1336" s="5"/>
      <c r="C1336" s="5"/>
      <c r="D1336" s="5"/>
      <c r="E1336" s="5"/>
      <c r="F1336" s="5"/>
      <c r="G1336" s="5"/>
    </row>
    <row r="1337" spans="1:7" s="1" customFormat="1" x14ac:dyDescent="0.2">
      <c r="A1337" s="5"/>
      <c r="B1337" s="5"/>
      <c r="C1337" s="5"/>
      <c r="D1337" s="5"/>
      <c r="E1337" s="5"/>
      <c r="F1337" s="5"/>
      <c r="G1337" s="5"/>
    </row>
    <row r="1338" spans="1:7" s="1" customFormat="1" x14ac:dyDescent="0.2">
      <c r="A1338" s="5"/>
      <c r="B1338" s="5"/>
      <c r="C1338" s="5"/>
      <c r="D1338" s="5"/>
      <c r="E1338" s="5"/>
      <c r="F1338" s="5"/>
      <c r="G1338" s="5"/>
    </row>
    <row r="1339" spans="1:7" s="1" customFormat="1" x14ac:dyDescent="0.2">
      <c r="A1339" s="5"/>
      <c r="B1339" s="5"/>
      <c r="C1339" s="5"/>
      <c r="D1339" s="5"/>
      <c r="E1339" s="5"/>
      <c r="F1339" s="5"/>
      <c r="G1339" s="5"/>
    </row>
    <row r="1340" spans="1:7" s="1" customFormat="1" x14ac:dyDescent="0.2">
      <c r="A1340" s="5"/>
      <c r="B1340" s="5"/>
      <c r="C1340" s="5"/>
      <c r="D1340" s="5"/>
      <c r="E1340" s="5"/>
      <c r="F1340" s="5"/>
      <c r="G1340" s="5"/>
    </row>
    <row r="1341" spans="1:7" s="1" customFormat="1" x14ac:dyDescent="0.2">
      <c r="A1341" s="5"/>
      <c r="B1341" s="5"/>
      <c r="C1341" s="5"/>
      <c r="D1341" s="5"/>
      <c r="E1341" s="5"/>
      <c r="F1341" s="5"/>
      <c r="G1341" s="5"/>
    </row>
    <row r="1342" spans="1:7" s="1" customFormat="1" x14ac:dyDescent="0.2">
      <c r="A1342" s="5"/>
      <c r="B1342" s="5"/>
      <c r="C1342" s="5"/>
      <c r="D1342" s="5"/>
      <c r="E1342" s="5"/>
      <c r="F1342" s="5"/>
      <c r="G1342" s="5"/>
    </row>
    <row r="1343" spans="1:7" s="1" customFormat="1" x14ac:dyDescent="0.2">
      <c r="A1343" s="5"/>
      <c r="B1343" s="5"/>
      <c r="C1343" s="5"/>
      <c r="D1343" s="5"/>
      <c r="E1343" s="5"/>
      <c r="F1343" s="5"/>
      <c r="G1343" s="5"/>
    </row>
    <row r="1344" spans="1:7" s="1" customFormat="1" x14ac:dyDescent="0.2">
      <c r="A1344" s="5"/>
      <c r="B1344" s="5"/>
      <c r="C1344" s="5"/>
      <c r="D1344" s="5"/>
      <c r="E1344" s="5"/>
      <c r="F1344" s="5"/>
      <c r="G1344" s="5"/>
    </row>
    <row r="1345" spans="1:7" s="1" customFormat="1" x14ac:dyDescent="0.2">
      <c r="A1345" s="5"/>
      <c r="B1345" s="5"/>
      <c r="C1345" s="5"/>
      <c r="D1345" s="5"/>
      <c r="E1345" s="5"/>
      <c r="F1345" s="5"/>
      <c r="G1345" s="5"/>
    </row>
    <row r="1346" spans="1:7" s="1" customFormat="1" x14ac:dyDescent="0.2">
      <c r="A1346" s="5"/>
      <c r="B1346" s="5"/>
      <c r="C1346" s="5"/>
      <c r="D1346" s="5"/>
      <c r="E1346" s="5"/>
      <c r="F1346" s="5"/>
      <c r="G1346" s="5"/>
    </row>
    <row r="1347" spans="1:7" s="1" customFormat="1" x14ac:dyDescent="0.2">
      <c r="A1347" s="5"/>
      <c r="B1347" s="5"/>
      <c r="C1347" s="5"/>
      <c r="D1347" s="5"/>
      <c r="E1347" s="5"/>
      <c r="F1347" s="5"/>
      <c r="G1347" s="5"/>
    </row>
    <row r="1348" spans="1:7" s="1" customFormat="1" x14ac:dyDescent="0.2">
      <c r="A1348" s="5"/>
      <c r="B1348" s="5"/>
      <c r="C1348" s="5"/>
      <c r="D1348" s="5"/>
      <c r="E1348" s="5"/>
      <c r="F1348" s="5"/>
      <c r="G1348" s="5"/>
    </row>
    <row r="1349" spans="1:7" s="1" customFormat="1" x14ac:dyDescent="0.2">
      <c r="A1349" s="5"/>
      <c r="B1349" s="5"/>
      <c r="C1349" s="5"/>
      <c r="D1349" s="5"/>
      <c r="E1349" s="5"/>
      <c r="F1349" s="5"/>
      <c r="G1349" s="5"/>
    </row>
    <row r="1350" spans="1:7" s="1" customFormat="1" x14ac:dyDescent="0.2">
      <c r="A1350" s="5"/>
      <c r="B1350" s="5"/>
      <c r="C1350" s="5"/>
      <c r="D1350" s="5"/>
      <c r="E1350" s="5"/>
      <c r="F1350" s="5"/>
      <c r="G1350" s="5"/>
    </row>
    <row r="1351" spans="1:7" s="1" customFormat="1" x14ac:dyDescent="0.2">
      <c r="A1351" s="5"/>
      <c r="B1351" s="5"/>
      <c r="C1351" s="5"/>
      <c r="D1351" s="5"/>
      <c r="E1351" s="5"/>
      <c r="F1351" s="5"/>
      <c r="G1351" s="5"/>
    </row>
    <row r="1352" spans="1:7" s="1" customFormat="1" x14ac:dyDescent="0.2">
      <c r="A1352" s="5"/>
      <c r="B1352" s="5"/>
      <c r="C1352" s="5"/>
      <c r="D1352" s="5"/>
      <c r="E1352" s="5"/>
      <c r="F1352" s="5"/>
      <c r="G1352" s="5"/>
    </row>
    <row r="1353" spans="1:7" s="1" customFormat="1" x14ac:dyDescent="0.2">
      <c r="A1353" s="5"/>
      <c r="B1353" s="5"/>
      <c r="C1353" s="5"/>
      <c r="D1353" s="5"/>
      <c r="E1353" s="5"/>
      <c r="F1353" s="5"/>
      <c r="G1353" s="5"/>
    </row>
    <row r="1354" spans="1:7" s="1" customFormat="1" x14ac:dyDescent="0.2">
      <c r="A1354" s="5"/>
      <c r="B1354" s="5"/>
      <c r="C1354" s="5"/>
      <c r="D1354" s="5"/>
      <c r="E1354" s="5"/>
      <c r="F1354" s="5"/>
      <c r="G1354" s="5"/>
    </row>
    <row r="1355" spans="1:7" s="1" customFormat="1" x14ac:dyDescent="0.2">
      <c r="A1355" s="5"/>
      <c r="B1355" s="5"/>
      <c r="C1355" s="5"/>
      <c r="D1355" s="5"/>
      <c r="E1355" s="5"/>
      <c r="F1355" s="5"/>
      <c r="G1355" s="5"/>
    </row>
    <row r="1356" spans="1:7" s="1" customFormat="1" x14ac:dyDescent="0.2">
      <c r="A1356" s="5"/>
      <c r="B1356" s="5"/>
      <c r="C1356" s="5"/>
      <c r="D1356" s="5"/>
      <c r="E1356" s="5"/>
      <c r="F1356" s="5"/>
      <c r="G1356" s="5"/>
    </row>
    <row r="1357" spans="1:7" s="1" customFormat="1" x14ac:dyDescent="0.2">
      <c r="A1357" s="5"/>
      <c r="B1357" s="5"/>
      <c r="C1357" s="5"/>
      <c r="D1357" s="5"/>
      <c r="E1357" s="5"/>
      <c r="F1357" s="5"/>
      <c r="G1357" s="5"/>
    </row>
    <row r="1358" spans="1:7" s="1" customFormat="1" x14ac:dyDescent="0.2">
      <c r="A1358" s="5"/>
      <c r="B1358" s="5"/>
      <c r="C1358" s="5"/>
      <c r="D1358" s="5"/>
      <c r="E1358" s="5"/>
      <c r="F1358" s="5"/>
      <c r="G1358" s="5"/>
    </row>
    <row r="1359" spans="1:7" s="1" customFormat="1" x14ac:dyDescent="0.2">
      <c r="A1359" s="5"/>
      <c r="B1359" s="5"/>
      <c r="C1359" s="5"/>
      <c r="D1359" s="5"/>
      <c r="E1359" s="5"/>
      <c r="F1359" s="5"/>
      <c r="G1359" s="5"/>
    </row>
    <row r="1360" spans="1:7" s="1" customFormat="1" x14ac:dyDescent="0.2">
      <c r="A1360" s="5"/>
      <c r="B1360" s="5"/>
      <c r="C1360" s="5"/>
      <c r="D1360" s="5"/>
      <c r="E1360" s="5"/>
      <c r="F1360" s="5"/>
      <c r="G1360" s="5"/>
    </row>
    <row r="1361" spans="1:7" s="1" customFormat="1" x14ac:dyDescent="0.2">
      <c r="A1361" s="5"/>
      <c r="B1361" s="5"/>
      <c r="C1361" s="5"/>
      <c r="D1361" s="5"/>
      <c r="E1361" s="5"/>
      <c r="F1361" s="5"/>
      <c r="G1361" s="5"/>
    </row>
    <row r="1362" spans="1:7" s="1" customFormat="1" x14ac:dyDescent="0.2">
      <c r="A1362" s="5"/>
      <c r="B1362" s="5"/>
      <c r="C1362" s="5"/>
      <c r="D1362" s="5"/>
      <c r="E1362" s="5"/>
      <c r="F1362" s="5"/>
      <c r="G1362" s="5"/>
    </row>
    <row r="1363" spans="1:7" s="1" customFormat="1" x14ac:dyDescent="0.2">
      <c r="A1363" s="5"/>
      <c r="B1363" s="5"/>
      <c r="C1363" s="5"/>
      <c r="D1363" s="5"/>
      <c r="E1363" s="5"/>
      <c r="F1363" s="5"/>
      <c r="G1363" s="5"/>
    </row>
    <row r="1364" spans="1:7" s="1" customFormat="1" x14ac:dyDescent="0.2">
      <c r="A1364" s="5"/>
      <c r="B1364" s="5"/>
      <c r="C1364" s="5"/>
      <c r="D1364" s="5"/>
      <c r="E1364" s="5"/>
      <c r="F1364" s="5"/>
      <c r="G1364" s="5"/>
    </row>
    <row r="1365" spans="1:7" s="1" customFormat="1" x14ac:dyDescent="0.2">
      <c r="A1365" s="5"/>
      <c r="B1365" s="5"/>
      <c r="C1365" s="5"/>
      <c r="D1365" s="5"/>
      <c r="E1365" s="5"/>
      <c r="F1365" s="5"/>
      <c r="G1365" s="5"/>
    </row>
    <row r="1366" spans="1:7" s="1" customFormat="1" x14ac:dyDescent="0.2">
      <c r="A1366" s="5"/>
      <c r="B1366" s="5"/>
      <c r="C1366" s="5"/>
      <c r="D1366" s="5"/>
      <c r="E1366" s="5"/>
      <c r="F1366" s="5"/>
      <c r="G1366" s="5"/>
    </row>
    <row r="1367" spans="1:7" s="1" customFormat="1" x14ac:dyDescent="0.2">
      <c r="A1367" s="5"/>
      <c r="B1367" s="5"/>
      <c r="C1367" s="5"/>
      <c r="D1367" s="5"/>
      <c r="E1367" s="5"/>
      <c r="F1367" s="5"/>
      <c r="G1367" s="5"/>
    </row>
    <row r="1368" spans="1:7" s="1" customFormat="1" x14ac:dyDescent="0.2">
      <c r="A1368" s="5"/>
      <c r="B1368" s="5"/>
      <c r="C1368" s="5"/>
      <c r="D1368" s="5"/>
      <c r="E1368" s="5"/>
      <c r="F1368" s="5"/>
      <c r="G1368" s="5"/>
    </row>
    <row r="1369" spans="1:7" s="1" customFormat="1" x14ac:dyDescent="0.2">
      <c r="A1369" s="5"/>
      <c r="B1369" s="5"/>
      <c r="C1369" s="5"/>
      <c r="D1369" s="5"/>
      <c r="E1369" s="5"/>
      <c r="F1369" s="5"/>
      <c r="G1369" s="5"/>
    </row>
    <row r="1370" spans="1:7" s="1" customFormat="1" x14ac:dyDescent="0.2">
      <c r="A1370" s="5"/>
      <c r="B1370" s="5"/>
      <c r="C1370" s="5"/>
      <c r="D1370" s="5"/>
      <c r="E1370" s="5"/>
      <c r="F1370" s="5"/>
      <c r="G1370" s="5"/>
    </row>
    <row r="1371" spans="1:7" s="1" customFormat="1" x14ac:dyDescent="0.2">
      <c r="A1371" s="5"/>
      <c r="B1371" s="5"/>
      <c r="C1371" s="5"/>
      <c r="D1371" s="5"/>
      <c r="E1371" s="5"/>
      <c r="F1371" s="5"/>
      <c r="G1371" s="5"/>
    </row>
    <row r="1372" spans="1:7" s="1" customFormat="1" x14ac:dyDescent="0.2">
      <c r="A1372" s="5"/>
      <c r="B1372" s="5"/>
      <c r="C1372" s="5"/>
      <c r="D1372" s="5"/>
      <c r="E1372" s="5"/>
      <c r="F1372" s="5"/>
      <c r="G1372" s="5"/>
    </row>
    <row r="1373" spans="1:7" s="1" customFormat="1" x14ac:dyDescent="0.2">
      <c r="A1373" s="5"/>
      <c r="B1373" s="5"/>
      <c r="C1373" s="5"/>
      <c r="D1373" s="5"/>
      <c r="E1373" s="5"/>
      <c r="F1373" s="5"/>
      <c r="G1373" s="5"/>
    </row>
    <row r="1374" spans="1:7" s="1" customFormat="1" x14ac:dyDescent="0.2">
      <c r="A1374" s="5"/>
      <c r="B1374" s="5"/>
      <c r="C1374" s="5"/>
      <c r="D1374" s="5"/>
      <c r="E1374" s="5"/>
      <c r="F1374" s="5"/>
      <c r="G1374" s="5"/>
    </row>
    <row r="1375" spans="1:7" s="1" customFormat="1" x14ac:dyDescent="0.2">
      <c r="A1375" s="5"/>
      <c r="B1375" s="5"/>
      <c r="C1375" s="5"/>
      <c r="D1375" s="5"/>
      <c r="E1375" s="5"/>
      <c r="F1375" s="5"/>
      <c r="G1375" s="5"/>
    </row>
    <row r="1376" spans="1:7" s="1" customFormat="1" x14ac:dyDescent="0.2">
      <c r="A1376" s="5"/>
      <c r="B1376" s="5"/>
      <c r="C1376" s="5"/>
      <c r="D1376" s="5"/>
      <c r="E1376" s="5"/>
      <c r="F1376" s="5"/>
      <c r="G1376" s="5"/>
    </row>
    <row r="1377" spans="1:7" s="1" customFormat="1" x14ac:dyDescent="0.2">
      <c r="A1377" s="5"/>
      <c r="B1377" s="5"/>
      <c r="C1377" s="5"/>
      <c r="D1377" s="5"/>
      <c r="E1377" s="5"/>
      <c r="F1377" s="5"/>
      <c r="G1377" s="5"/>
    </row>
    <row r="1378" spans="1:7" s="1" customFormat="1" x14ac:dyDescent="0.2">
      <c r="A1378" s="5"/>
      <c r="B1378" s="5"/>
      <c r="C1378" s="5"/>
      <c r="D1378" s="5"/>
      <c r="E1378" s="5"/>
      <c r="F1378" s="5"/>
      <c r="G1378" s="5"/>
    </row>
    <row r="1379" spans="1:7" s="1" customFormat="1" x14ac:dyDescent="0.2">
      <c r="A1379" s="5"/>
      <c r="B1379" s="5"/>
      <c r="C1379" s="5"/>
      <c r="D1379" s="5"/>
      <c r="E1379" s="5"/>
      <c r="F1379" s="5"/>
      <c r="G1379" s="5"/>
    </row>
    <row r="1380" spans="1:7" s="1" customFormat="1" x14ac:dyDescent="0.2">
      <c r="A1380" s="5"/>
      <c r="B1380" s="5"/>
      <c r="C1380" s="5"/>
      <c r="D1380" s="5"/>
      <c r="E1380" s="5"/>
      <c r="F1380" s="5"/>
      <c r="G1380" s="5"/>
    </row>
    <row r="1381" spans="1:7" s="1" customFormat="1" x14ac:dyDescent="0.2">
      <c r="A1381" s="5"/>
      <c r="B1381" s="5"/>
      <c r="C1381" s="5"/>
      <c r="D1381" s="5"/>
      <c r="E1381" s="5"/>
      <c r="F1381" s="5"/>
      <c r="G1381" s="5"/>
    </row>
    <row r="1382" spans="1:7" s="1" customFormat="1" x14ac:dyDescent="0.2">
      <c r="A1382" s="5"/>
      <c r="B1382" s="5"/>
      <c r="C1382" s="5"/>
      <c r="D1382" s="5"/>
      <c r="E1382" s="5"/>
      <c r="F1382" s="5"/>
      <c r="G1382" s="5"/>
    </row>
    <row r="1383" spans="1:7" s="1" customFormat="1" x14ac:dyDescent="0.2">
      <c r="A1383" s="5"/>
      <c r="B1383" s="5"/>
      <c r="C1383" s="5"/>
      <c r="D1383" s="5"/>
      <c r="E1383" s="5"/>
      <c r="F1383" s="5"/>
      <c r="G1383" s="5"/>
    </row>
    <row r="1384" spans="1:7" s="1" customFormat="1" x14ac:dyDescent="0.2">
      <c r="A1384" s="5"/>
      <c r="B1384" s="5"/>
      <c r="C1384" s="5"/>
      <c r="D1384" s="5"/>
      <c r="E1384" s="5"/>
      <c r="F1384" s="5"/>
      <c r="G1384" s="5"/>
    </row>
    <row r="1385" spans="1:7" s="1" customFormat="1" x14ac:dyDescent="0.2">
      <c r="A1385" s="5"/>
      <c r="B1385" s="5"/>
      <c r="C1385" s="5"/>
      <c r="D1385" s="5"/>
      <c r="E1385" s="5"/>
      <c r="F1385" s="5"/>
      <c r="G1385" s="5"/>
    </row>
    <row r="1386" spans="1:7" s="1" customFormat="1" x14ac:dyDescent="0.2">
      <c r="A1386" s="5"/>
      <c r="B1386" s="5"/>
      <c r="C1386" s="5"/>
      <c r="D1386" s="5"/>
      <c r="E1386" s="5"/>
      <c r="F1386" s="5"/>
      <c r="G1386" s="5"/>
    </row>
    <row r="1387" spans="1:7" s="1" customFormat="1" x14ac:dyDescent="0.2">
      <c r="A1387" s="5"/>
      <c r="B1387" s="5"/>
      <c r="C1387" s="5"/>
      <c r="D1387" s="5"/>
      <c r="E1387" s="5"/>
      <c r="F1387" s="5"/>
      <c r="G1387" s="5"/>
    </row>
    <row r="1388" spans="1:7" s="1" customFormat="1" x14ac:dyDescent="0.2">
      <c r="A1388" s="5"/>
      <c r="B1388" s="5"/>
      <c r="C1388" s="5"/>
      <c r="D1388" s="5"/>
      <c r="E1388" s="5"/>
      <c r="F1388" s="5"/>
      <c r="G1388" s="5"/>
    </row>
    <row r="1389" spans="1:7" s="1" customFormat="1" x14ac:dyDescent="0.2">
      <c r="A1389" s="5"/>
      <c r="B1389" s="5"/>
      <c r="C1389" s="5"/>
      <c r="D1389" s="5"/>
      <c r="E1389" s="5"/>
      <c r="F1389" s="5"/>
      <c r="G1389" s="5"/>
    </row>
    <row r="1390" spans="1:7" s="1" customFormat="1" x14ac:dyDescent="0.2">
      <c r="A1390" s="5"/>
      <c r="B1390" s="5"/>
      <c r="C1390" s="5"/>
      <c r="D1390" s="5"/>
      <c r="E1390" s="5"/>
      <c r="F1390" s="5"/>
      <c r="G1390" s="5"/>
    </row>
    <row r="1391" spans="1:7" s="1" customFormat="1" x14ac:dyDescent="0.2">
      <c r="A1391" s="5"/>
      <c r="B1391" s="5"/>
      <c r="C1391" s="5"/>
      <c r="D1391" s="5"/>
      <c r="E1391" s="5"/>
      <c r="F1391" s="5"/>
      <c r="G1391" s="5"/>
    </row>
    <row r="1392" spans="1:7" s="1" customFormat="1" x14ac:dyDescent="0.2">
      <c r="A1392" s="5"/>
      <c r="B1392" s="5"/>
      <c r="C1392" s="5"/>
      <c r="D1392" s="5"/>
      <c r="E1392" s="5"/>
      <c r="F1392" s="5"/>
      <c r="G1392" s="5"/>
    </row>
    <row r="1393" spans="1:7" s="1" customFormat="1" x14ac:dyDescent="0.2">
      <c r="A1393" s="5"/>
      <c r="B1393" s="5"/>
      <c r="C1393" s="5"/>
      <c r="D1393" s="5"/>
      <c r="E1393" s="5"/>
      <c r="F1393" s="5"/>
      <c r="G1393" s="5"/>
    </row>
    <row r="1394" spans="1:7" s="1" customFormat="1" x14ac:dyDescent="0.2">
      <c r="A1394" s="5"/>
      <c r="B1394" s="5"/>
      <c r="C1394" s="5"/>
      <c r="D1394" s="5"/>
      <c r="E1394" s="5"/>
      <c r="F1394" s="5"/>
      <c r="G1394" s="5"/>
    </row>
    <row r="1395" spans="1:7" s="1" customFormat="1" x14ac:dyDescent="0.2">
      <c r="A1395" s="5"/>
      <c r="B1395" s="5"/>
      <c r="C1395" s="5"/>
      <c r="D1395" s="5"/>
      <c r="E1395" s="5"/>
      <c r="F1395" s="5"/>
      <c r="G1395" s="5"/>
    </row>
    <row r="1396" spans="1:7" s="1" customFormat="1" x14ac:dyDescent="0.2">
      <c r="A1396" s="5"/>
      <c r="B1396" s="5"/>
      <c r="C1396" s="5"/>
      <c r="D1396" s="5"/>
      <c r="E1396" s="5"/>
      <c r="F1396" s="5"/>
      <c r="G1396" s="5"/>
    </row>
    <row r="1397" spans="1:7" s="1" customFormat="1" x14ac:dyDescent="0.2">
      <c r="A1397" s="5"/>
      <c r="B1397" s="5"/>
      <c r="C1397" s="5"/>
      <c r="D1397" s="5"/>
      <c r="E1397" s="5"/>
      <c r="F1397" s="5"/>
      <c r="G1397" s="5"/>
    </row>
    <row r="1398" spans="1:7" s="1" customFormat="1" x14ac:dyDescent="0.2">
      <c r="A1398" s="5"/>
      <c r="B1398" s="5"/>
      <c r="C1398" s="5"/>
      <c r="D1398" s="5"/>
      <c r="E1398" s="5"/>
      <c r="F1398" s="5"/>
      <c r="G1398" s="5"/>
    </row>
    <row r="1399" spans="1:7" s="1" customFormat="1" x14ac:dyDescent="0.2">
      <c r="A1399" s="5"/>
      <c r="B1399" s="5"/>
      <c r="C1399" s="5"/>
      <c r="D1399" s="5"/>
      <c r="E1399" s="5"/>
      <c r="F1399" s="5"/>
      <c r="G1399" s="5"/>
    </row>
    <row r="1400" spans="1:7" s="1" customFormat="1" x14ac:dyDescent="0.2">
      <c r="A1400" s="5"/>
      <c r="B1400" s="5"/>
      <c r="C1400" s="5"/>
      <c r="D1400" s="5"/>
      <c r="E1400" s="5"/>
      <c r="F1400" s="5"/>
      <c r="G1400" s="5"/>
    </row>
    <row r="1401" spans="1:7" s="1" customFormat="1" x14ac:dyDescent="0.2">
      <c r="A1401" s="5"/>
      <c r="B1401" s="5"/>
      <c r="C1401" s="5"/>
      <c r="D1401" s="5"/>
      <c r="E1401" s="5"/>
      <c r="F1401" s="5"/>
      <c r="G1401" s="5"/>
    </row>
    <row r="1402" spans="1:7" s="1" customFormat="1" x14ac:dyDescent="0.2">
      <c r="A1402" s="5"/>
      <c r="B1402" s="5"/>
      <c r="C1402" s="5"/>
      <c r="D1402" s="5"/>
      <c r="E1402" s="5"/>
      <c r="F1402" s="5"/>
      <c r="G1402" s="5"/>
    </row>
    <row r="1403" spans="1:7" s="1" customFormat="1" x14ac:dyDescent="0.2">
      <c r="A1403" s="5"/>
      <c r="B1403" s="5"/>
      <c r="C1403" s="5"/>
      <c r="D1403" s="5"/>
      <c r="E1403" s="5"/>
      <c r="F1403" s="5"/>
      <c r="G1403" s="5"/>
    </row>
    <row r="1404" spans="1:7" s="1" customFormat="1" x14ac:dyDescent="0.2">
      <c r="A1404" s="5"/>
      <c r="B1404" s="5"/>
      <c r="C1404" s="5"/>
      <c r="D1404" s="5"/>
      <c r="E1404" s="5"/>
      <c r="F1404" s="5"/>
      <c r="G1404" s="5"/>
    </row>
    <row r="1405" spans="1:7" s="1" customFormat="1" x14ac:dyDescent="0.2">
      <c r="A1405" s="5"/>
      <c r="B1405" s="5"/>
      <c r="C1405" s="5"/>
      <c r="D1405" s="5"/>
      <c r="E1405" s="5"/>
      <c r="F1405" s="5"/>
      <c r="G1405" s="5"/>
    </row>
    <row r="1406" spans="1:7" s="1" customFormat="1" x14ac:dyDescent="0.2">
      <c r="A1406" s="5"/>
      <c r="B1406" s="5"/>
      <c r="C1406" s="5"/>
      <c r="D1406" s="5"/>
      <c r="E1406" s="5"/>
      <c r="F1406" s="5"/>
      <c r="G1406" s="5"/>
    </row>
    <row r="1407" spans="1:7" s="1" customFormat="1" x14ac:dyDescent="0.2">
      <c r="A1407" s="5"/>
      <c r="B1407" s="5"/>
      <c r="C1407" s="5"/>
      <c r="D1407" s="5"/>
      <c r="E1407" s="5"/>
      <c r="F1407" s="5"/>
      <c r="G1407" s="5"/>
    </row>
    <row r="1408" spans="1:7" s="1" customFormat="1" x14ac:dyDescent="0.2">
      <c r="A1408" s="5"/>
      <c r="B1408" s="5"/>
      <c r="C1408" s="5"/>
      <c r="D1408" s="5"/>
      <c r="E1408" s="5"/>
      <c r="F1408" s="5"/>
      <c r="G1408" s="5"/>
    </row>
    <row r="1409" spans="1:7" s="1" customFormat="1" x14ac:dyDescent="0.2">
      <c r="A1409" s="5"/>
      <c r="B1409" s="5"/>
      <c r="C1409" s="5"/>
      <c r="D1409" s="5"/>
      <c r="E1409" s="5"/>
      <c r="F1409" s="5"/>
      <c r="G1409" s="5"/>
    </row>
    <row r="1410" spans="1:7" s="1" customFormat="1" x14ac:dyDescent="0.2">
      <c r="A1410" s="5"/>
      <c r="B1410" s="5"/>
      <c r="C1410" s="5"/>
      <c r="D1410" s="5"/>
      <c r="E1410" s="5"/>
      <c r="F1410" s="5"/>
      <c r="G1410" s="5"/>
    </row>
    <row r="1411" spans="1:7" s="1" customFormat="1" x14ac:dyDescent="0.2">
      <c r="A1411" s="5"/>
      <c r="B1411" s="5"/>
      <c r="C1411" s="5"/>
      <c r="D1411" s="5"/>
      <c r="E1411" s="5"/>
      <c r="F1411" s="5"/>
      <c r="G1411" s="5"/>
    </row>
    <row r="1412" spans="1:7" s="1" customFormat="1" x14ac:dyDescent="0.2">
      <c r="A1412" s="5"/>
      <c r="B1412" s="5"/>
      <c r="C1412" s="5"/>
      <c r="D1412" s="5"/>
      <c r="E1412" s="5"/>
      <c r="F1412" s="5"/>
      <c r="G1412" s="5"/>
    </row>
    <row r="1413" spans="1:7" s="1" customFormat="1" x14ac:dyDescent="0.2">
      <c r="A1413" s="5"/>
      <c r="B1413" s="5"/>
      <c r="C1413" s="5"/>
      <c r="D1413" s="5"/>
      <c r="E1413" s="5"/>
      <c r="F1413" s="5"/>
      <c r="G1413" s="5"/>
    </row>
    <row r="1414" spans="1:7" s="1" customFormat="1" x14ac:dyDescent="0.2">
      <c r="A1414" s="5"/>
      <c r="B1414" s="5"/>
      <c r="C1414" s="5"/>
      <c r="D1414" s="5"/>
      <c r="E1414" s="5"/>
      <c r="F1414" s="5"/>
      <c r="G1414" s="5"/>
    </row>
    <row r="1415" spans="1:7" s="1" customFormat="1" x14ac:dyDescent="0.2">
      <c r="A1415" s="5"/>
      <c r="B1415" s="5"/>
      <c r="C1415" s="5"/>
      <c r="D1415" s="5"/>
      <c r="E1415" s="5"/>
      <c r="F1415" s="5"/>
      <c r="G1415" s="5"/>
    </row>
    <row r="1416" spans="1:7" s="1" customFormat="1" x14ac:dyDescent="0.2">
      <c r="A1416" s="5"/>
      <c r="B1416" s="5"/>
      <c r="C1416" s="5"/>
      <c r="D1416" s="5"/>
      <c r="E1416" s="5"/>
      <c r="F1416" s="5"/>
      <c r="G1416" s="5"/>
    </row>
    <row r="1417" spans="1:7" s="1" customFormat="1" x14ac:dyDescent="0.2">
      <c r="A1417" s="5"/>
      <c r="B1417" s="5"/>
      <c r="C1417" s="5"/>
      <c r="D1417" s="5"/>
      <c r="E1417" s="5"/>
      <c r="F1417" s="5"/>
      <c r="G1417" s="5"/>
    </row>
    <row r="1418" spans="1:7" s="1" customFormat="1" x14ac:dyDescent="0.2">
      <c r="A1418" s="5"/>
      <c r="B1418" s="5"/>
      <c r="C1418" s="5"/>
      <c r="D1418" s="5"/>
      <c r="E1418" s="5"/>
      <c r="F1418" s="5"/>
      <c r="G1418" s="5"/>
    </row>
    <row r="1419" spans="1:7" s="1" customFormat="1" x14ac:dyDescent="0.2">
      <c r="A1419" s="5"/>
      <c r="B1419" s="5"/>
      <c r="C1419" s="5"/>
      <c r="D1419" s="5"/>
      <c r="E1419" s="5"/>
      <c r="F1419" s="5"/>
      <c r="G1419" s="5"/>
    </row>
    <row r="1420" spans="1:7" s="1" customFormat="1" x14ac:dyDescent="0.2">
      <c r="A1420" s="5"/>
      <c r="B1420" s="5"/>
      <c r="C1420" s="5"/>
      <c r="D1420" s="5"/>
      <c r="E1420" s="5"/>
      <c r="F1420" s="5"/>
      <c r="G1420" s="5"/>
    </row>
    <row r="1421" spans="1:7" s="1" customFormat="1" x14ac:dyDescent="0.2">
      <c r="A1421" s="5"/>
      <c r="B1421" s="5"/>
      <c r="C1421" s="5"/>
      <c r="D1421" s="5"/>
      <c r="E1421" s="5"/>
      <c r="F1421" s="5"/>
      <c r="G1421" s="5"/>
    </row>
    <row r="1422" spans="1:7" s="1" customFormat="1" x14ac:dyDescent="0.2">
      <c r="A1422" s="5"/>
      <c r="B1422" s="5"/>
      <c r="C1422" s="5"/>
      <c r="D1422" s="5"/>
      <c r="E1422" s="5"/>
      <c r="F1422" s="5"/>
      <c r="G1422" s="5"/>
    </row>
    <row r="1423" spans="1:7" s="1" customFormat="1" x14ac:dyDescent="0.2">
      <c r="A1423" s="5"/>
      <c r="B1423" s="5"/>
      <c r="C1423" s="5"/>
      <c r="D1423" s="5"/>
      <c r="E1423" s="5"/>
      <c r="F1423" s="5"/>
      <c r="G1423" s="5"/>
    </row>
    <row r="1424" spans="1:7" s="1" customFormat="1" x14ac:dyDescent="0.2">
      <c r="A1424" s="5"/>
      <c r="B1424" s="5"/>
      <c r="C1424" s="5"/>
      <c r="D1424" s="5"/>
      <c r="E1424" s="5"/>
      <c r="F1424" s="5"/>
      <c r="G1424" s="5"/>
    </row>
    <row r="1425" spans="1:7" s="1" customFormat="1" x14ac:dyDescent="0.2">
      <c r="A1425" s="5"/>
      <c r="B1425" s="5"/>
      <c r="C1425" s="5"/>
      <c r="D1425" s="5"/>
      <c r="E1425" s="5"/>
      <c r="F1425" s="5"/>
      <c r="G1425" s="5"/>
    </row>
    <row r="1426" spans="1:7" s="1" customFormat="1" x14ac:dyDescent="0.2">
      <c r="A1426" s="5"/>
      <c r="B1426" s="5"/>
      <c r="C1426" s="5"/>
      <c r="D1426" s="5"/>
      <c r="E1426" s="5"/>
      <c r="F1426" s="5"/>
      <c r="G1426" s="5"/>
    </row>
    <row r="1427" spans="1:7" s="1" customFormat="1" x14ac:dyDescent="0.2">
      <c r="A1427" s="5"/>
      <c r="B1427" s="5"/>
      <c r="C1427" s="5"/>
      <c r="D1427" s="5"/>
      <c r="E1427" s="5"/>
      <c r="F1427" s="5"/>
      <c r="G1427" s="5"/>
    </row>
    <row r="1428" spans="1:7" s="1" customFormat="1" x14ac:dyDescent="0.2">
      <c r="A1428" s="5"/>
      <c r="B1428" s="5"/>
      <c r="C1428" s="5"/>
      <c r="D1428" s="5"/>
      <c r="E1428" s="5"/>
      <c r="F1428" s="5"/>
      <c r="G1428" s="5"/>
    </row>
    <row r="1429" spans="1:7" s="1" customFormat="1" x14ac:dyDescent="0.2">
      <c r="A1429" s="5"/>
      <c r="B1429" s="5"/>
      <c r="C1429" s="5"/>
      <c r="D1429" s="5"/>
      <c r="E1429" s="5"/>
      <c r="F1429" s="5"/>
      <c r="G1429" s="5"/>
    </row>
    <row r="1430" spans="1:7" s="1" customFormat="1" x14ac:dyDescent="0.2">
      <c r="A1430" s="5"/>
      <c r="B1430" s="5"/>
      <c r="C1430" s="5"/>
      <c r="D1430" s="5"/>
      <c r="E1430" s="5"/>
      <c r="F1430" s="5"/>
      <c r="G1430" s="5"/>
    </row>
    <row r="1431" spans="1:7" s="1" customFormat="1" x14ac:dyDescent="0.2">
      <c r="A1431" s="5"/>
      <c r="B1431" s="5"/>
      <c r="C1431" s="5"/>
      <c r="D1431" s="5"/>
      <c r="E1431" s="5"/>
      <c r="F1431" s="5"/>
      <c r="G1431" s="5"/>
    </row>
    <row r="1432" spans="1:7" s="1" customFormat="1" x14ac:dyDescent="0.2">
      <c r="A1432" s="5"/>
      <c r="B1432" s="5"/>
      <c r="C1432" s="5"/>
      <c r="D1432" s="5"/>
      <c r="E1432" s="5"/>
      <c r="F1432" s="5"/>
      <c r="G1432" s="5"/>
    </row>
    <row r="1433" spans="1:7" s="1" customFormat="1" x14ac:dyDescent="0.2">
      <c r="A1433" s="5"/>
      <c r="B1433" s="5"/>
      <c r="C1433" s="5"/>
      <c r="D1433" s="5"/>
      <c r="E1433" s="5"/>
      <c r="F1433" s="5"/>
      <c r="G1433" s="5"/>
    </row>
    <row r="1434" spans="1:7" s="1" customFormat="1" x14ac:dyDescent="0.2">
      <c r="A1434" s="5"/>
      <c r="B1434" s="5"/>
      <c r="C1434" s="5"/>
      <c r="D1434" s="5"/>
      <c r="E1434" s="5"/>
      <c r="F1434" s="5"/>
      <c r="G1434" s="5"/>
    </row>
    <row r="1435" spans="1:7" s="1" customFormat="1" x14ac:dyDescent="0.2">
      <c r="A1435" s="5"/>
      <c r="B1435" s="5"/>
      <c r="C1435" s="5"/>
      <c r="D1435" s="5"/>
      <c r="E1435" s="5"/>
      <c r="F1435" s="5"/>
      <c r="G1435" s="5"/>
    </row>
    <row r="1436" spans="1:7" s="1" customFormat="1" x14ac:dyDescent="0.2">
      <c r="A1436" s="5"/>
      <c r="B1436" s="5"/>
      <c r="C1436" s="5"/>
      <c r="D1436" s="5"/>
      <c r="E1436" s="5"/>
      <c r="F1436" s="5"/>
      <c r="G1436" s="5"/>
    </row>
    <row r="1437" spans="1:7" s="1" customFormat="1" x14ac:dyDescent="0.2">
      <c r="A1437" s="5"/>
      <c r="B1437" s="5"/>
      <c r="C1437" s="5"/>
      <c r="D1437" s="5"/>
      <c r="E1437" s="5"/>
      <c r="F1437" s="5"/>
      <c r="G1437" s="5"/>
    </row>
    <row r="1438" spans="1:7" s="1" customFormat="1" x14ac:dyDescent="0.2">
      <c r="A1438" s="5"/>
      <c r="B1438" s="5"/>
      <c r="C1438" s="5"/>
      <c r="D1438" s="5"/>
      <c r="E1438" s="5"/>
      <c r="F1438" s="5"/>
      <c r="G1438" s="5"/>
    </row>
    <row r="1439" spans="1:7" s="1" customFormat="1" x14ac:dyDescent="0.2">
      <c r="A1439" s="5"/>
      <c r="B1439" s="5"/>
      <c r="C1439" s="5"/>
      <c r="D1439" s="5"/>
      <c r="E1439" s="5"/>
      <c r="F1439" s="5"/>
      <c r="G1439" s="5"/>
    </row>
    <row r="1440" spans="1:7" s="1" customFormat="1" x14ac:dyDescent="0.2">
      <c r="A1440" s="5"/>
      <c r="B1440" s="5"/>
      <c r="C1440" s="5"/>
      <c r="D1440" s="5"/>
      <c r="E1440" s="5"/>
      <c r="F1440" s="5"/>
      <c r="G1440" s="5"/>
    </row>
    <row r="1441" spans="1:7" s="1" customFormat="1" x14ac:dyDescent="0.2">
      <c r="A1441" s="5"/>
      <c r="B1441" s="5"/>
      <c r="C1441" s="5"/>
      <c r="D1441" s="5"/>
      <c r="E1441" s="5"/>
      <c r="F1441" s="5"/>
      <c r="G1441" s="5"/>
    </row>
    <row r="1442" spans="1:7" s="1" customFormat="1" x14ac:dyDescent="0.2">
      <c r="A1442" s="5"/>
      <c r="B1442" s="5"/>
      <c r="C1442" s="5"/>
      <c r="D1442" s="5"/>
      <c r="E1442" s="5"/>
      <c r="F1442" s="5"/>
      <c r="G1442" s="5"/>
    </row>
    <row r="1443" spans="1:7" s="1" customFormat="1" x14ac:dyDescent="0.2">
      <c r="A1443" s="5"/>
      <c r="B1443" s="5"/>
      <c r="C1443" s="5"/>
      <c r="D1443" s="5"/>
      <c r="E1443" s="5"/>
      <c r="F1443" s="5"/>
      <c r="G1443" s="5"/>
    </row>
    <row r="1444" spans="1:7" s="1" customFormat="1" x14ac:dyDescent="0.2">
      <c r="A1444" s="5"/>
      <c r="B1444" s="5"/>
      <c r="C1444" s="5"/>
      <c r="D1444" s="5"/>
      <c r="E1444" s="5"/>
      <c r="F1444" s="5"/>
      <c r="G1444" s="5"/>
    </row>
    <row r="1445" spans="1:7" s="1" customFormat="1" x14ac:dyDescent="0.2">
      <c r="A1445" s="5"/>
      <c r="B1445" s="5"/>
      <c r="C1445" s="5"/>
      <c r="D1445" s="5"/>
      <c r="E1445" s="5"/>
      <c r="F1445" s="5"/>
      <c r="G1445" s="5"/>
    </row>
    <row r="1446" spans="1:7" s="1" customFormat="1" x14ac:dyDescent="0.2">
      <c r="A1446" s="5"/>
      <c r="B1446" s="5"/>
      <c r="C1446" s="5"/>
      <c r="D1446" s="5"/>
      <c r="E1446" s="5"/>
      <c r="F1446" s="5"/>
      <c r="G1446" s="5"/>
    </row>
    <row r="1447" spans="1:7" s="1" customFormat="1" x14ac:dyDescent="0.2">
      <c r="A1447" s="5"/>
      <c r="B1447" s="5"/>
      <c r="C1447" s="5"/>
      <c r="D1447" s="5"/>
      <c r="E1447" s="5"/>
      <c r="F1447" s="5"/>
      <c r="G1447" s="5"/>
    </row>
    <row r="1448" spans="1:7" s="1" customFormat="1" x14ac:dyDescent="0.2">
      <c r="A1448" s="5"/>
      <c r="B1448" s="5"/>
      <c r="C1448" s="5"/>
      <c r="D1448" s="5"/>
      <c r="E1448" s="5"/>
      <c r="F1448" s="5"/>
      <c r="G1448" s="5"/>
    </row>
    <row r="1449" spans="1:7" s="1" customFormat="1" x14ac:dyDescent="0.2">
      <c r="A1449" s="5"/>
      <c r="B1449" s="5"/>
      <c r="C1449" s="5"/>
      <c r="D1449" s="5"/>
      <c r="E1449" s="5"/>
      <c r="F1449" s="5"/>
      <c r="G1449" s="5"/>
    </row>
    <row r="1450" spans="1:7" s="1" customFormat="1" x14ac:dyDescent="0.2">
      <c r="A1450" s="5"/>
      <c r="B1450" s="5"/>
      <c r="C1450" s="5"/>
      <c r="D1450" s="5"/>
      <c r="E1450" s="5"/>
      <c r="F1450" s="5"/>
      <c r="G1450" s="5"/>
    </row>
    <row r="1451" spans="1:7" s="1" customFormat="1" x14ac:dyDescent="0.2">
      <c r="A1451" s="5"/>
      <c r="B1451" s="5"/>
      <c r="C1451" s="5"/>
      <c r="D1451" s="5"/>
      <c r="E1451" s="5"/>
      <c r="F1451" s="5"/>
      <c r="G1451" s="5"/>
    </row>
    <row r="1452" spans="1:7" s="1" customFormat="1" x14ac:dyDescent="0.2">
      <c r="A1452" s="5"/>
      <c r="B1452" s="5"/>
      <c r="C1452" s="5"/>
      <c r="D1452" s="5"/>
      <c r="E1452" s="5"/>
      <c r="F1452" s="5"/>
      <c r="G1452" s="5"/>
    </row>
    <row r="1453" spans="1:7" s="1" customFormat="1" x14ac:dyDescent="0.2">
      <c r="A1453" s="5"/>
      <c r="B1453" s="5"/>
      <c r="C1453" s="5"/>
      <c r="D1453" s="5"/>
      <c r="E1453" s="5"/>
      <c r="F1453" s="5"/>
      <c r="G1453" s="5"/>
    </row>
    <row r="1454" spans="1:7" s="1" customFormat="1" x14ac:dyDescent="0.2">
      <c r="A1454" s="5"/>
      <c r="B1454" s="5"/>
      <c r="C1454" s="5"/>
      <c r="D1454" s="5"/>
      <c r="E1454" s="5"/>
      <c r="F1454" s="5"/>
      <c r="G1454" s="5"/>
    </row>
    <row r="1455" spans="1:7" s="1" customFormat="1" x14ac:dyDescent="0.2">
      <c r="A1455" s="5"/>
      <c r="B1455" s="5"/>
      <c r="C1455" s="5"/>
      <c r="D1455" s="5"/>
      <c r="E1455" s="5"/>
      <c r="F1455" s="5"/>
      <c r="G1455" s="5"/>
    </row>
    <row r="1456" spans="1:7" s="1" customFormat="1" x14ac:dyDescent="0.2">
      <c r="A1456" s="5"/>
      <c r="B1456" s="5"/>
      <c r="C1456" s="5"/>
      <c r="D1456" s="5"/>
      <c r="E1456" s="5"/>
      <c r="F1456" s="5"/>
      <c r="G1456" s="5"/>
    </row>
    <row r="1457" spans="1:7" s="1" customFormat="1" x14ac:dyDescent="0.2">
      <c r="A1457" s="5"/>
      <c r="B1457" s="5"/>
      <c r="C1457" s="5"/>
      <c r="D1457" s="5"/>
      <c r="E1457" s="5"/>
      <c r="F1457" s="5"/>
      <c r="G1457" s="5"/>
    </row>
    <row r="1458" spans="1:7" s="1" customFormat="1" x14ac:dyDescent="0.2">
      <c r="A1458" s="5"/>
      <c r="B1458" s="5"/>
      <c r="C1458" s="5"/>
      <c r="D1458" s="5"/>
      <c r="E1458" s="5"/>
      <c r="F1458" s="5"/>
      <c r="G1458" s="5"/>
    </row>
    <row r="1459" spans="1:7" s="1" customFormat="1" x14ac:dyDescent="0.2">
      <c r="A1459" s="5"/>
      <c r="B1459" s="5"/>
      <c r="C1459" s="5"/>
      <c r="D1459" s="5"/>
      <c r="E1459" s="5"/>
      <c r="F1459" s="5"/>
      <c r="G1459" s="5"/>
    </row>
    <row r="1460" spans="1:7" s="1" customFormat="1" x14ac:dyDescent="0.2">
      <c r="A1460" s="5"/>
      <c r="B1460" s="5"/>
      <c r="C1460" s="5"/>
      <c r="D1460" s="5"/>
      <c r="E1460" s="5"/>
      <c r="F1460" s="5"/>
      <c r="G1460" s="5"/>
    </row>
    <row r="1461" spans="1:7" s="1" customFormat="1" x14ac:dyDescent="0.2">
      <c r="A1461" s="5"/>
      <c r="B1461" s="5"/>
      <c r="C1461" s="5"/>
      <c r="D1461" s="5"/>
      <c r="E1461" s="5"/>
      <c r="F1461" s="5"/>
      <c r="G1461" s="5"/>
    </row>
    <row r="1462" spans="1:7" s="1" customFormat="1" x14ac:dyDescent="0.2">
      <c r="A1462" s="5"/>
      <c r="B1462" s="5"/>
      <c r="C1462" s="5"/>
      <c r="D1462" s="5"/>
      <c r="E1462" s="5"/>
      <c r="F1462" s="5"/>
      <c r="G1462" s="5"/>
    </row>
    <row r="1463" spans="1:7" s="1" customFormat="1" x14ac:dyDescent="0.2">
      <c r="A1463" s="5"/>
      <c r="B1463" s="5"/>
      <c r="C1463" s="5"/>
      <c r="D1463" s="5"/>
      <c r="E1463" s="5"/>
      <c r="F1463" s="5"/>
      <c r="G1463" s="5"/>
    </row>
    <row r="1464" spans="1:7" s="1" customFormat="1" x14ac:dyDescent="0.2">
      <c r="A1464" s="5"/>
      <c r="B1464" s="5"/>
      <c r="C1464" s="5"/>
      <c r="D1464" s="5"/>
      <c r="E1464" s="5"/>
      <c r="F1464" s="5"/>
      <c r="G1464" s="5"/>
    </row>
    <row r="1465" spans="1:7" s="1" customFormat="1" x14ac:dyDescent="0.2">
      <c r="A1465" s="5"/>
      <c r="B1465" s="5"/>
      <c r="C1465" s="5"/>
      <c r="D1465" s="5"/>
      <c r="E1465" s="5"/>
      <c r="F1465" s="5"/>
      <c r="G1465" s="5"/>
    </row>
    <row r="1466" spans="1:7" s="1" customFormat="1" x14ac:dyDescent="0.2">
      <c r="A1466" s="5"/>
      <c r="B1466" s="5"/>
      <c r="C1466" s="5"/>
      <c r="D1466" s="5"/>
      <c r="E1466" s="5"/>
      <c r="F1466" s="5"/>
      <c r="G1466" s="5"/>
    </row>
    <row r="1467" spans="1:7" s="1" customFormat="1" x14ac:dyDescent="0.2">
      <c r="A1467" s="5"/>
      <c r="B1467" s="5"/>
      <c r="C1467" s="5"/>
      <c r="D1467" s="5"/>
      <c r="E1467" s="5"/>
      <c r="F1467" s="5"/>
      <c r="G1467" s="5"/>
    </row>
    <row r="1468" spans="1:7" s="1" customFormat="1" x14ac:dyDescent="0.2">
      <c r="A1468" s="5"/>
      <c r="B1468" s="5"/>
      <c r="C1468" s="5"/>
      <c r="D1468" s="5"/>
      <c r="E1468" s="5"/>
      <c r="F1468" s="5"/>
      <c r="G1468" s="5"/>
    </row>
    <row r="1469" spans="1:7" s="1" customFormat="1" x14ac:dyDescent="0.2">
      <c r="A1469" s="5"/>
      <c r="B1469" s="5"/>
      <c r="C1469" s="5"/>
      <c r="D1469" s="5"/>
      <c r="E1469" s="5"/>
      <c r="F1469" s="5"/>
      <c r="G1469" s="5"/>
    </row>
    <row r="1470" spans="1:7" s="1" customFormat="1" x14ac:dyDescent="0.2">
      <c r="A1470" s="5"/>
      <c r="B1470" s="5"/>
      <c r="C1470" s="5"/>
      <c r="D1470" s="5"/>
      <c r="E1470" s="5"/>
      <c r="F1470" s="5"/>
      <c r="G1470" s="5"/>
    </row>
    <row r="1471" spans="1:7" s="1" customFormat="1" x14ac:dyDescent="0.2">
      <c r="A1471" s="5"/>
      <c r="B1471" s="5"/>
      <c r="C1471" s="5"/>
      <c r="D1471" s="5"/>
      <c r="E1471" s="5"/>
      <c r="F1471" s="5"/>
      <c r="G1471" s="5"/>
    </row>
    <row r="1472" spans="1:7" s="1" customFormat="1" x14ac:dyDescent="0.2">
      <c r="A1472" s="5"/>
      <c r="B1472" s="5"/>
      <c r="C1472" s="5"/>
      <c r="D1472" s="5"/>
      <c r="E1472" s="5"/>
      <c r="F1472" s="5"/>
      <c r="G1472" s="5"/>
    </row>
    <row r="1473" spans="1:7" s="1" customFormat="1" x14ac:dyDescent="0.2">
      <c r="A1473" s="5"/>
      <c r="B1473" s="5"/>
      <c r="C1473" s="5"/>
      <c r="D1473" s="5"/>
      <c r="E1473" s="5"/>
      <c r="F1473" s="5"/>
      <c r="G1473" s="5"/>
    </row>
    <row r="1474" spans="1:7" s="1" customFormat="1" x14ac:dyDescent="0.2">
      <c r="A1474" s="5"/>
      <c r="B1474" s="5"/>
      <c r="C1474" s="5"/>
      <c r="D1474" s="5"/>
      <c r="E1474" s="5"/>
      <c r="F1474" s="5"/>
      <c r="G1474" s="5"/>
    </row>
    <row r="1475" spans="1:7" s="1" customFormat="1" x14ac:dyDescent="0.2">
      <c r="A1475" s="5"/>
      <c r="B1475" s="5"/>
      <c r="C1475" s="5"/>
      <c r="D1475" s="5"/>
      <c r="E1475" s="5"/>
      <c r="F1475" s="5"/>
      <c r="G1475" s="5"/>
    </row>
    <row r="1476" spans="1:7" s="1" customFormat="1" x14ac:dyDescent="0.2">
      <c r="A1476" s="5"/>
      <c r="B1476" s="5"/>
      <c r="C1476" s="5"/>
      <c r="D1476" s="5"/>
      <c r="E1476" s="5"/>
      <c r="F1476" s="5"/>
      <c r="G1476" s="5"/>
    </row>
    <row r="1477" spans="1:7" s="1" customFormat="1" x14ac:dyDescent="0.2">
      <c r="A1477" s="5"/>
      <c r="B1477" s="5"/>
      <c r="C1477" s="5"/>
      <c r="D1477" s="5"/>
      <c r="E1477" s="5"/>
      <c r="F1477" s="5"/>
      <c r="G1477" s="5"/>
    </row>
    <row r="1478" spans="1:7" s="1" customFormat="1" x14ac:dyDescent="0.2">
      <c r="A1478" s="5"/>
      <c r="B1478" s="5"/>
      <c r="C1478" s="5"/>
      <c r="D1478" s="5"/>
      <c r="E1478" s="5"/>
      <c r="F1478" s="5"/>
      <c r="G1478" s="5"/>
    </row>
    <row r="1479" spans="1:7" s="1" customFormat="1" x14ac:dyDescent="0.2">
      <c r="A1479" s="5"/>
      <c r="B1479" s="5"/>
      <c r="C1479" s="5"/>
      <c r="D1479" s="5"/>
      <c r="E1479" s="5"/>
      <c r="F1479" s="5"/>
      <c r="G1479" s="5"/>
    </row>
    <row r="1480" spans="1:7" s="1" customFormat="1" x14ac:dyDescent="0.2">
      <c r="A1480" s="5"/>
      <c r="B1480" s="5"/>
      <c r="C1480" s="5"/>
      <c r="D1480" s="5"/>
      <c r="E1480" s="5"/>
      <c r="F1480" s="5"/>
      <c r="G1480" s="5"/>
    </row>
    <row r="1481" spans="1:7" s="1" customFormat="1" x14ac:dyDescent="0.2">
      <c r="A1481" s="5"/>
      <c r="B1481" s="5"/>
      <c r="C1481" s="5"/>
      <c r="D1481" s="5"/>
      <c r="E1481" s="5"/>
      <c r="F1481" s="5"/>
      <c r="G1481" s="5"/>
    </row>
    <row r="1482" spans="1:7" s="1" customFormat="1" x14ac:dyDescent="0.2">
      <c r="A1482" s="5"/>
      <c r="B1482" s="5"/>
      <c r="C1482" s="5"/>
      <c r="D1482" s="5"/>
      <c r="E1482" s="5"/>
      <c r="F1482" s="5"/>
      <c r="G1482" s="5"/>
    </row>
    <row r="1483" spans="1:7" s="1" customFormat="1" x14ac:dyDescent="0.2">
      <c r="A1483" s="5"/>
      <c r="B1483" s="5"/>
      <c r="C1483" s="5"/>
      <c r="D1483" s="5"/>
      <c r="E1483" s="5"/>
      <c r="F1483" s="5"/>
      <c r="G1483" s="5"/>
    </row>
    <row r="1484" spans="1:7" s="1" customFormat="1" x14ac:dyDescent="0.2">
      <c r="A1484" s="5"/>
      <c r="B1484" s="5"/>
      <c r="C1484" s="5"/>
      <c r="D1484" s="5"/>
      <c r="E1484" s="5"/>
      <c r="F1484" s="5"/>
      <c r="G1484" s="5"/>
    </row>
    <row r="1485" spans="1:7" s="1" customFormat="1" x14ac:dyDescent="0.2">
      <c r="A1485" s="5"/>
      <c r="B1485" s="5"/>
      <c r="C1485" s="5"/>
      <c r="D1485" s="5"/>
      <c r="E1485" s="5"/>
      <c r="F1485" s="5"/>
      <c r="G1485" s="5"/>
    </row>
    <row r="1486" spans="1:7" s="1" customFormat="1" x14ac:dyDescent="0.2">
      <c r="A1486" s="5"/>
      <c r="B1486" s="5"/>
      <c r="C1486" s="5"/>
      <c r="D1486" s="5"/>
      <c r="E1486" s="5"/>
      <c r="F1486" s="5"/>
      <c r="G1486" s="5"/>
    </row>
    <row r="1487" spans="1:7" s="1" customFormat="1" x14ac:dyDescent="0.2">
      <c r="A1487" s="5"/>
      <c r="B1487" s="5"/>
      <c r="C1487" s="5"/>
      <c r="D1487" s="5"/>
      <c r="E1487" s="5"/>
      <c r="F1487" s="5"/>
      <c r="G1487" s="5"/>
    </row>
    <row r="1488" spans="1:7" s="1" customFormat="1" x14ac:dyDescent="0.2">
      <c r="A1488" s="5"/>
      <c r="B1488" s="5"/>
      <c r="C1488" s="5"/>
      <c r="D1488" s="5"/>
      <c r="E1488" s="5"/>
      <c r="F1488" s="5"/>
      <c r="G1488" s="5"/>
    </row>
    <row r="1489" spans="1:7" s="1" customFormat="1" x14ac:dyDescent="0.2">
      <c r="A1489" s="5"/>
      <c r="B1489" s="5"/>
      <c r="C1489" s="5"/>
      <c r="D1489" s="5"/>
      <c r="E1489" s="5"/>
      <c r="F1489" s="5"/>
      <c r="G1489" s="5"/>
    </row>
    <row r="1490" spans="1:7" s="1" customFormat="1" x14ac:dyDescent="0.2">
      <c r="A1490" s="5"/>
      <c r="B1490" s="5"/>
      <c r="C1490" s="5"/>
      <c r="D1490" s="5"/>
      <c r="E1490" s="5"/>
      <c r="F1490" s="5"/>
      <c r="G1490" s="5"/>
    </row>
    <row r="1491" spans="1:7" s="1" customFormat="1" x14ac:dyDescent="0.2">
      <c r="A1491" s="5"/>
      <c r="B1491" s="5"/>
      <c r="C1491" s="5"/>
      <c r="D1491" s="5"/>
      <c r="E1491" s="5"/>
      <c r="F1491" s="5"/>
      <c r="G1491" s="5"/>
    </row>
    <row r="1492" spans="1:7" s="1" customFormat="1" x14ac:dyDescent="0.2">
      <c r="A1492" s="5"/>
      <c r="B1492" s="5"/>
      <c r="C1492" s="5"/>
      <c r="D1492" s="5"/>
      <c r="E1492" s="5"/>
      <c r="F1492" s="5"/>
      <c r="G1492" s="5"/>
    </row>
    <row r="1493" spans="1:7" s="1" customFormat="1" x14ac:dyDescent="0.2">
      <c r="A1493" s="5"/>
      <c r="B1493" s="5"/>
      <c r="C1493" s="5"/>
      <c r="D1493" s="5"/>
      <c r="E1493" s="5"/>
      <c r="F1493" s="5"/>
      <c r="G1493" s="5"/>
    </row>
    <row r="1494" spans="1:7" s="1" customFormat="1" x14ac:dyDescent="0.2">
      <c r="A1494" s="5"/>
      <c r="B1494" s="5"/>
      <c r="C1494" s="5"/>
      <c r="D1494" s="5"/>
      <c r="E1494" s="5"/>
      <c r="F1494" s="5"/>
      <c r="G1494" s="5"/>
    </row>
    <row r="1495" spans="1:7" s="1" customFormat="1" x14ac:dyDescent="0.2">
      <c r="A1495" s="5"/>
      <c r="B1495" s="5"/>
      <c r="C1495" s="5"/>
      <c r="D1495" s="5"/>
      <c r="E1495" s="5"/>
      <c r="F1495" s="5"/>
      <c r="G1495" s="5"/>
    </row>
    <row r="1496" spans="1:7" s="1" customFormat="1" x14ac:dyDescent="0.2">
      <c r="A1496" s="5"/>
      <c r="B1496" s="5"/>
      <c r="C1496" s="5"/>
      <c r="D1496" s="5"/>
      <c r="E1496" s="5"/>
      <c r="F1496" s="5"/>
      <c r="G1496" s="5"/>
    </row>
    <row r="1497" spans="1:7" s="1" customFormat="1" x14ac:dyDescent="0.2">
      <c r="A1497" s="5"/>
      <c r="B1497" s="5"/>
      <c r="C1497" s="5"/>
      <c r="D1497" s="5"/>
      <c r="E1497" s="5"/>
      <c r="F1497" s="5"/>
      <c r="G1497" s="5"/>
    </row>
    <row r="1498" spans="1:7" s="1" customFormat="1" x14ac:dyDescent="0.2">
      <c r="A1498" s="5"/>
      <c r="B1498" s="5"/>
      <c r="C1498" s="5"/>
      <c r="D1498" s="5"/>
      <c r="E1498" s="5"/>
      <c r="F1498" s="5"/>
      <c r="G1498" s="5"/>
    </row>
    <row r="1499" spans="1:7" s="1" customFormat="1" x14ac:dyDescent="0.2">
      <c r="A1499" s="5"/>
      <c r="B1499" s="5"/>
      <c r="C1499" s="5"/>
      <c r="D1499" s="5"/>
      <c r="E1499" s="5"/>
      <c r="F1499" s="5"/>
      <c r="G1499" s="5"/>
    </row>
    <row r="1500" spans="1:7" s="1" customFormat="1" x14ac:dyDescent="0.2">
      <c r="A1500" s="5"/>
      <c r="B1500" s="5"/>
      <c r="C1500" s="5"/>
      <c r="D1500" s="5"/>
      <c r="E1500" s="5"/>
      <c r="F1500" s="5"/>
      <c r="G1500" s="5"/>
    </row>
    <row r="1501" spans="1:7" s="1" customFormat="1" x14ac:dyDescent="0.2">
      <c r="A1501" s="5"/>
      <c r="B1501" s="5"/>
      <c r="C1501" s="5"/>
      <c r="D1501" s="5"/>
      <c r="E1501" s="5"/>
      <c r="F1501" s="5"/>
      <c r="G1501" s="5"/>
    </row>
    <row r="1502" spans="1:7" s="1" customFormat="1" x14ac:dyDescent="0.2">
      <c r="A1502" s="5"/>
      <c r="B1502" s="5"/>
      <c r="C1502" s="5"/>
      <c r="D1502" s="5"/>
      <c r="E1502" s="5"/>
      <c r="F1502" s="5"/>
      <c r="G1502" s="5"/>
    </row>
    <row r="1503" spans="1:7" s="1" customFormat="1" x14ac:dyDescent="0.2">
      <c r="A1503" s="5"/>
      <c r="B1503" s="5"/>
      <c r="C1503" s="5"/>
      <c r="D1503" s="5"/>
      <c r="E1503" s="5"/>
      <c r="F1503" s="5"/>
      <c r="G1503" s="5"/>
    </row>
    <row r="1504" spans="1:7" s="1" customFormat="1" x14ac:dyDescent="0.2">
      <c r="A1504" s="5"/>
      <c r="B1504" s="5"/>
      <c r="C1504" s="5"/>
      <c r="D1504" s="5"/>
      <c r="E1504" s="5"/>
      <c r="F1504" s="5"/>
      <c r="G1504" s="5"/>
    </row>
    <row r="1505" spans="1:7" s="1" customFormat="1" x14ac:dyDescent="0.2">
      <c r="A1505" s="5"/>
      <c r="B1505" s="5"/>
      <c r="C1505" s="5"/>
      <c r="D1505" s="5"/>
      <c r="E1505" s="5"/>
      <c r="F1505" s="5"/>
      <c r="G1505" s="5"/>
    </row>
    <row r="1506" spans="1:7" s="1" customFormat="1" x14ac:dyDescent="0.2">
      <c r="A1506" s="5"/>
      <c r="B1506" s="5"/>
      <c r="C1506" s="5"/>
      <c r="D1506" s="5"/>
      <c r="E1506" s="5"/>
      <c r="F1506" s="5"/>
      <c r="G1506" s="5"/>
    </row>
    <row r="1507" spans="1:7" s="1" customFormat="1" x14ac:dyDescent="0.2"/>
    <row r="1508" spans="1:7" s="1" customFormat="1" x14ac:dyDescent="0.2"/>
    <row r="1509" spans="1:7" s="1" customFormat="1" x14ac:dyDescent="0.2"/>
    <row r="1510" spans="1:7" s="1" customFormat="1" x14ac:dyDescent="0.2"/>
    <row r="1511" spans="1:7" s="1" customFormat="1" x14ac:dyDescent="0.2"/>
    <row r="1512" spans="1:7" s="1" customFormat="1" x14ac:dyDescent="0.2"/>
    <row r="1513" spans="1:7" s="1" customFormat="1" x14ac:dyDescent="0.2"/>
    <row r="1514" spans="1:7" s="1" customFormat="1" x14ac:dyDescent="0.2"/>
    <row r="1515" spans="1:7" s="1" customFormat="1" x14ac:dyDescent="0.2"/>
    <row r="1516" spans="1:7" s="1" customFormat="1" x14ac:dyDescent="0.2"/>
    <row r="1517" spans="1:7" s="1" customFormat="1" x14ac:dyDescent="0.2"/>
    <row r="1518" spans="1:7" s="1" customFormat="1" x14ac:dyDescent="0.2"/>
    <row r="1519" spans="1:7" s="1" customFormat="1" x14ac:dyDescent="0.2"/>
    <row r="1520" spans="1:7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</sheetData>
  <mergeCells count="77">
    <mergeCell ref="F295:G295"/>
    <mergeCell ref="A60:G60"/>
    <mergeCell ref="B44:G44"/>
    <mergeCell ref="F310:G310"/>
    <mergeCell ref="F45:G45"/>
    <mergeCell ref="F294:G294"/>
    <mergeCell ref="F326:G326"/>
    <mergeCell ref="F307:G307"/>
    <mergeCell ref="F305:G305"/>
    <mergeCell ref="F306:G306"/>
    <mergeCell ref="F293:G293"/>
    <mergeCell ref="F296:G296"/>
    <mergeCell ref="B66:G66"/>
    <mergeCell ref="F52:G52"/>
    <mergeCell ref="F372:G372"/>
    <mergeCell ref="F380:G380"/>
    <mergeCell ref="E11:E12"/>
    <mergeCell ref="F366:G366"/>
    <mergeCell ref="F367:G367"/>
    <mergeCell ref="F371:G371"/>
    <mergeCell ref="F229:G229"/>
    <mergeCell ref="F304:G304"/>
    <mergeCell ref="B45:E46"/>
    <mergeCell ref="F49:G49"/>
    <mergeCell ref="F50:G50"/>
    <mergeCell ref="F51:G51"/>
    <mergeCell ref="B62:G62"/>
    <mergeCell ref="B48:G48"/>
    <mergeCell ref="A54:G54"/>
    <mergeCell ref="A30:G30"/>
    <mergeCell ref="B32:G32"/>
    <mergeCell ref="B9:D9"/>
    <mergeCell ref="B13:D13"/>
    <mergeCell ref="D273:E273"/>
    <mergeCell ref="F46:G46"/>
    <mergeCell ref="B56:G56"/>
    <mergeCell ref="B57:G57"/>
    <mergeCell ref="B49:E50"/>
    <mergeCell ref="B51:E52"/>
    <mergeCell ref="F427:G427"/>
    <mergeCell ref="F444:G444"/>
    <mergeCell ref="F439:G439"/>
    <mergeCell ref="F434:G434"/>
    <mergeCell ref="A2:E2"/>
    <mergeCell ref="G33:G37"/>
    <mergeCell ref="G38:G42"/>
    <mergeCell ref="B10:D10"/>
    <mergeCell ref="B12:D12"/>
    <mergeCell ref="B11:D11"/>
    <mergeCell ref="F387:G387"/>
    <mergeCell ref="F393:G393"/>
    <mergeCell ref="F425:G425"/>
    <mergeCell ref="F426:G426"/>
    <mergeCell ref="F394:G394"/>
    <mergeCell ref="F388:G388"/>
    <mergeCell ref="F389:G389"/>
    <mergeCell ref="F397:G397"/>
    <mergeCell ref="F123:G123"/>
    <mergeCell ref="F403:G403"/>
    <mergeCell ref="F415:G415"/>
    <mergeCell ref="F336:G336"/>
    <mergeCell ref="F392:G392"/>
    <mergeCell ref="F405:G405"/>
    <mergeCell ref="F382:G382"/>
    <mergeCell ref="F338:G338"/>
    <mergeCell ref="F399:G399"/>
    <mergeCell ref="F398:G398"/>
    <mergeCell ref="F359:G359"/>
    <mergeCell ref="F361:G361"/>
    <mergeCell ref="F451:G451"/>
    <mergeCell ref="B85:G85"/>
    <mergeCell ref="B157:G157"/>
    <mergeCell ref="B136:G136"/>
    <mergeCell ref="B121:G121"/>
    <mergeCell ref="B184:G184"/>
    <mergeCell ref="B194:G194"/>
    <mergeCell ref="F186:G186"/>
  </mergeCells>
  <printOptions horizontalCentered="1"/>
  <pageMargins left="0" right="0" top="0" bottom="0" header="0.5" footer="0.5"/>
  <pageSetup paperSize="62" scale="55" orientation="landscape" verticalDpi="300" r:id="rId1"/>
  <headerFooter alignWithMargins="0"/>
  <rowBreaks count="7" manualBreakCount="7">
    <brk id="82" max="16383" man="1"/>
    <brk id="154" max="28" man="1"/>
    <brk id="211" max="28" man="1"/>
    <brk id="247" max="28" man="1"/>
    <brk id="316" max="28" man="1"/>
    <brk id="406" max="28" man="1"/>
    <brk id="446" max="2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2"/>
  <sheetViews>
    <sheetView topLeftCell="A36" zoomScale="75" workbookViewId="0">
      <selection activeCell="E64" sqref="E64"/>
    </sheetView>
  </sheetViews>
  <sheetFormatPr defaultRowHeight="12.75" x14ac:dyDescent="0.2"/>
  <cols>
    <col min="1" max="1" width="36.85546875" bestFit="1" customWidth="1"/>
    <col min="4" max="4" width="17" bestFit="1" customWidth="1"/>
    <col min="7" max="7" width="10.28515625" bestFit="1" customWidth="1"/>
  </cols>
  <sheetData>
    <row r="1" spans="1:30" s="1" customFormat="1" ht="15.75" x14ac:dyDescent="0.25">
      <c r="A1" s="129" t="s">
        <v>107</v>
      </c>
    </row>
    <row r="2" spans="1:30" s="1" customFormat="1" ht="15.75" x14ac:dyDescent="0.25">
      <c r="A2" s="129" t="s">
        <v>108</v>
      </c>
    </row>
    <row r="3" spans="1:30" s="1" customFormat="1" ht="15.75" x14ac:dyDescent="0.25">
      <c r="A3" s="129" t="s">
        <v>106</v>
      </c>
    </row>
    <row r="4" spans="1:30" s="1" customFormat="1" x14ac:dyDescent="0.2"/>
    <row r="5" spans="1:30" s="1" customFormat="1" x14ac:dyDescent="0.2"/>
    <row r="6" spans="1:30" s="1" customFormat="1" x14ac:dyDescent="0.2">
      <c r="A6" s="130" t="s">
        <v>105</v>
      </c>
      <c r="B6" s="60"/>
      <c r="C6" s="60"/>
      <c r="D6" s="60"/>
      <c r="E6" s="60"/>
      <c r="F6" s="37"/>
      <c r="G6" s="131">
        <v>2001</v>
      </c>
      <c r="H6" s="131">
        <f t="shared" ref="H6:AA6" si="0">+G6+1</f>
        <v>2002</v>
      </c>
      <c r="I6" s="131">
        <f t="shared" si="0"/>
        <v>2003</v>
      </c>
      <c r="J6" s="131">
        <f t="shared" si="0"/>
        <v>2004</v>
      </c>
      <c r="K6" s="131">
        <f t="shared" si="0"/>
        <v>2005</v>
      </c>
      <c r="L6" s="131">
        <f t="shared" si="0"/>
        <v>2006</v>
      </c>
      <c r="M6" s="131">
        <f t="shared" si="0"/>
        <v>2007</v>
      </c>
      <c r="N6" s="131">
        <f t="shared" si="0"/>
        <v>2008</v>
      </c>
      <c r="O6" s="131">
        <f t="shared" si="0"/>
        <v>2009</v>
      </c>
      <c r="P6" s="131">
        <f t="shared" si="0"/>
        <v>2010</v>
      </c>
      <c r="Q6" s="131">
        <f t="shared" si="0"/>
        <v>2011</v>
      </c>
      <c r="R6" s="131">
        <f t="shared" si="0"/>
        <v>2012</v>
      </c>
      <c r="S6" s="131">
        <f t="shared" si="0"/>
        <v>2013</v>
      </c>
      <c r="T6" s="131">
        <f t="shared" si="0"/>
        <v>2014</v>
      </c>
      <c r="U6" s="131">
        <f t="shared" si="0"/>
        <v>2015</v>
      </c>
      <c r="V6" s="131">
        <f t="shared" si="0"/>
        <v>2016</v>
      </c>
      <c r="W6" s="131">
        <f t="shared" si="0"/>
        <v>2017</v>
      </c>
      <c r="X6" s="131">
        <f t="shared" si="0"/>
        <v>2018</v>
      </c>
      <c r="Y6" s="131">
        <f t="shared" si="0"/>
        <v>2019</v>
      </c>
      <c r="Z6" s="131">
        <f t="shared" si="0"/>
        <v>2020</v>
      </c>
      <c r="AA6" s="132">
        <f t="shared" si="0"/>
        <v>2021</v>
      </c>
    </row>
    <row r="7" spans="1:30" s="1" customFormat="1" x14ac:dyDescent="0.2">
      <c r="A7" s="5"/>
      <c r="B7" s="5"/>
      <c r="C7" s="5"/>
      <c r="D7" s="5"/>
      <c r="E7" s="5"/>
    </row>
    <row r="8" spans="1:30" s="1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1" customFormat="1" ht="15.75" x14ac:dyDescent="0.25">
      <c r="A9" s="278" t="s">
        <v>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1" customFormat="1" x14ac:dyDescent="0.2">
      <c r="A10" s="242" t="s">
        <v>338</v>
      </c>
      <c r="B10"/>
      <c r="C10" s="327" t="s">
        <v>3</v>
      </c>
      <c r="D10"/>
      <c r="E10" s="328">
        <v>2001</v>
      </c>
      <c r="F10" s="328">
        <v>2002</v>
      </c>
      <c r="G10" s="328">
        <v>2003</v>
      </c>
      <c r="H10" s="328">
        <v>2004</v>
      </c>
      <c r="I10" s="328">
        <v>2005</v>
      </c>
      <c r="J10" s="328">
        <v>2006</v>
      </c>
      <c r="K10" s="328">
        <v>2007</v>
      </c>
      <c r="L10" s="328">
        <v>2008</v>
      </c>
      <c r="M10" s="328">
        <v>2009</v>
      </c>
      <c r="N10" s="328">
        <v>2010</v>
      </c>
      <c r="O10" s="328">
        <v>2011</v>
      </c>
      <c r="P10" s="328">
        <v>2012</v>
      </c>
      <c r="Q10" s="328">
        <v>2013</v>
      </c>
      <c r="R10" s="328">
        <v>2014</v>
      </c>
      <c r="S10" s="328">
        <v>2015</v>
      </c>
      <c r="T10" s="328">
        <v>2016</v>
      </c>
      <c r="U10" s="328">
        <v>2017</v>
      </c>
      <c r="V10"/>
      <c r="W10"/>
      <c r="X10"/>
      <c r="Y10"/>
      <c r="Z10"/>
      <c r="AA10"/>
      <c r="AB10"/>
      <c r="AC10"/>
      <c r="AD10"/>
    </row>
    <row r="11" spans="1:30" s="1" customFormat="1" x14ac:dyDescent="0.2">
      <c r="A11" t="s">
        <v>339</v>
      </c>
      <c r="B11" t="s">
        <v>340</v>
      </c>
      <c r="C11" s="329">
        <f>SUM(E11:U11)</f>
        <v>5474.2440848975748</v>
      </c>
      <c r="D11" t="s">
        <v>341</v>
      </c>
      <c r="E11" s="329">
        <v>649.43335732823277</v>
      </c>
      <c r="F11" s="329">
        <v>553.25323235939754</v>
      </c>
      <c r="G11" s="329">
        <v>474.81204754117556</v>
      </c>
      <c r="H11" s="329">
        <v>450.68758349155195</v>
      </c>
      <c r="I11" s="329">
        <v>455.95978575408759</v>
      </c>
      <c r="J11" s="329">
        <v>459.86096688802996</v>
      </c>
      <c r="K11" s="329">
        <v>469.05863733670276</v>
      </c>
      <c r="L11" s="329">
        <v>474.03450449274311</v>
      </c>
      <c r="M11" s="329">
        <v>493.29591882859478</v>
      </c>
      <c r="N11" s="329">
        <v>491.30766932026467</v>
      </c>
      <c r="O11" s="329">
        <v>502.54038155679427</v>
      </c>
      <c r="P11" s="329">
        <v>0</v>
      </c>
      <c r="Q11" s="329">
        <v>0</v>
      </c>
      <c r="R11" s="329">
        <v>0</v>
      </c>
      <c r="S11" s="329">
        <v>0</v>
      </c>
      <c r="T11" s="329">
        <v>0</v>
      </c>
      <c r="U11" s="329">
        <v>0</v>
      </c>
      <c r="V11"/>
      <c r="W11"/>
      <c r="X11"/>
      <c r="Y11"/>
      <c r="Z11"/>
      <c r="AA11"/>
      <c r="AB11"/>
      <c r="AC11"/>
      <c r="AD11"/>
    </row>
    <row r="12" spans="1:30" s="1" customFormat="1" x14ac:dyDescent="0.2">
      <c r="A12" s="330" t="s">
        <v>342</v>
      </c>
      <c r="B12" t="s">
        <v>343</v>
      </c>
      <c r="C12" s="329">
        <f>SUM(E12:U12)</f>
        <v>25033.474382131753</v>
      </c>
      <c r="D12" t="s">
        <v>341</v>
      </c>
      <c r="E12" s="329">
        <v>0</v>
      </c>
      <c r="F12" s="329">
        <v>0</v>
      </c>
      <c r="G12" s="329">
        <v>0</v>
      </c>
      <c r="H12" s="329">
        <v>0</v>
      </c>
      <c r="I12" s="329">
        <v>0</v>
      </c>
      <c r="J12" s="329">
        <v>0</v>
      </c>
      <c r="K12" s="329">
        <v>0</v>
      </c>
      <c r="L12" s="329">
        <v>0</v>
      </c>
      <c r="M12" s="329">
        <v>0</v>
      </c>
      <c r="N12" s="329">
        <v>0</v>
      </c>
      <c r="O12" s="329">
        <v>0</v>
      </c>
      <c r="P12" s="329">
        <v>4857.3674427826472</v>
      </c>
      <c r="Q12" s="329">
        <v>4927.9650506168937</v>
      </c>
      <c r="R12" s="329">
        <v>4971.9084564859595</v>
      </c>
      <c r="S12" s="329">
        <v>5136.419076084283</v>
      </c>
      <c r="T12" s="329">
        <v>5139.8143561619672</v>
      </c>
      <c r="U12" s="329">
        <v>0</v>
      </c>
      <c r="V12"/>
      <c r="W12"/>
      <c r="X12"/>
      <c r="Y12"/>
      <c r="Z12"/>
      <c r="AA12"/>
      <c r="AB12"/>
      <c r="AC12"/>
      <c r="AD12"/>
    </row>
    <row r="13" spans="1:30" s="1" customFormat="1" x14ac:dyDescent="0.2">
      <c r="A13" t="s">
        <v>344</v>
      </c>
      <c r="B13" t="s">
        <v>345</v>
      </c>
      <c r="C13" s="329">
        <f>SUM(E13:U13)</f>
        <v>13222.188401137297</v>
      </c>
      <c r="D13" t="s">
        <v>346</v>
      </c>
      <c r="E13" s="329">
        <v>0</v>
      </c>
      <c r="F13" s="329">
        <v>0</v>
      </c>
      <c r="G13" s="329">
        <v>0</v>
      </c>
      <c r="H13" s="329">
        <v>0</v>
      </c>
      <c r="I13" s="329">
        <v>0</v>
      </c>
      <c r="J13" s="329">
        <v>0</v>
      </c>
      <c r="K13" s="329">
        <v>0</v>
      </c>
      <c r="L13" s="329">
        <v>0</v>
      </c>
      <c r="M13" s="329">
        <v>0</v>
      </c>
      <c r="N13" s="329">
        <v>0</v>
      </c>
      <c r="O13" s="329">
        <v>0</v>
      </c>
      <c r="P13" s="329">
        <v>0</v>
      </c>
      <c r="Q13" s="329">
        <v>0</v>
      </c>
      <c r="R13" s="329">
        <v>0</v>
      </c>
      <c r="S13" s="329">
        <v>0</v>
      </c>
      <c r="T13" s="329">
        <v>0</v>
      </c>
      <c r="U13" s="329">
        <v>13222.188401137297</v>
      </c>
      <c r="V13"/>
      <c r="W13"/>
      <c r="X13"/>
      <c r="Y13"/>
      <c r="Z13"/>
      <c r="AA13"/>
      <c r="AB13"/>
      <c r="AC13"/>
      <c r="AD13"/>
    </row>
    <row r="14" spans="1:30" s="1" customFormat="1" ht="13.5" thickBot="1" x14ac:dyDescent="0.25">
      <c r="A14"/>
      <c r="B14"/>
      <c r="C14" s="331">
        <f>+C11+C12+C13</f>
        <v>43729.906868166625</v>
      </c>
      <c r="D14"/>
      <c r="E14" s="331">
        <f>+E13+E12+E11</f>
        <v>649.43335732823277</v>
      </c>
      <c r="F14" s="331">
        <f t="shared" ref="F14:U14" si="1">+F13+F12+F11</f>
        <v>553.25323235939754</v>
      </c>
      <c r="G14" s="331">
        <f t="shared" si="1"/>
        <v>474.81204754117556</v>
      </c>
      <c r="H14" s="331">
        <f t="shared" si="1"/>
        <v>450.68758349155195</v>
      </c>
      <c r="I14" s="331">
        <f t="shared" si="1"/>
        <v>455.95978575408759</v>
      </c>
      <c r="J14" s="331">
        <f t="shared" si="1"/>
        <v>459.86096688802996</v>
      </c>
      <c r="K14" s="331">
        <f t="shared" si="1"/>
        <v>469.05863733670276</v>
      </c>
      <c r="L14" s="331">
        <f t="shared" si="1"/>
        <v>474.03450449274311</v>
      </c>
      <c r="M14" s="331">
        <f t="shared" si="1"/>
        <v>493.29591882859478</v>
      </c>
      <c r="N14" s="331">
        <f t="shared" si="1"/>
        <v>491.30766932026467</v>
      </c>
      <c r="O14" s="331">
        <f t="shared" si="1"/>
        <v>502.54038155679427</v>
      </c>
      <c r="P14" s="331">
        <f t="shared" si="1"/>
        <v>4857.3674427826472</v>
      </c>
      <c r="Q14" s="331">
        <f t="shared" si="1"/>
        <v>4927.9650506168937</v>
      </c>
      <c r="R14" s="331">
        <f t="shared" si="1"/>
        <v>4971.9084564859595</v>
      </c>
      <c r="S14" s="331">
        <f t="shared" si="1"/>
        <v>5136.419076084283</v>
      </c>
      <c r="T14" s="331">
        <f t="shared" si="1"/>
        <v>5139.8143561619672</v>
      </c>
      <c r="U14" s="331">
        <f t="shared" si="1"/>
        <v>13222.188401137297</v>
      </c>
      <c r="V14"/>
      <c r="W14"/>
      <c r="X14"/>
      <c r="Y14"/>
      <c r="Z14"/>
      <c r="AA14"/>
      <c r="AB14"/>
      <c r="AC14"/>
      <c r="AD14"/>
    </row>
    <row r="15" spans="1:30" s="1" customFormat="1" ht="13.5" thickTop="1" x14ac:dyDescent="0.2">
      <c r="A15"/>
      <c r="B15"/>
      <c r="C15" s="329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" customFormat="1" x14ac:dyDescent="0.2">
      <c r="A16" s="242" t="s">
        <v>347</v>
      </c>
      <c r="B16"/>
      <c r="C16" s="327" t="s">
        <v>3</v>
      </c>
      <c r="D16"/>
      <c r="E16" s="328">
        <v>2001</v>
      </c>
      <c r="F16" s="328">
        <v>2002</v>
      </c>
      <c r="G16" s="328">
        <v>2003</v>
      </c>
      <c r="H16" s="328">
        <v>2004</v>
      </c>
      <c r="I16" s="328">
        <v>2005</v>
      </c>
      <c r="J16" s="328">
        <v>2006</v>
      </c>
      <c r="K16" s="328">
        <v>2007</v>
      </c>
      <c r="L16" s="328">
        <v>2008</v>
      </c>
      <c r="M16" s="328">
        <v>2009</v>
      </c>
      <c r="N16" s="328">
        <v>2010</v>
      </c>
      <c r="O16" s="328">
        <v>2011</v>
      </c>
      <c r="P16" s="328">
        <v>2012</v>
      </c>
      <c r="Q16" s="328">
        <v>2013</v>
      </c>
      <c r="R16" s="328">
        <v>2014</v>
      </c>
      <c r="S16" s="328">
        <v>2015</v>
      </c>
      <c r="T16" s="328">
        <v>2016</v>
      </c>
      <c r="U16" s="328">
        <v>2017</v>
      </c>
      <c r="V16"/>
      <c r="W16"/>
      <c r="X16"/>
      <c r="Y16"/>
      <c r="Z16"/>
      <c r="AA16"/>
      <c r="AB16"/>
      <c r="AC16"/>
      <c r="AD16"/>
    </row>
    <row r="17" spans="1:30" s="1" customFormat="1" x14ac:dyDescent="0.2">
      <c r="A17" t="s">
        <v>339</v>
      </c>
      <c r="B17" t="s">
        <v>340</v>
      </c>
      <c r="C17" s="329">
        <f>SUM(E17:U17)</f>
        <v>7239.133337859811</v>
      </c>
      <c r="D17" t="s">
        <v>341</v>
      </c>
      <c r="E17" s="329">
        <v>736.052150347669</v>
      </c>
      <c r="F17" s="329">
        <v>664.03176591384181</v>
      </c>
      <c r="G17" s="329">
        <v>624.50856513585188</v>
      </c>
      <c r="H17" s="329">
        <v>604.34376878990793</v>
      </c>
      <c r="I17" s="329">
        <v>613.32054410030344</v>
      </c>
      <c r="J17" s="329">
        <v>643.77345548983089</v>
      </c>
      <c r="K17" s="329">
        <v>654.06207382720754</v>
      </c>
      <c r="L17" s="329">
        <v>657.84753515371438</v>
      </c>
      <c r="M17" s="329">
        <v>674.8416162206662</v>
      </c>
      <c r="N17" s="329">
        <v>679.79047839903524</v>
      </c>
      <c r="O17" s="329">
        <v>686.56138448178331</v>
      </c>
      <c r="P17" s="329">
        <v>0</v>
      </c>
      <c r="Q17" s="329">
        <v>0</v>
      </c>
      <c r="R17" s="329">
        <v>0</v>
      </c>
      <c r="S17" s="329">
        <v>0</v>
      </c>
      <c r="T17" s="329">
        <v>0</v>
      </c>
      <c r="U17" s="329">
        <v>0</v>
      </c>
      <c r="V17"/>
      <c r="W17"/>
      <c r="X17"/>
      <c r="Y17"/>
      <c r="Z17"/>
      <c r="AA17"/>
      <c r="AB17"/>
      <c r="AC17"/>
      <c r="AD17"/>
    </row>
    <row r="18" spans="1:30" s="1" customFormat="1" x14ac:dyDescent="0.2">
      <c r="A18" s="330" t="s">
        <v>342</v>
      </c>
      <c r="B18" t="s">
        <v>343</v>
      </c>
      <c r="C18" s="329">
        <f>SUM(E18:U18)</f>
        <v>32908.935457164058</v>
      </c>
      <c r="D18" t="s">
        <v>341</v>
      </c>
      <c r="E18" s="329">
        <v>0</v>
      </c>
      <c r="F18" s="329">
        <v>0</v>
      </c>
      <c r="G18" s="329">
        <v>0</v>
      </c>
      <c r="H18" s="329">
        <v>0</v>
      </c>
      <c r="I18" s="329">
        <v>0</v>
      </c>
      <c r="J18" s="329">
        <v>0</v>
      </c>
      <c r="K18" s="329">
        <v>0</v>
      </c>
      <c r="L18" s="329">
        <v>0</v>
      </c>
      <c r="M18" s="329">
        <v>0</v>
      </c>
      <c r="N18" s="329">
        <v>0</v>
      </c>
      <c r="O18" s="329">
        <v>0</v>
      </c>
      <c r="P18" s="329">
        <v>6544.5397915673684</v>
      </c>
      <c r="Q18" s="329">
        <v>6567.330404410277</v>
      </c>
      <c r="R18" s="329">
        <v>6548.6143792726152</v>
      </c>
      <c r="S18" s="329">
        <v>6657.119328458396</v>
      </c>
      <c r="T18" s="329">
        <v>6591.3315534554022</v>
      </c>
      <c r="U18" s="329">
        <v>0</v>
      </c>
      <c r="V18"/>
      <c r="W18"/>
      <c r="X18"/>
      <c r="Y18"/>
      <c r="Z18"/>
      <c r="AA18"/>
      <c r="AB18"/>
      <c r="AC18"/>
      <c r="AD18"/>
    </row>
    <row r="19" spans="1:30" s="1" customFormat="1" x14ac:dyDescent="0.2">
      <c r="A19" t="s">
        <v>344</v>
      </c>
      <c r="B19" t="s">
        <v>345</v>
      </c>
      <c r="C19" s="329">
        <f>SUM(E19:U19)</f>
        <v>17469.207877751858</v>
      </c>
      <c r="D19" t="s">
        <v>346</v>
      </c>
      <c r="E19" s="329">
        <v>0</v>
      </c>
      <c r="F19" s="329">
        <v>0</v>
      </c>
      <c r="G19" s="329">
        <v>0</v>
      </c>
      <c r="H19" s="329">
        <v>0</v>
      </c>
      <c r="I19" s="329">
        <v>0</v>
      </c>
      <c r="J19" s="329">
        <v>0</v>
      </c>
      <c r="K19" s="329">
        <v>0</v>
      </c>
      <c r="L19" s="329">
        <v>0</v>
      </c>
      <c r="M19" s="329">
        <v>0</v>
      </c>
      <c r="N19" s="329">
        <v>0</v>
      </c>
      <c r="O19" s="329">
        <v>0</v>
      </c>
      <c r="P19" s="329">
        <v>0</v>
      </c>
      <c r="Q19" s="329">
        <v>0</v>
      </c>
      <c r="R19" s="329">
        <v>0</v>
      </c>
      <c r="S19" s="329">
        <v>0</v>
      </c>
      <c r="T19" s="329">
        <v>0</v>
      </c>
      <c r="U19" s="329">
        <v>17469.207877751858</v>
      </c>
      <c r="V19"/>
      <c r="W19"/>
      <c r="X19"/>
      <c r="Y19"/>
      <c r="Z19"/>
      <c r="AA19"/>
      <c r="AB19"/>
      <c r="AC19"/>
      <c r="AD19"/>
    </row>
    <row r="20" spans="1:30" s="1" customFormat="1" ht="13.5" thickBot="1" x14ac:dyDescent="0.25">
      <c r="A20"/>
      <c r="B20"/>
      <c r="C20" s="331">
        <f>+C17+C18+C19</f>
        <v>57617.276672775726</v>
      </c>
      <c r="D20"/>
      <c r="E20" s="331">
        <f t="shared" ref="E20:U20" si="2">+E19+E18+E17</f>
        <v>736.052150347669</v>
      </c>
      <c r="F20" s="331">
        <f t="shared" si="2"/>
        <v>664.03176591384181</v>
      </c>
      <c r="G20" s="331">
        <f t="shared" si="2"/>
        <v>624.50856513585188</v>
      </c>
      <c r="H20" s="331">
        <f t="shared" si="2"/>
        <v>604.34376878990793</v>
      </c>
      <c r="I20" s="331">
        <f t="shared" si="2"/>
        <v>613.32054410030344</v>
      </c>
      <c r="J20" s="331">
        <f t="shared" si="2"/>
        <v>643.77345548983089</v>
      </c>
      <c r="K20" s="331">
        <f t="shared" si="2"/>
        <v>654.06207382720754</v>
      </c>
      <c r="L20" s="331">
        <f t="shared" si="2"/>
        <v>657.84753515371438</v>
      </c>
      <c r="M20" s="331">
        <f t="shared" si="2"/>
        <v>674.8416162206662</v>
      </c>
      <c r="N20" s="331">
        <f t="shared" si="2"/>
        <v>679.79047839903524</v>
      </c>
      <c r="O20" s="331">
        <f t="shared" si="2"/>
        <v>686.56138448178331</v>
      </c>
      <c r="P20" s="331">
        <f t="shared" si="2"/>
        <v>6544.5397915673684</v>
      </c>
      <c r="Q20" s="331">
        <f t="shared" si="2"/>
        <v>6567.330404410277</v>
      </c>
      <c r="R20" s="331">
        <f t="shared" si="2"/>
        <v>6548.6143792726152</v>
      </c>
      <c r="S20" s="331">
        <f t="shared" si="2"/>
        <v>6657.119328458396</v>
      </c>
      <c r="T20" s="331">
        <f t="shared" si="2"/>
        <v>6591.3315534554022</v>
      </c>
      <c r="U20" s="331">
        <f t="shared" si="2"/>
        <v>17469.207877751858</v>
      </c>
      <c r="V20"/>
      <c r="W20"/>
      <c r="X20"/>
      <c r="Y20"/>
      <c r="Z20"/>
      <c r="AA20"/>
      <c r="AB20"/>
      <c r="AC20"/>
      <c r="AD20"/>
    </row>
    <row r="21" spans="1:30" s="1" customFormat="1" ht="13.5" thickTop="1" x14ac:dyDescent="0.2">
      <c r="A21"/>
      <c r="B21" s="246"/>
      <c r="C21" s="246"/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77"/>
      <c r="U21" s="277"/>
      <c r="V21"/>
      <c r="W21"/>
      <c r="X21"/>
      <c r="Y21"/>
      <c r="Z21"/>
      <c r="AA21"/>
      <c r="AB21"/>
      <c r="AC21"/>
      <c r="AD21"/>
    </row>
    <row r="22" spans="1:30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" customFormat="1" x14ac:dyDescent="0.2">
      <c r="A23"/>
      <c r="B23"/>
      <c r="C23"/>
      <c r="D23" s="342">
        <f>NPV(0.11,E20:U20)</f>
        <v>14763.435389800425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" customFormat="1" x14ac:dyDescent="0.2">
      <c r="A24" t="s">
        <v>348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" customFormat="1" x14ac:dyDescent="0.2">
      <c r="A25" t="s">
        <v>349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" customFormat="1" x14ac:dyDescent="0.2">
      <c r="A26" t="s">
        <v>350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" customFormat="1" x14ac:dyDescent="0.2">
      <c r="A27" t="s">
        <v>351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" customFormat="1" x14ac:dyDescent="0.2">
      <c r="A28" t="s">
        <v>352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" customFormat="1" x14ac:dyDescent="0.2">
      <c r="A29" t="s">
        <v>289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" customFormat="1" x14ac:dyDescent="0.2">
      <c r="A30" t="s">
        <v>353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" customFormat="1" x14ac:dyDescent="0.2">
      <c r="A31" t="s">
        <v>354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" customFormat="1" x14ac:dyDescent="0.2">
      <c r="A32" t="s">
        <v>355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" customFormat="1" x14ac:dyDescent="0.2">
      <c r="A33" t="s">
        <v>367</v>
      </c>
      <c r="B33">
        <v>1418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" customFormat="1" ht="15.75" x14ac:dyDescent="0.25">
      <c r="A35" s="278" t="s">
        <v>53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" customFormat="1" x14ac:dyDescent="0.2">
      <c r="A36" s="242" t="s">
        <v>338</v>
      </c>
      <c r="B36"/>
      <c r="C36" s="327" t="s">
        <v>3</v>
      </c>
      <c r="D36" s="332"/>
      <c r="E36" s="328">
        <v>2001</v>
      </c>
      <c r="F36" s="328">
        <v>2002</v>
      </c>
      <c r="G36" s="328">
        <v>2003</v>
      </c>
      <c r="H36" s="328">
        <v>2004</v>
      </c>
      <c r="I36" s="328">
        <v>2005</v>
      </c>
      <c r="J36" s="328">
        <v>2006</v>
      </c>
      <c r="K36" s="328">
        <v>2007</v>
      </c>
      <c r="L36" s="328">
        <v>2008</v>
      </c>
      <c r="M36" s="328">
        <v>2009</v>
      </c>
      <c r="N36" s="328">
        <v>2010</v>
      </c>
      <c r="O36" s="328">
        <v>2011</v>
      </c>
      <c r="P36" s="328">
        <v>2012</v>
      </c>
      <c r="Q36" s="328">
        <v>2013</v>
      </c>
      <c r="R36" s="328">
        <v>2014</v>
      </c>
      <c r="S36" s="328">
        <v>2015</v>
      </c>
      <c r="T36" s="328">
        <v>2016</v>
      </c>
      <c r="U36" s="328">
        <v>2017</v>
      </c>
      <c r="V36"/>
      <c r="W36"/>
      <c r="X36"/>
      <c r="Y36"/>
      <c r="Z36"/>
      <c r="AA36"/>
      <c r="AB36"/>
      <c r="AC36"/>
      <c r="AD36"/>
    </row>
    <row r="37" spans="1:30" s="1" customFormat="1" x14ac:dyDescent="0.2">
      <c r="A37" t="s">
        <v>339</v>
      </c>
      <c r="B37" t="s">
        <v>356</v>
      </c>
      <c r="C37" s="333">
        <f>SUM(E37:U37)</f>
        <v>24124.108904316217</v>
      </c>
      <c r="D37" s="329" t="s">
        <v>341</v>
      </c>
      <c r="E37" s="329">
        <v>2295.6305112064383</v>
      </c>
      <c r="F37" s="329">
        <v>2105.2294078914929</v>
      </c>
      <c r="G37" s="329">
        <v>2043.9748367980001</v>
      </c>
      <c r="H37" s="329">
        <v>2026.0292742508832</v>
      </c>
      <c r="I37" s="329">
        <v>2080.7981829019836</v>
      </c>
      <c r="J37" s="329">
        <v>2160.3755752293878</v>
      </c>
      <c r="K37" s="329">
        <v>2195.7139768356787</v>
      </c>
      <c r="L37" s="329">
        <v>2231.7584676505971</v>
      </c>
      <c r="M37" s="329">
        <v>2311.8856417859879</v>
      </c>
      <c r="N37" s="329">
        <v>2323.8847464425007</v>
      </c>
      <c r="O37" s="329">
        <v>2348.828283323267</v>
      </c>
      <c r="P37" s="329">
        <v>0</v>
      </c>
      <c r="Q37" s="329">
        <v>0</v>
      </c>
      <c r="R37" s="329">
        <v>0</v>
      </c>
      <c r="S37" s="329">
        <v>0</v>
      </c>
      <c r="T37" s="329">
        <v>0</v>
      </c>
      <c r="U37" s="329">
        <v>0</v>
      </c>
      <c r="V37"/>
      <c r="W37"/>
      <c r="X37"/>
      <c r="Y37"/>
      <c r="Z37"/>
      <c r="AA37"/>
      <c r="AB37"/>
      <c r="AC37"/>
      <c r="AD37"/>
    </row>
    <row r="38" spans="1:30" s="1" customFormat="1" x14ac:dyDescent="0.2">
      <c r="A38" s="330" t="s">
        <v>357</v>
      </c>
      <c r="B38" t="s">
        <v>358</v>
      </c>
      <c r="C38" s="329">
        <f>SUM(E38:U38)</f>
        <v>94449.765020031569</v>
      </c>
      <c r="D38" s="329" t="s">
        <v>359</v>
      </c>
      <c r="E38" s="329">
        <v>0</v>
      </c>
      <c r="F38" s="329">
        <v>0</v>
      </c>
      <c r="G38" s="329">
        <v>0</v>
      </c>
      <c r="H38" s="329">
        <v>0</v>
      </c>
      <c r="I38" s="329">
        <v>0</v>
      </c>
      <c r="J38" s="329">
        <v>0</v>
      </c>
      <c r="K38" s="329">
        <v>0</v>
      </c>
      <c r="L38" s="329">
        <v>0</v>
      </c>
      <c r="M38" s="329">
        <v>0</v>
      </c>
      <c r="N38" s="329">
        <v>0</v>
      </c>
      <c r="O38" s="329">
        <v>0</v>
      </c>
      <c r="P38" s="329">
        <v>15451.045091922768</v>
      </c>
      <c r="Q38" s="329">
        <v>15568.722409920438</v>
      </c>
      <c r="R38" s="329">
        <v>15547.368330058593</v>
      </c>
      <c r="S38" s="329">
        <v>15966.279856252489</v>
      </c>
      <c r="T38" s="329">
        <v>15894.983784809125</v>
      </c>
      <c r="U38" s="329">
        <v>16021.36554706815</v>
      </c>
      <c r="V38"/>
      <c r="W38"/>
      <c r="X38"/>
      <c r="Y38"/>
      <c r="Z38"/>
      <c r="AA38"/>
      <c r="AB38"/>
      <c r="AC38"/>
      <c r="AD38"/>
    </row>
    <row r="39" spans="1:30" s="1" customFormat="1" ht="13.5" thickBot="1" x14ac:dyDescent="0.25">
      <c r="A39"/>
      <c r="B39"/>
      <c r="C39" s="331">
        <f>+C37+C38</f>
        <v>118573.87392434779</v>
      </c>
      <c r="D39" s="334"/>
      <c r="E39" s="331">
        <f t="shared" ref="E39:U39" si="3">+E37+E38</f>
        <v>2295.6305112064383</v>
      </c>
      <c r="F39" s="331">
        <f t="shared" si="3"/>
        <v>2105.2294078914929</v>
      </c>
      <c r="G39" s="331">
        <f t="shared" si="3"/>
        <v>2043.9748367980001</v>
      </c>
      <c r="H39" s="331">
        <f t="shared" si="3"/>
        <v>2026.0292742508832</v>
      </c>
      <c r="I39" s="331">
        <f t="shared" si="3"/>
        <v>2080.7981829019836</v>
      </c>
      <c r="J39" s="331">
        <f t="shared" si="3"/>
        <v>2160.3755752293878</v>
      </c>
      <c r="K39" s="331">
        <f t="shared" si="3"/>
        <v>2195.7139768356787</v>
      </c>
      <c r="L39" s="331">
        <f t="shared" si="3"/>
        <v>2231.7584676505971</v>
      </c>
      <c r="M39" s="331">
        <f t="shared" si="3"/>
        <v>2311.8856417859879</v>
      </c>
      <c r="N39" s="331">
        <f t="shared" si="3"/>
        <v>2323.8847464425007</v>
      </c>
      <c r="O39" s="331">
        <f t="shared" si="3"/>
        <v>2348.828283323267</v>
      </c>
      <c r="P39" s="331">
        <f t="shared" si="3"/>
        <v>15451.045091922768</v>
      </c>
      <c r="Q39" s="331">
        <f t="shared" si="3"/>
        <v>15568.722409920438</v>
      </c>
      <c r="R39" s="331">
        <f t="shared" si="3"/>
        <v>15547.368330058593</v>
      </c>
      <c r="S39" s="331">
        <f t="shared" si="3"/>
        <v>15966.279856252489</v>
      </c>
      <c r="T39" s="331">
        <f t="shared" si="3"/>
        <v>15894.983784809125</v>
      </c>
      <c r="U39" s="331">
        <f t="shared" si="3"/>
        <v>16021.36554706815</v>
      </c>
      <c r="V39"/>
      <c r="W39"/>
      <c r="X39"/>
      <c r="Y39"/>
      <c r="Z39"/>
      <c r="AA39"/>
      <c r="AB39"/>
      <c r="AC39"/>
      <c r="AD39"/>
    </row>
    <row r="40" spans="1:30" s="1" customFormat="1" ht="13.5" thickTop="1" x14ac:dyDescent="0.2">
      <c r="A40"/>
      <c r="B40"/>
      <c r="C40" s="329"/>
      <c r="D40" s="3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" customFormat="1" x14ac:dyDescent="0.2">
      <c r="A41" s="242" t="s">
        <v>347</v>
      </c>
      <c r="B41"/>
      <c r="C41" s="327" t="s">
        <v>3</v>
      </c>
      <c r="D41" s="332"/>
      <c r="E41" s="328">
        <v>2001</v>
      </c>
      <c r="F41" s="328">
        <v>2002</v>
      </c>
      <c r="G41" s="328">
        <v>2003</v>
      </c>
      <c r="H41" s="328">
        <v>2004</v>
      </c>
      <c r="I41" s="328">
        <v>2005</v>
      </c>
      <c r="J41" s="328">
        <v>2006</v>
      </c>
      <c r="K41" s="328">
        <v>2007</v>
      </c>
      <c r="L41" s="328">
        <v>2008</v>
      </c>
      <c r="M41" s="328">
        <v>2009</v>
      </c>
      <c r="N41" s="328">
        <v>2010</v>
      </c>
      <c r="O41" s="328">
        <v>2011</v>
      </c>
      <c r="P41" s="328">
        <v>2012</v>
      </c>
      <c r="Q41" s="328">
        <v>2013</v>
      </c>
      <c r="R41" s="328">
        <v>2014</v>
      </c>
      <c r="S41" s="328">
        <v>2015</v>
      </c>
      <c r="T41" s="328">
        <v>2016</v>
      </c>
      <c r="U41" s="328">
        <v>2017</v>
      </c>
      <c r="V41"/>
      <c r="W41"/>
      <c r="X41"/>
      <c r="Y41"/>
      <c r="Z41"/>
      <c r="AA41"/>
      <c r="AB41"/>
      <c r="AC41"/>
      <c r="AD41"/>
    </row>
    <row r="42" spans="1:30" s="1" customFormat="1" x14ac:dyDescent="0.2">
      <c r="A42" t="s">
        <v>339</v>
      </c>
      <c r="B42" t="s">
        <v>356</v>
      </c>
      <c r="C42" s="329">
        <f>SUM(E42:U42)</f>
        <v>29748.576075743862</v>
      </c>
      <c r="D42" t="s">
        <v>341</v>
      </c>
      <c r="E42" s="329">
        <v>2543.4421881964795</v>
      </c>
      <c r="F42" s="329">
        <v>2427.0525890378876</v>
      </c>
      <c r="G42" s="329">
        <v>2422.2327241441953</v>
      </c>
      <c r="H42" s="329">
        <v>2443.1172877487206</v>
      </c>
      <c r="I42" s="329">
        <v>2527.2965743531176</v>
      </c>
      <c r="J42" s="329">
        <v>2705.9289864174712</v>
      </c>
      <c r="K42" s="329">
        <v>2821.7151741773901</v>
      </c>
      <c r="L42" s="329">
        <v>2872.7270159678606</v>
      </c>
      <c r="M42" s="329">
        <v>2964.7634605219641</v>
      </c>
      <c r="N42" s="329">
        <v>3004.9846099457209</v>
      </c>
      <c r="O42" s="329">
        <v>3015.3154652330545</v>
      </c>
      <c r="P42" s="329">
        <v>0</v>
      </c>
      <c r="Q42" s="329">
        <v>0</v>
      </c>
      <c r="R42" s="329">
        <v>0</v>
      </c>
      <c r="S42" s="329">
        <v>0</v>
      </c>
      <c r="T42" s="329">
        <v>0</v>
      </c>
      <c r="U42" s="329">
        <v>0</v>
      </c>
      <c r="V42"/>
      <c r="W42"/>
      <c r="X42"/>
      <c r="Y42"/>
      <c r="Z42"/>
      <c r="AA42"/>
      <c r="AB42"/>
      <c r="AC42"/>
      <c r="AD42"/>
    </row>
    <row r="43" spans="1:30" s="1" customFormat="1" x14ac:dyDescent="0.2">
      <c r="A43" s="330" t="s">
        <v>357</v>
      </c>
      <c r="B43" t="s">
        <v>358</v>
      </c>
      <c r="C43" s="329">
        <f>SUM(E43:U43)</f>
        <v>121174.92933628004</v>
      </c>
      <c r="D43" t="s">
        <v>359</v>
      </c>
      <c r="E43" s="329">
        <v>0</v>
      </c>
      <c r="F43" s="329">
        <v>0</v>
      </c>
      <c r="G43" s="329">
        <v>0</v>
      </c>
      <c r="H43" s="329">
        <v>0</v>
      </c>
      <c r="I43" s="329">
        <v>0</v>
      </c>
      <c r="J43" s="329">
        <v>0</v>
      </c>
      <c r="K43" s="329">
        <v>0</v>
      </c>
      <c r="L43" s="329">
        <v>0</v>
      </c>
      <c r="M43" s="329">
        <v>0</v>
      </c>
      <c r="N43" s="329">
        <v>0</v>
      </c>
      <c r="O43" s="329">
        <v>0</v>
      </c>
      <c r="P43" s="329">
        <v>20278.583448167043</v>
      </c>
      <c r="Q43" s="329">
        <v>20231.594449314605</v>
      </c>
      <c r="R43" s="329">
        <v>20064.72572973022</v>
      </c>
      <c r="S43" s="329">
        <v>20354.978254486396</v>
      </c>
      <c r="T43" s="329">
        <v>20133.805406542218</v>
      </c>
      <c r="U43" s="329">
        <v>20111.242048039556</v>
      </c>
      <c r="V43"/>
      <c r="W43"/>
      <c r="X43"/>
      <c r="Y43"/>
      <c r="Z43"/>
      <c r="AA43"/>
      <c r="AB43"/>
      <c r="AC43"/>
      <c r="AD43"/>
    </row>
    <row r="44" spans="1:30" s="1" customFormat="1" ht="13.5" thickBot="1" x14ac:dyDescent="0.25">
      <c r="A44"/>
      <c r="B44"/>
      <c r="C44" s="331">
        <f>+C42+C43</f>
        <v>150923.50541202389</v>
      </c>
      <c r="D44"/>
      <c r="E44" s="331">
        <f>+E43+E42</f>
        <v>2543.4421881964795</v>
      </c>
      <c r="F44" s="331">
        <f t="shared" ref="F44:U44" si="4">+F43+F42</f>
        <v>2427.0525890378876</v>
      </c>
      <c r="G44" s="331">
        <f t="shared" si="4"/>
        <v>2422.2327241441953</v>
      </c>
      <c r="H44" s="331">
        <f t="shared" si="4"/>
        <v>2443.1172877487206</v>
      </c>
      <c r="I44" s="331">
        <f t="shared" si="4"/>
        <v>2527.2965743531176</v>
      </c>
      <c r="J44" s="331">
        <f t="shared" si="4"/>
        <v>2705.9289864174712</v>
      </c>
      <c r="K44" s="331">
        <f t="shared" si="4"/>
        <v>2821.7151741773901</v>
      </c>
      <c r="L44" s="331">
        <f t="shared" si="4"/>
        <v>2872.7270159678606</v>
      </c>
      <c r="M44" s="331">
        <f t="shared" si="4"/>
        <v>2964.7634605219641</v>
      </c>
      <c r="N44" s="331">
        <f t="shared" si="4"/>
        <v>3004.9846099457209</v>
      </c>
      <c r="O44" s="331">
        <f t="shared" si="4"/>
        <v>3015.3154652330545</v>
      </c>
      <c r="P44" s="331">
        <f t="shared" si="4"/>
        <v>20278.583448167043</v>
      </c>
      <c r="Q44" s="331">
        <f t="shared" si="4"/>
        <v>20231.594449314605</v>
      </c>
      <c r="R44" s="331">
        <f t="shared" si="4"/>
        <v>20064.72572973022</v>
      </c>
      <c r="S44" s="331">
        <f t="shared" si="4"/>
        <v>20354.978254486396</v>
      </c>
      <c r="T44" s="331">
        <f t="shared" si="4"/>
        <v>20133.805406542218</v>
      </c>
      <c r="U44" s="331">
        <f t="shared" si="4"/>
        <v>20111.242048039556</v>
      </c>
      <c r="V44"/>
      <c r="W44"/>
      <c r="X44"/>
      <c r="Y44"/>
      <c r="Z44"/>
      <c r="AA44"/>
      <c r="AB44"/>
      <c r="AC44"/>
      <c r="AD44"/>
    </row>
    <row r="45" spans="1:30" s="1" customFormat="1" ht="13.5" thickTop="1" x14ac:dyDescent="0.2">
      <c r="A45"/>
      <c r="B45"/>
      <c r="C45" s="329"/>
      <c r="D45" s="329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" customFormat="1" x14ac:dyDescent="0.2">
      <c r="A46"/>
      <c r="B46"/>
      <c r="C46"/>
      <c r="D46" s="342">
        <f>NPV(0.11,E43:U43)</f>
        <v>27118.123644140229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" customFormat="1" x14ac:dyDescent="0.2">
      <c r="A47" t="s">
        <v>360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" customFormat="1" x14ac:dyDescent="0.2">
      <c r="A48" t="s">
        <v>361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" customFormat="1" x14ac:dyDescent="0.2">
      <c r="A49" t="s">
        <v>350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" customFormat="1" x14ac:dyDescent="0.2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" customFormat="1" x14ac:dyDescent="0.2">
      <c r="A51" t="s">
        <v>352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" customFormat="1" x14ac:dyDescent="0.2">
      <c r="A52" t="s">
        <v>289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" customFormat="1" x14ac:dyDescent="0.2">
      <c r="A53" t="s">
        <v>354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" customFormat="1" x14ac:dyDescent="0.2">
      <c r="A54" t="s">
        <v>355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" customFormat="1" x14ac:dyDescent="0.2">
      <c r="A55" t="s">
        <v>367</v>
      </c>
      <c r="B55">
        <v>1745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" customFormat="1" x14ac:dyDescent="0.2">
      <c r="A57"/>
      <c r="B57"/>
      <c r="C57"/>
      <c r="D57"/>
      <c r="E57"/>
      <c r="F57"/>
      <c r="G57"/>
      <c r="H57"/>
      <c r="I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" customFormat="1" x14ac:dyDescent="0.2">
      <c r="A58"/>
      <c r="B58"/>
      <c r="C58"/>
      <c r="D58"/>
      <c r="E58"/>
      <c r="F58"/>
      <c r="G58"/>
      <c r="H58"/>
      <c r="I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" customFormat="1" ht="15.75" x14ac:dyDescent="0.25">
      <c r="A60" s="278" t="s">
        <v>53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" customFormat="1" x14ac:dyDescent="0.2">
      <c r="A61" s="242" t="s">
        <v>338</v>
      </c>
      <c r="B61"/>
      <c r="C61" s="327" t="s">
        <v>3</v>
      </c>
      <c r="D61" s="332"/>
      <c r="E61" s="328">
        <v>2001</v>
      </c>
      <c r="F61" s="328">
        <v>2002</v>
      </c>
      <c r="G61" s="328">
        <v>2003</v>
      </c>
      <c r="H61" s="328">
        <v>2004</v>
      </c>
      <c r="I61" s="328">
        <v>2005</v>
      </c>
      <c r="J61" s="328">
        <v>2006</v>
      </c>
      <c r="K61" s="328">
        <v>2007</v>
      </c>
      <c r="L61" s="328">
        <v>2008</v>
      </c>
      <c r="M61" s="328">
        <v>2009</v>
      </c>
      <c r="N61" s="328">
        <v>2010</v>
      </c>
      <c r="O61" s="328">
        <v>2011</v>
      </c>
      <c r="P61" s="328">
        <v>2012</v>
      </c>
      <c r="Q61" s="328">
        <v>2013</v>
      </c>
      <c r="R61" s="328">
        <v>2014</v>
      </c>
      <c r="S61" s="328">
        <v>2015</v>
      </c>
      <c r="T61" s="328">
        <v>2016</v>
      </c>
      <c r="U61" s="328">
        <v>2017</v>
      </c>
      <c r="V61"/>
      <c r="W61"/>
      <c r="X61"/>
      <c r="Y61"/>
      <c r="Z61"/>
      <c r="AA61"/>
      <c r="AB61"/>
      <c r="AC61"/>
      <c r="AD61"/>
    </row>
    <row r="62" spans="1:30" s="1" customFormat="1" x14ac:dyDescent="0.2">
      <c r="A62" t="s">
        <v>339</v>
      </c>
      <c r="B62" t="s">
        <v>356</v>
      </c>
      <c r="C62" s="334">
        <v>20068958.145243552</v>
      </c>
      <c r="D62" t="s">
        <v>369</v>
      </c>
      <c r="E62" s="334">
        <v>1782292.8226353189</v>
      </c>
      <c r="F62" s="334">
        <v>1713819.3581773364</v>
      </c>
      <c r="G62" s="334">
        <v>1667802.0621053374</v>
      </c>
      <c r="H62" s="334">
        <v>1647322.5505751148</v>
      </c>
      <c r="I62" s="334">
        <v>1700681.6919514418</v>
      </c>
      <c r="J62" s="334">
        <v>1776047.5853292274</v>
      </c>
      <c r="K62" s="334">
        <v>1833977.262279351</v>
      </c>
      <c r="L62" s="334">
        <v>1886606.7193266535</v>
      </c>
      <c r="M62" s="334">
        <v>1991663.7963991046</v>
      </c>
      <c r="N62" s="334">
        <v>2015622.8581920022</v>
      </c>
      <c r="O62" s="334">
        <v>2053121.4382726667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/>
      <c r="W62"/>
      <c r="X62"/>
      <c r="Y62"/>
      <c r="Z62"/>
      <c r="AA62"/>
      <c r="AB62"/>
      <c r="AC62"/>
      <c r="AD62"/>
    </row>
    <row r="63" spans="1:30" s="1" customFormat="1" x14ac:dyDescent="0.2">
      <c r="A63" s="330"/>
      <c r="B63"/>
      <c r="C63" s="329">
        <v>27135380.905600004</v>
      </c>
      <c r="D63" t="s">
        <v>370</v>
      </c>
      <c r="E63" s="334">
        <v>1840963.8688000003</v>
      </c>
      <c r="F63" s="334">
        <v>2136766.5088</v>
      </c>
      <c r="G63" s="334">
        <v>2232389.0096000005</v>
      </c>
      <c r="H63" s="334">
        <v>2201247.6752000004</v>
      </c>
      <c r="I63" s="334">
        <v>2419051.7280000001</v>
      </c>
      <c r="J63" s="334">
        <v>2615777.5759999999</v>
      </c>
      <c r="K63" s="334">
        <v>2681313.3184000007</v>
      </c>
      <c r="L63" s="334">
        <v>2723827.9920000001</v>
      </c>
      <c r="M63" s="334">
        <v>2763604.3552000006</v>
      </c>
      <c r="N63" s="334">
        <v>2739001.8480000002</v>
      </c>
      <c r="O63" s="334">
        <v>2781437.0256000003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/>
      <c r="W63"/>
      <c r="X63"/>
      <c r="Y63"/>
      <c r="Z63"/>
      <c r="AA63"/>
      <c r="AB63"/>
      <c r="AC63"/>
      <c r="AD63"/>
    </row>
    <row r="64" spans="1:30" s="1" customFormat="1" x14ac:dyDescent="0.2">
      <c r="A64"/>
      <c r="B64"/>
      <c r="C64" s="329">
        <v>22369828.265600003</v>
      </c>
      <c r="D64" t="s">
        <v>371</v>
      </c>
      <c r="E64" s="334">
        <v>1558414.1088000003</v>
      </c>
      <c r="F64" s="334">
        <v>1775030.8288</v>
      </c>
      <c r="G64" s="334">
        <v>1832860.0496000003</v>
      </c>
      <c r="H64" s="334">
        <v>1801718.7152000002</v>
      </c>
      <c r="I64" s="334">
        <v>1979929.808</v>
      </c>
      <c r="J64" s="334">
        <v>2142461.7360000005</v>
      </c>
      <c r="K64" s="334">
        <v>2198999.0784</v>
      </c>
      <c r="L64" s="334">
        <v>2237914.392</v>
      </c>
      <c r="M64" s="334">
        <v>2275891.0752000003</v>
      </c>
      <c r="N64" s="334">
        <v>2262086.6480000005</v>
      </c>
      <c r="O64" s="334">
        <v>2304521.8256000001</v>
      </c>
      <c r="P64" s="334">
        <v>0</v>
      </c>
      <c r="Q64" s="334">
        <v>0</v>
      </c>
      <c r="R64" s="334">
        <v>0</v>
      </c>
      <c r="S64" s="334">
        <v>0</v>
      </c>
      <c r="T64" s="334">
        <v>0</v>
      </c>
      <c r="U64" s="334">
        <v>0</v>
      </c>
      <c r="V64"/>
      <c r="W64"/>
      <c r="X64"/>
      <c r="Y64"/>
      <c r="Z64"/>
      <c r="AA64"/>
      <c r="AB64"/>
      <c r="AC64"/>
      <c r="AD64"/>
    </row>
    <row r="65" spans="1:30" s="1" customFormat="1" x14ac:dyDescent="0.2">
      <c r="A65"/>
      <c r="B65"/>
      <c r="C65" s="329">
        <v>4765552.6399999997</v>
      </c>
      <c r="D65" t="s">
        <v>372</v>
      </c>
      <c r="E65" s="334">
        <v>282549.76000000001</v>
      </c>
      <c r="F65" s="334">
        <v>361735.67999999999</v>
      </c>
      <c r="G65" s="334">
        <v>399528.96000000002</v>
      </c>
      <c r="H65" s="334">
        <v>399528.96000000002</v>
      </c>
      <c r="I65" s="334">
        <v>439121.91999999998</v>
      </c>
      <c r="J65" s="334">
        <v>473315.84000000003</v>
      </c>
      <c r="K65" s="334">
        <v>482314.23999999999</v>
      </c>
      <c r="L65" s="334">
        <v>485913.59999999998</v>
      </c>
      <c r="M65" s="334">
        <v>487713.28000000003</v>
      </c>
      <c r="N65" s="334">
        <v>476915.20000000001</v>
      </c>
      <c r="O65" s="334">
        <v>476915.20000000001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/>
      <c r="W65"/>
      <c r="X65"/>
      <c r="Y65"/>
      <c r="Z65"/>
      <c r="AA65"/>
      <c r="AB65"/>
      <c r="AC65"/>
      <c r="AD65"/>
    </row>
    <row r="66" spans="1:30" s="1" customFormat="1" ht="13.5" thickBot="1" x14ac:dyDescent="0.25">
      <c r="A66"/>
      <c r="B66"/>
      <c r="C66" s="331">
        <v>20068958.145243555</v>
      </c>
      <c r="D66" s="329" t="s">
        <v>3</v>
      </c>
      <c r="E66" s="331">
        <v>1782292.8226353191</v>
      </c>
      <c r="F66" s="331">
        <v>1713819.3581773364</v>
      </c>
      <c r="G66" s="331">
        <v>1667802.0621053374</v>
      </c>
      <c r="H66" s="331">
        <v>1647322.550575115</v>
      </c>
      <c r="I66" s="331">
        <v>1700681.6919514416</v>
      </c>
      <c r="J66" s="331">
        <v>1776047.5853292269</v>
      </c>
      <c r="K66" s="331">
        <v>1833977.2622793515</v>
      </c>
      <c r="L66" s="331">
        <v>1886606.7193266531</v>
      </c>
      <c r="M66" s="331">
        <v>1991663.7963991051</v>
      </c>
      <c r="N66" s="331">
        <v>2015622.8581920022</v>
      </c>
      <c r="O66" s="331">
        <v>2053121.4382726674</v>
      </c>
      <c r="P66" s="331">
        <v>0</v>
      </c>
      <c r="Q66" s="331">
        <v>0</v>
      </c>
      <c r="R66" s="331">
        <v>0</v>
      </c>
      <c r="S66" s="331">
        <v>0</v>
      </c>
      <c r="T66" s="331">
        <v>0</v>
      </c>
      <c r="U66" s="331">
        <v>0</v>
      </c>
      <c r="V66"/>
      <c r="W66"/>
      <c r="X66"/>
      <c r="Y66"/>
      <c r="Z66"/>
      <c r="AA66"/>
      <c r="AB66"/>
      <c r="AC66"/>
      <c r="AD66"/>
    </row>
    <row r="67" spans="1:30" s="1" customFormat="1" ht="13.5" thickTop="1" x14ac:dyDescent="0.2">
      <c r="A67"/>
      <c r="B67"/>
      <c r="C67" s="329"/>
      <c r="D67" s="329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/>
      <c r="W67"/>
      <c r="X67"/>
      <c r="Y67"/>
      <c r="Z67"/>
      <c r="AA67"/>
      <c r="AB67"/>
      <c r="AC67"/>
      <c r="AD67"/>
    </row>
    <row r="68" spans="1:30" s="1" customFormat="1" x14ac:dyDescent="0.2">
      <c r="A68" s="242" t="s">
        <v>183</v>
      </c>
      <c r="B68"/>
      <c r="C68" s="327" t="s">
        <v>3</v>
      </c>
      <c r="D68" s="332"/>
      <c r="E68" s="328">
        <v>2001</v>
      </c>
      <c r="F68" s="328">
        <v>2002</v>
      </c>
      <c r="G68" s="328">
        <v>2003</v>
      </c>
      <c r="H68" s="328">
        <v>2004</v>
      </c>
      <c r="I68" s="328">
        <v>2005</v>
      </c>
      <c r="J68" s="328">
        <v>2006</v>
      </c>
      <c r="K68" s="328">
        <v>2007</v>
      </c>
      <c r="L68" s="328">
        <v>2008</v>
      </c>
      <c r="M68" s="328">
        <v>2009</v>
      </c>
      <c r="N68" s="328">
        <v>2010</v>
      </c>
      <c r="O68" s="328">
        <v>2011</v>
      </c>
      <c r="P68" s="328">
        <v>2012</v>
      </c>
      <c r="Q68" s="328">
        <v>2013</v>
      </c>
      <c r="R68" s="328">
        <v>2014</v>
      </c>
      <c r="S68" s="328">
        <v>2015</v>
      </c>
      <c r="T68" s="328">
        <v>2016</v>
      </c>
      <c r="U68" s="328">
        <v>2017</v>
      </c>
      <c r="V68"/>
      <c r="W68"/>
      <c r="X68"/>
      <c r="Y68"/>
      <c r="Z68"/>
      <c r="AA68"/>
      <c r="AB68"/>
      <c r="AC68"/>
      <c r="AD68"/>
    </row>
    <row r="69" spans="1:30" s="1" customFormat="1" x14ac:dyDescent="0.2">
      <c r="A69" t="s">
        <v>339</v>
      </c>
      <c r="B69" t="s">
        <v>356</v>
      </c>
      <c r="C69" s="334">
        <v>22748339.870100964</v>
      </c>
      <c r="D69" t="s">
        <v>369</v>
      </c>
      <c r="E69" s="334">
        <v>1909425.7501837148</v>
      </c>
      <c r="F69" s="334">
        <v>1888500.5160190882</v>
      </c>
      <c r="G69" s="334">
        <v>1862059.045966733</v>
      </c>
      <c r="H69" s="334">
        <v>1858104.038589437</v>
      </c>
      <c r="I69" s="334">
        <v>1927273.9810833256</v>
      </c>
      <c r="J69" s="334">
        <v>2014409.2482411184</v>
      </c>
      <c r="K69" s="334">
        <v>2110506.266782782</v>
      </c>
      <c r="L69" s="334">
        <v>2175645.7391145523</v>
      </c>
      <c r="M69" s="334">
        <v>2297998.621473047</v>
      </c>
      <c r="N69" s="334">
        <v>2333686.9652601909</v>
      </c>
      <c r="O69" s="334">
        <v>2370729.6973869693</v>
      </c>
      <c r="P69" s="334">
        <v>0</v>
      </c>
      <c r="Q69" s="334">
        <v>0</v>
      </c>
      <c r="R69" s="334">
        <v>0</v>
      </c>
      <c r="S69" s="334">
        <v>0</v>
      </c>
      <c r="T69" s="334">
        <v>0</v>
      </c>
      <c r="U69" s="334">
        <v>0</v>
      </c>
      <c r="V69"/>
      <c r="W69"/>
      <c r="X69"/>
      <c r="Y69"/>
      <c r="Z69"/>
      <c r="AA69"/>
      <c r="AB69"/>
      <c r="AC69"/>
      <c r="AD69"/>
    </row>
    <row r="70" spans="1:30" s="1" customFormat="1" x14ac:dyDescent="0.2">
      <c r="A70" s="330"/>
      <c r="B70"/>
      <c r="C70" s="329">
        <v>30506708.529600002</v>
      </c>
      <c r="D70" t="s">
        <v>370</v>
      </c>
      <c r="E70" s="334">
        <v>2097564.6448000004</v>
      </c>
      <c r="F70" s="334">
        <v>2365889.6368</v>
      </c>
      <c r="G70" s="334">
        <v>2383071.4736000001</v>
      </c>
      <c r="H70" s="334">
        <v>2769713.0832000007</v>
      </c>
      <c r="I70" s="334">
        <v>2764699.4848000002</v>
      </c>
      <c r="J70" s="334">
        <v>2753480.0608000006</v>
      </c>
      <c r="K70" s="334">
        <v>2988345.9920000006</v>
      </c>
      <c r="L70" s="334">
        <v>3054161.1712000007</v>
      </c>
      <c r="M70" s="334">
        <v>3087374.0528000002</v>
      </c>
      <c r="N70" s="334">
        <v>3097414.4736000006</v>
      </c>
      <c r="O70" s="334">
        <v>3144994.4560000002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/>
      <c r="W70"/>
      <c r="X70"/>
      <c r="Y70"/>
      <c r="Z70"/>
      <c r="AA70"/>
      <c r="AB70"/>
      <c r="AC70"/>
      <c r="AD70"/>
    </row>
    <row r="71" spans="1:30" s="1" customFormat="1" x14ac:dyDescent="0.2">
      <c r="A71"/>
      <c r="B71"/>
      <c r="C71" s="329">
        <v>25145461.809600003</v>
      </c>
      <c r="D71" t="s">
        <v>371</v>
      </c>
      <c r="E71" s="334">
        <v>1775421.9248000004</v>
      </c>
      <c r="F71" s="334">
        <v>1964560.9968000003</v>
      </c>
      <c r="G71" s="334">
        <v>1956547.3136000002</v>
      </c>
      <c r="H71" s="334">
        <v>2267602.3632000005</v>
      </c>
      <c r="I71" s="334">
        <v>2262588.7648</v>
      </c>
      <c r="J71" s="334">
        <v>2254968.7008000002</v>
      </c>
      <c r="K71" s="334">
        <v>2450241.6720000007</v>
      </c>
      <c r="L71" s="334">
        <v>2508858.1312000002</v>
      </c>
      <c r="M71" s="334">
        <v>2542071.0128000001</v>
      </c>
      <c r="N71" s="334">
        <v>2557510.4736000001</v>
      </c>
      <c r="O71" s="334">
        <v>2605090.4560000002</v>
      </c>
      <c r="P71" s="334">
        <v>0</v>
      </c>
      <c r="Q71" s="334">
        <v>0</v>
      </c>
      <c r="R71" s="334">
        <v>0</v>
      </c>
      <c r="S71" s="334">
        <v>0</v>
      </c>
      <c r="T71" s="334">
        <v>0</v>
      </c>
      <c r="U71" s="334">
        <v>0</v>
      </c>
      <c r="V71"/>
      <c r="W71"/>
      <c r="X71"/>
      <c r="Y71"/>
      <c r="Z71"/>
      <c r="AA71"/>
      <c r="AB71"/>
      <c r="AC71"/>
      <c r="AD71"/>
    </row>
    <row r="72" spans="1:30" s="1" customFormat="1" x14ac:dyDescent="0.2">
      <c r="A72"/>
      <c r="B72"/>
      <c r="C72" s="329">
        <v>5361246.72</v>
      </c>
      <c r="D72" t="s">
        <v>372</v>
      </c>
      <c r="E72" s="334">
        <v>322142.71999999997</v>
      </c>
      <c r="F72" s="334">
        <v>401328.64000000001</v>
      </c>
      <c r="G72" s="334">
        <v>426524.15999999997</v>
      </c>
      <c r="H72" s="334">
        <v>502110.71999999997</v>
      </c>
      <c r="I72" s="334">
        <v>502110.71999999997</v>
      </c>
      <c r="J72" s="334">
        <v>498511.35999999999</v>
      </c>
      <c r="K72" s="334">
        <v>538104.31999999995</v>
      </c>
      <c r="L72" s="334">
        <v>545303.04000000004</v>
      </c>
      <c r="M72" s="334">
        <v>545303.04000000004</v>
      </c>
      <c r="N72" s="334">
        <v>539904</v>
      </c>
      <c r="O72" s="334">
        <v>539904</v>
      </c>
      <c r="P72" s="334">
        <v>0</v>
      </c>
      <c r="Q72" s="334">
        <v>0</v>
      </c>
      <c r="R72" s="334">
        <v>0</v>
      </c>
      <c r="S72" s="334">
        <v>0</v>
      </c>
      <c r="T72" s="334">
        <v>0</v>
      </c>
      <c r="U72" s="334">
        <v>0</v>
      </c>
      <c r="V72"/>
      <c r="W72"/>
      <c r="X72"/>
      <c r="Y72"/>
      <c r="Z72"/>
      <c r="AA72"/>
      <c r="AB72"/>
      <c r="AC72"/>
      <c r="AD72"/>
    </row>
    <row r="73" spans="1:30" s="1" customFormat="1" ht="13.5" thickBot="1" x14ac:dyDescent="0.25">
      <c r="A73"/>
      <c r="B73"/>
      <c r="C73" s="331">
        <v>22748339.870100964</v>
      </c>
      <c r="D73" s="329" t="s">
        <v>3</v>
      </c>
      <c r="E73" s="331">
        <v>1909425.7501837153</v>
      </c>
      <c r="F73" s="331">
        <v>1888500.5160190873</v>
      </c>
      <c r="G73" s="331">
        <v>1862059.0459667335</v>
      </c>
      <c r="H73" s="331">
        <v>1858104.0385894373</v>
      </c>
      <c r="I73" s="331">
        <v>1927273.9810833258</v>
      </c>
      <c r="J73" s="331">
        <v>2014409.2482411191</v>
      </c>
      <c r="K73" s="331">
        <v>2110506.266782782</v>
      </c>
      <c r="L73" s="331">
        <v>2175645.7391145523</v>
      </c>
      <c r="M73" s="331">
        <v>2297998.6214730474</v>
      </c>
      <c r="N73" s="331">
        <v>2333686.9652601909</v>
      </c>
      <c r="O73" s="331">
        <v>2370729.6973869689</v>
      </c>
      <c r="P73" s="331">
        <v>0</v>
      </c>
      <c r="Q73" s="331">
        <v>0</v>
      </c>
      <c r="R73" s="331">
        <v>0</v>
      </c>
      <c r="S73" s="331">
        <v>0</v>
      </c>
      <c r="T73" s="331">
        <v>0</v>
      </c>
      <c r="U73" s="331">
        <v>0</v>
      </c>
      <c r="V73"/>
      <c r="W73"/>
      <c r="X73"/>
      <c r="Y73"/>
      <c r="Z73"/>
      <c r="AA73"/>
      <c r="AB73"/>
      <c r="AC73"/>
      <c r="AD73"/>
    </row>
    <row r="74" spans="1:30" s="1" customFormat="1" ht="13.5" thickTop="1" x14ac:dyDescent="0.2">
      <c r="A74"/>
      <c r="B74"/>
      <c r="C74" s="329"/>
      <c r="D74" s="329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/>
      <c r="W74"/>
      <c r="X74"/>
      <c r="Y74"/>
      <c r="Z74"/>
      <c r="AA74"/>
      <c r="AB74"/>
      <c r="AC74"/>
      <c r="AD74"/>
    </row>
    <row r="75" spans="1:30" s="1" customFormat="1" x14ac:dyDescent="0.2">
      <c r="A75"/>
      <c r="B75"/>
      <c r="C75" s="329"/>
      <c r="D75" s="329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/>
      <c r="W75"/>
      <c r="X75"/>
      <c r="Y75"/>
      <c r="Z75"/>
      <c r="AA75"/>
      <c r="AB75"/>
      <c r="AC75"/>
      <c r="AD75"/>
    </row>
    <row r="76" spans="1:30" s="1" customFormat="1" x14ac:dyDescent="0.2">
      <c r="A76" t="s">
        <v>364</v>
      </c>
      <c r="B76"/>
      <c r="C76" s="329"/>
      <c r="D76" s="329" t="s">
        <v>373</v>
      </c>
      <c r="E76" s="334">
        <f>E70+E69</f>
        <v>4006990.3949837154</v>
      </c>
      <c r="F76" s="334">
        <f t="shared" ref="F76:O76" si="5">F70+F69</f>
        <v>4254390.1528190877</v>
      </c>
      <c r="G76" s="334">
        <f t="shared" si="5"/>
        <v>4245130.5195667334</v>
      </c>
      <c r="H76" s="334">
        <f t="shared" si="5"/>
        <v>4627817.1217894377</v>
      </c>
      <c r="I76" s="334">
        <f t="shared" si="5"/>
        <v>4691973.4658833258</v>
      </c>
      <c r="J76" s="334">
        <f t="shared" si="5"/>
        <v>4767889.3090411192</v>
      </c>
      <c r="K76" s="334">
        <f t="shared" si="5"/>
        <v>5098852.2587827826</v>
      </c>
      <c r="L76" s="334">
        <f t="shared" si="5"/>
        <v>5229806.9103145525</v>
      </c>
      <c r="M76" s="334">
        <f t="shared" si="5"/>
        <v>5385372.6742730476</v>
      </c>
      <c r="N76" s="334">
        <f t="shared" si="5"/>
        <v>5431101.438860191</v>
      </c>
      <c r="O76" s="334">
        <f t="shared" si="5"/>
        <v>5515724.1533869691</v>
      </c>
      <c r="P76" s="334"/>
      <c r="Q76" s="334"/>
      <c r="R76" s="334"/>
      <c r="S76" s="334"/>
      <c r="T76" s="334"/>
      <c r="U76" s="334"/>
      <c r="V76"/>
      <c r="W76"/>
      <c r="X76"/>
      <c r="Y76"/>
      <c r="Z76"/>
      <c r="AA76"/>
      <c r="AB76"/>
      <c r="AC76"/>
      <c r="AD76"/>
    </row>
    <row r="77" spans="1:30" s="1" customFormat="1" x14ac:dyDescent="0.2">
      <c r="A77" t="s">
        <v>361</v>
      </c>
      <c r="B77"/>
      <c r="C77" s="329"/>
      <c r="D77" s="329" t="s">
        <v>374</v>
      </c>
      <c r="E77" s="334">
        <f>E76/1000</f>
        <v>4006.9903949837153</v>
      </c>
      <c r="F77" s="334">
        <f t="shared" ref="F77:O77" si="6">F76/1000</f>
        <v>4254.3901528190881</v>
      </c>
      <c r="G77" s="334">
        <f t="shared" si="6"/>
        <v>4245.1305195667337</v>
      </c>
      <c r="H77" s="334">
        <f t="shared" si="6"/>
        <v>4627.8171217894378</v>
      </c>
      <c r="I77" s="334">
        <f t="shared" si="6"/>
        <v>4691.9734658833258</v>
      </c>
      <c r="J77" s="334">
        <f t="shared" si="6"/>
        <v>4767.8893090411193</v>
      </c>
      <c r="K77" s="334">
        <f t="shared" si="6"/>
        <v>5098.8522587827829</v>
      </c>
      <c r="L77" s="334">
        <f t="shared" si="6"/>
        <v>5229.8069103145526</v>
      </c>
      <c r="M77" s="334">
        <f t="shared" si="6"/>
        <v>5385.3726742730478</v>
      </c>
      <c r="N77" s="334">
        <f t="shared" si="6"/>
        <v>5431.1014388601907</v>
      </c>
      <c r="O77" s="334">
        <f t="shared" si="6"/>
        <v>5515.7241533869692</v>
      </c>
      <c r="P77" s="334"/>
      <c r="Q77" s="334"/>
      <c r="R77" s="334"/>
      <c r="S77" s="334"/>
      <c r="T77" s="334"/>
      <c r="U77" s="334"/>
      <c r="V77"/>
      <c r="W77"/>
      <c r="X77"/>
      <c r="Y77"/>
      <c r="Z77"/>
      <c r="AA77"/>
      <c r="AB77"/>
      <c r="AC77"/>
      <c r="AD77"/>
    </row>
    <row r="78" spans="1:30" s="1" customFormat="1" x14ac:dyDescent="0.2">
      <c r="A78" t="s">
        <v>350</v>
      </c>
      <c r="B78"/>
      <c r="C78"/>
      <c r="D78" t="s">
        <v>371</v>
      </c>
      <c r="E78" s="243">
        <f>E71/1000</f>
        <v>1775.4219248000004</v>
      </c>
      <c r="F78" s="243">
        <f t="shared" ref="F78:O79" si="7">F71/1000</f>
        <v>1964.5609968000003</v>
      </c>
      <c r="G78" s="243">
        <f t="shared" si="7"/>
        <v>1956.5473136000003</v>
      </c>
      <c r="H78" s="243">
        <f t="shared" si="7"/>
        <v>2267.6023632000006</v>
      </c>
      <c r="I78" s="243">
        <f t="shared" si="7"/>
        <v>2262.5887647999998</v>
      </c>
      <c r="J78" s="243">
        <f t="shared" si="7"/>
        <v>2254.9687008000001</v>
      </c>
      <c r="K78" s="243">
        <f t="shared" si="7"/>
        <v>2450.2416720000006</v>
      </c>
      <c r="L78" s="243">
        <f t="shared" si="7"/>
        <v>2508.8581312000001</v>
      </c>
      <c r="M78" s="243">
        <f t="shared" si="7"/>
        <v>2542.0710128000001</v>
      </c>
      <c r="N78" s="243">
        <f t="shared" si="7"/>
        <v>2557.5104736000003</v>
      </c>
      <c r="O78" s="243">
        <f t="shared" si="7"/>
        <v>2605.0904560000004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" customFormat="1" x14ac:dyDescent="0.2">
      <c r="A79" t="s">
        <v>351</v>
      </c>
      <c r="B79"/>
      <c r="C79"/>
      <c r="D79" t="s">
        <v>372</v>
      </c>
      <c r="E79" s="243">
        <f>E72/1000</f>
        <v>322.14272</v>
      </c>
      <c r="F79" s="243">
        <f t="shared" si="7"/>
        <v>401.32864000000001</v>
      </c>
      <c r="G79" s="243">
        <f t="shared" si="7"/>
        <v>426.52415999999999</v>
      </c>
      <c r="H79" s="243">
        <f t="shared" si="7"/>
        <v>502.11071999999996</v>
      </c>
      <c r="I79" s="243">
        <f t="shared" si="7"/>
        <v>502.11071999999996</v>
      </c>
      <c r="J79" s="243">
        <f t="shared" si="7"/>
        <v>498.51135999999997</v>
      </c>
      <c r="K79" s="243">
        <f t="shared" si="7"/>
        <v>538.10431999999992</v>
      </c>
      <c r="L79" s="243">
        <f t="shared" si="7"/>
        <v>545.30304000000001</v>
      </c>
      <c r="M79" s="243">
        <f t="shared" si="7"/>
        <v>545.30304000000001</v>
      </c>
      <c r="N79" s="243">
        <f t="shared" si="7"/>
        <v>539.904</v>
      </c>
      <c r="O79" s="243">
        <f t="shared" si="7"/>
        <v>539.904</v>
      </c>
      <c r="P79"/>
      <c r="Q79"/>
      <c r="R79"/>
      <c r="S79"/>
      <c r="T79"/>
      <c r="U79"/>
      <c r="V79"/>
    </row>
    <row r="80" spans="1:30" s="1" customFormat="1" x14ac:dyDescent="0.2">
      <c r="A80" t="s">
        <v>352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" customFormat="1" x14ac:dyDescent="0.2">
      <c r="A81" t="s">
        <v>289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" customFormat="1" x14ac:dyDescent="0.2">
      <c r="A82" t="s">
        <v>354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" customFormat="1" x14ac:dyDescent="0.2">
      <c r="A83" t="s">
        <v>355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" customFormat="1" x14ac:dyDescent="0.2">
      <c r="A84" t="s">
        <v>375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" customFormat="1" x14ac:dyDescent="0.2">
      <c r="A85" s="5"/>
      <c r="B85" s="5"/>
      <c r="C85" s="5"/>
      <c r="D85" s="5"/>
      <c r="E85" s="5"/>
    </row>
    <row r="86" spans="1:22" s="1" customFormat="1" x14ac:dyDescent="0.2">
      <c r="A86" s="5"/>
      <c r="B86" s="5"/>
      <c r="C86" s="5"/>
      <c r="D86" s="5"/>
      <c r="E86" s="5"/>
    </row>
    <row r="87" spans="1:22" s="1" customFormat="1" x14ac:dyDescent="0.2">
      <c r="A87" s="5"/>
      <c r="B87" s="5"/>
      <c r="C87" s="5"/>
      <c r="D87" s="5"/>
      <c r="E87" s="5"/>
    </row>
    <row r="88" spans="1:22" s="1" customFormat="1" x14ac:dyDescent="0.2">
      <c r="A88" s="5"/>
      <c r="B88" s="5"/>
      <c r="C88" s="5"/>
      <c r="D88" s="5"/>
      <c r="E88" s="5"/>
    </row>
    <row r="89" spans="1:22" s="1" customFormat="1" x14ac:dyDescent="0.2">
      <c r="A89" s="5"/>
      <c r="B89" s="5"/>
      <c r="C89" s="5"/>
      <c r="D89" s="5"/>
      <c r="E89" s="5"/>
    </row>
    <row r="90" spans="1:22" s="1" customFormat="1" x14ac:dyDescent="0.2">
      <c r="A90" s="5"/>
      <c r="B90" s="5"/>
      <c r="C90" s="5"/>
      <c r="D90" s="5"/>
      <c r="E90" s="5"/>
    </row>
    <row r="91" spans="1:22" s="1" customFormat="1" x14ac:dyDescent="0.2">
      <c r="A91" s="5"/>
      <c r="B91" s="5"/>
      <c r="C91" s="5"/>
      <c r="D91" s="5"/>
      <c r="E91" s="5"/>
    </row>
    <row r="92" spans="1:22" s="1" customFormat="1" x14ac:dyDescent="0.2">
      <c r="A92" s="5"/>
      <c r="B92" s="5"/>
      <c r="C92" s="5"/>
      <c r="D92" s="5"/>
      <c r="E92" s="5"/>
    </row>
    <row r="93" spans="1:22" s="1" customFormat="1" x14ac:dyDescent="0.2">
      <c r="A93" s="5"/>
      <c r="B93" s="5"/>
      <c r="C93" s="5"/>
      <c r="D93" s="5"/>
      <c r="E93" s="5"/>
      <c r="G93" s="1">
        <v>3.7</v>
      </c>
      <c r="H93" s="1">
        <v>3.85</v>
      </c>
      <c r="I93" s="1">
        <v>4.0199999999999996</v>
      </c>
      <c r="J93" s="1">
        <v>4.07</v>
      </c>
      <c r="K93" s="1">
        <v>4.21</v>
      </c>
      <c r="L93" s="1">
        <v>4.33</v>
      </c>
      <c r="M93" s="1">
        <v>4.45</v>
      </c>
      <c r="N93" s="1">
        <v>4.5999999999999996</v>
      </c>
      <c r="O93" s="1">
        <v>4.76</v>
      </c>
      <c r="P93" s="1">
        <v>4.8099999999999996</v>
      </c>
      <c r="Q93" s="1">
        <v>4.96</v>
      </c>
    </row>
    <row r="94" spans="1:22" s="1" customFormat="1" x14ac:dyDescent="0.2">
      <c r="A94" s="5"/>
      <c r="B94" s="5"/>
      <c r="C94" s="5"/>
      <c r="D94" s="5"/>
      <c r="E94" s="5"/>
      <c r="F94" s="150">
        <f>AVERAGE(H94:Q94)</f>
        <v>2.9792912558100661E-2</v>
      </c>
      <c r="H94" s="19">
        <f>(H93-G93)/G93</f>
        <v>4.0540540540540515E-2</v>
      </c>
      <c r="I94" s="19">
        <f t="shared" ref="I94:Q94" si="8">(I93-H93)/H93</f>
        <v>4.4155844155844018E-2</v>
      </c>
      <c r="J94" s="19">
        <f t="shared" si="8"/>
        <v>1.2437810945273809E-2</v>
      </c>
      <c r="K94" s="19">
        <f t="shared" si="8"/>
        <v>3.4398034398034315E-2</v>
      </c>
      <c r="L94" s="19">
        <f t="shared" si="8"/>
        <v>2.8503562945368197E-2</v>
      </c>
      <c r="M94" s="19">
        <f t="shared" si="8"/>
        <v>2.7713625866050834E-2</v>
      </c>
      <c r="N94" s="19">
        <f t="shared" si="8"/>
        <v>3.3707865168539207E-2</v>
      </c>
      <c r="O94" s="19">
        <f t="shared" si="8"/>
        <v>3.4782608695652209E-2</v>
      </c>
      <c r="P94" s="19">
        <f t="shared" si="8"/>
        <v>1.0504201680672232E-2</v>
      </c>
      <c r="Q94" s="19">
        <f t="shared" si="8"/>
        <v>3.1185031185031263E-2</v>
      </c>
    </row>
    <row r="95" spans="1:22" s="1" customFormat="1" x14ac:dyDescent="0.2">
      <c r="A95" s="5"/>
      <c r="B95" s="5"/>
      <c r="C95" s="5"/>
      <c r="D95" s="5"/>
      <c r="E95" s="5"/>
    </row>
    <row r="96" spans="1:22" s="1" customFormat="1" x14ac:dyDescent="0.2">
      <c r="A96" s="5"/>
      <c r="B96" s="5"/>
      <c r="C96" s="5"/>
      <c r="D96" s="5"/>
      <c r="E96" s="5"/>
    </row>
    <row r="97" spans="1:5" s="1" customFormat="1" x14ac:dyDescent="0.2">
      <c r="A97" s="5"/>
      <c r="B97" s="5"/>
      <c r="C97" s="5"/>
      <c r="D97" s="5"/>
      <c r="E97" s="5"/>
    </row>
    <row r="98" spans="1:5" s="1" customFormat="1" x14ac:dyDescent="0.2">
      <c r="A98" s="5"/>
      <c r="B98" s="5"/>
      <c r="C98" s="5"/>
      <c r="D98" s="5"/>
      <c r="E98" s="5"/>
    </row>
    <row r="99" spans="1:5" s="1" customFormat="1" x14ac:dyDescent="0.2">
      <c r="A99" s="5"/>
      <c r="B99" s="5"/>
      <c r="C99" s="5"/>
      <c r="D99" s="5"/>
      <c r="E99" s="5"/>
    </row>
    <row r="100" spans="1:5" s="1" customFormat="1" x14ac:dyDescent="0.2">
      <c r="A100" s="5"/>
      <c r="B100" s="5"/>
      <c r="C100" s="5"/>
      <c r="D100" s="5"/>
      <c r="E100" s="5"/>
    </row>
    <row r="101" spans="1:5" s="1" customFormat="1" x14ac:dyDescent="0.2">
      <c r="A101" s="5"/>
      <c r="B101" s="5"/>
      <c r="C101" s="5"/>
      <c r="D101" s="5"/>
      <c r="E101" s="5"/>
    </row>
    <row r="102" spans="1:5" s="1" customFormat="1" x14ac:dyDescent="0.2">
      <c r="A102" s="5"/>
      <c r="B102" s="5"/>
      <c r="C102" s="5"/>
      <c r="D102" s="5"/>
      <c r="E102" s="5"/>
    </row>
    <row r="103" spans="1:5" s="1" customFormat="1" x14ac:dyDescent="0.2">
      <c r="A103" s="5"/>
      <c r="B103" s="5"/>
      <c r="C103" s="5"/>
      <c r="D103" s="5"/>
      <c r="E103" s="5"/>
    </row>
    <row r="104" spans="1:5" s="1" customFormat="1" x14ac:dyDescent="0.2">
      <c r="A104" s="5"/>
      <c r="B104" s="5"/>
      <c r="C104" s="5"/>
      <c r="D104" s="5"/>
      <c r="E104" s="5"/>
    </row>
    <row r="105" spans="1:5" s="1" customFormat="1" x14ac:dyDescent="0.2">
      <c r="A105" s="5"/>
      <c r="B105" s="5"/>
      <c r="C105" s="5"/>
      <c r="D105" s="5"/>
      <c r="E105" s="5"/>
    </row>
    <row r="106" spans="1:5" s="1" customFormat="1" x14ac:dyDescent="0.2">
      <c r="A106" s="5"/>
      <c r="B106" s="5"/>
      <c r="C106" s="5"/>
      <c r="D106" s="5"/>
      <c r="E106" s="5"/>
    </row>
    <row r="107" spans="1:5" s="1" customFormat="1" x14ac:dyDescent="0.2">
      <c r="A107" s="5"/>
      <c r="B107" s="5"/>
      <c r="C107" s="5"/>
      <c r="D107" s="5"/>
      <c r="E107" s="5"/>
    </row>
    <row r="108" spans="1:5" s="1" customFormat="1" x14ac:dyDescent="0.2">
      <c r="A108" s="5"/>
      <c r="B108" s="5"/>
      <c r="C108" s="5"/>
      <c r="D108" s="5"/>
      <c r="E108" s="5"/>
    </row>
    <row r="109" spans="1:5" s="1" customFormat="1" x14ac:dyDescent="0.2">
      <c r="A109" s="5"/>
      <c r="B109" s="5"/>
      <c r="C109" s="5"/>
      <c r="D109" s="5"/>
      <c r="E109" s="5"/>
    </row>
    <row r="110" spans="1:5" s="1" customFormat="1" x14ac:dyDescent="0.2">
      <c r="A110" s="5"/>
      <c r="B110" s="5"/>
      <c r="C110" s="5"/>
      <c r="D110" s="5"/>
      <c r="E110" s="5"/>
    </row>
    <row r="111" spans="1:5" s="1" customFormat="1" x14ac:dyDescent="0.2">
      <c r="A111" s="5"/>
      <c r="B111" s="5"/>
      <c r="C111" s="5"/>
      <c r="D111" s="5"/>
      <c r="E111" s="5"/>
    </row>
    <row r="112" spans="1:5" s="1" customFormat="1" x14ac:dyDescent="0.2">
      <c r="A112" s="5"/>
      <c r="B112" s="5"/>
      <c r="C112" s="5"/>
      <c r="D112" s="5"/>
      <c r="E112" s="5"/>
    </row>
    <row r="113" spans="1:5" s="1" customFormat="1" x14ac:dyDescent="0.2">
      <c r="A113" s="5"/>
      <c r="B113" s="5"/>
      <c r="C113" s="5"/>
      <c r="D113" s="5"/>
      <c r="E113" s="5"/>
    </row>
    <row r="114" spans="1:5" s="1" customFormat="1" x14ac:dyDescent="0.2">
      <c r="A114" s="5"/>
      <c r="B114" s="5"/>
      <c r="C114" s="5"/>
      <c r="D114" s="5"/>
      <c r="E114" s="5"/>
    </row>
    <row r="115" spans="1:5" s="1" customFormat="1" x14ac:dyDescent="0.2">
      <c r="A115" s="5"/>
      <c r="B115" s="5"/>
      <c r="C115" s="5"/>
      <c r="D115" s="5"/>
      <c r="E115" s="5"/>
    </row>
    <row r="116" spans="1:5" s="1" customFormat="1" x14ac:dyDescent="0.2">
      <c r="A116" s="5"/>
      <c r="B116" s="5"/>
      <c r="C116" s="5"/>
      <c r="D116" s="5"/>
      <c r="E116" s="5"/>
    </row>
    <row r="117" spans="1:5" s="1" customFormat="1" x14ac:dyDescent="0.2">
      <c r="A117" s="5"/>
      <c r="B117" s="5"/>
      <c r="C117" s="5"/>
      <c r="D117" s="5"/>
      <c r="E117" s="5"/>
    </row>
    <row r="118" spans="1:5" s="1" customFormat="1" x14ac:dyDescent="0.2">
      <c r="A118" s="5"/>
      <c r="B118" s="5"/>
      <c r="C118" s="5"/>
      <c r="D118" s="5"/>
      <c r="E118" s="5"/>
    </row>
    <row r="119" spans="1:5" s="1" customFormat="1" x14ac:dyDescent="0.2">
      <c r="A119" s="5"/>
      <c r="B119" s="5"/>
      <c r="C119" s="5"/>
      <c r="D119" s="5"/>
      <c r="E119" s="5"/>
    </row>
    <row r="120" spans="1:5" s="1" customFormat="1" x14ac:dyDescent="0.2">
      <c r="A120" s="5"/>
      <c r="B120" s="5"/>
      <c r="C120" s="5"/>
      <c r="D120" s="5"/>
      <c r="E120" s="5"/>
    </row>
    <row r="121" spans="1:5" s="1" customFormat="1" x14ac:dyDescent="0.2">
      <c r="A121" s="5"/>
      <c r="B121" s="5"/>
      <c r="C121" s="5"/>
      <c r="D121" s="5"/>
      <c r="E121" s="5"/>
    </row>
    <row r="122" spans="1:5" s="1" customFormat="1" x14ac:dyDescent="0.2">
      <c r="A122" s="5"/>
      <c r="B122" s="5"/>
      <c r="C122" s="5"/>
      <c r="D122" s="5"/>
      <c r="E122" s="5"/>
    </row>
    <row r="123" spans="1:5" s="1" customFormat="1" x14ac:dyDescent="0.2">
      <c r="A123" s="5"/>
      <c r="B123" s="5"/>
      <c r="C123" s="5"/>
      <c r="D123" s="5"/>
      <c r="E123" s="5"/>
    </row>
    <row r="124" spans="1:5" s="1" customFormat="1" x14ac:dyDescent="0.2">
      <c r="A124" s="5"/>
      <c r="B124" s="5"/>
      <c r="C124" s="5"/>
      <c r="D124" s="5"/>
      <c r="E124" s="5"/>
    </row>
    <row r="125" spans="1:5" s="1" customFormat="1" x14ac:dyDescent="0.2">
      <c r="A125" s="5"/>
      <c r="B125" s="5"/>
      <c r="C125" s="5"/>
      <c r="D125" s="5"/>
      <c r="E125" s="5"/>
    </row>
    <row r="126" spans="1:5" s="1" customFormat="1" x14ac:dyDescent="0.2">
      <c r="A126" s="5"/>
      <c r="B126" s="5"/>
      <c r="C126" s="5"/>
      <c r="D126" s="5"/>
      <c r="E126" s="5"/>
    </row>
    <row r="127" spans="1:5" s="1" customFormat="1" x14ac:dyDescent="0.2">
      <c r="A127" s="5"/>
      <c r="B127" s="5"/>
      <c r="C127" s="5"/>
      <c r="D127" s="5"/>
      <c r="E127" s="5"/>
    </row>
    <row r="128" spans="1:5" s="1" customFormat="1" x14ac:dyDescent="0.2">
      <c r="A128" s="5"/>
      <c r="B128" s="5"/>
      <c r="C128" s="5"/>
      <c r="D128" s="5"/>
      <c r="E128" s="5"/>
    </row>
    <row r="129" spans="1:5" s="1" customFormat="1" x14ac:dyDescent="0.2">
      <c r="A129" s="5"/>
      <c r="B129" s="5"/>
      <c r="C129" s="5"/>
      <c r="D129" s="5"/>
      <c r="E129" s="5"/>
    </row>
    <row r="130" spans="1:5" s="1" customFormat="1" x14ac:dyDescent="0.2">
      <c r="A130" s="5"/>
      <c r="B130" s="5"/>
      <c r="C130" s="5"/>
      <c r="D130" s="5"/>
      <c r="E130" s="5"/>
    </row>
    <row r="131" spans="1:5" s="1" customFormat="1" x14ac:dyDescent="0.2">
      <c r="A131" s="5"/>
      <c r="B131" s="5"/>
      <c r="C131" s="5"/>
      <c r="D131" s="5"/>
      <c r="E131" s="5"/>
    </row>
    <row r="132" spans="1:5" s="1" customFormat="1" x14ac:dyDescent="0.2">
      <c r="A132" s="5"/>
      <c r="B132" s="5"/>
      <c r="C132" s="5"/>
      <c r="D132" s="5"/>
      <c r="E132" s="5"/>
    </row>
    <row r="133" spans="1:5" s="1" customFormat="1" x14ac:dyDescent="0.2">
      <c r="A133" s="5"/>
      <c r="B133" s="5"/>
      <c r="C133" s="5"/>
      <c r="D133" s="5"/>
      <c r="E133" s="5"/>
    </row>
    <row r="134" spans="1:5" s="1" customFormat="1" x14ac:dyDescent="0.2">
      <c r="A134" s="5"/>
      <c r="B134" s="5"/>
      <c r="C134" s="5"/>
      <c r="D134" s="5"/>
      <c r="E134" s="5"/>
    </row>
    <row r="135" spans="1:5" s="1" customFormat="1" x14ac:dyDescent="0.2">
      <c r="A135" s="5"/>
      <c r="B135" s="5"/>
      <c r="C135" s="5"/>
      <c r="D135" s="5"/>
      <c r="E135" s="5"/>
    </row>
    <row r="136" spans="1:5" s="1" customFormat="1" x14ac:dyDescent="0.2">
      <c r="A136" s="5"/>
      <c r="B136" s="5"/>
      <c r="C136" s="5"/>
      <c r="D136" s="5"/>
      <c r="E136" s="5"/>
    </row>
    <row r="137" spans="1:5" s="1" customFormat="1" x14ac:dyDescent="0.2">
      <c r="A137" s="5"/>
      <c r="B137" s="5"/>
      <c r="C137" s="5"/>
      <c r="D137" s="5"/>
      <c r="E137" s="5"/>
    </row>
    <row r="138" spans="1:5" s="1" customFormat="1" x14ac:dyDescent="0.2">
      <c r="A138" s="5"/>
      <c r="B138" s="5"/>
      <c r="C138" s="5"/>
      <c r="D138" s="5"/>
      <c r="E138" s="5"/>
    </row>
    <row r="139" spans="1:5" s="1" customFormat="1" x14ac:dyDescent="0.2">
      <c r="A139" s="5"/>
      <c r="B139" s="5"/>
      <c r="C139" s="5"/>
      <c r="D139" s="5"/>
      <c r="E139" s="5"/>
    </row>
    <row r="140" spans="1:5" s="1" customFormat="1" x14ac:dyDescent="0.2">
      <c r="A140" s="5"/>
      <c r="B140" s="5"/>
      <c r="C140" s="5"/>
      <c r="D140" s="5"/>
      <c r="E140" s="5"/>
    </row>
    <row r="141" spans="1:5" s="1" customFormat="1" x14ac:dyDescent="0.2">
      <c r="A141" s="5"/>
      <c r="B141" s="5"/>
      <c r="C141" s="5"/>
      <c r="D141" s="5"/>
      <c r="E141" s="5"/>
    </row>
    <row r="142" spans="1:5" s="1" customFormat="1" x14ac:dyDescent="0.2">
      <c r="A142" s="5"/>
      <c r="B142" s="5"/>
      <c r="C142" s="5"/>
      <c r="D142" s="5"/>
      <c r="E142" s="5"/>
    </row>
    <row r="143" spans="1:5" s="1" customFormat="1" x14ac:dyDescent="0.2">
      <c r="A143" s="5"/>
      <c r="B143" s="5"/>
      <c r="C143" s="5"/>
      <c r="D143" s="5"/>
      <c r="E143" s="5"/>
    </row>
    <row r="144" spans="1:5" s="1" customFormat="1" x14ac:dyDescent="0.2">
      <c r="A144" s="5"/>
      <c r="B144" s="5"/>
      <c r="C144" s="5"/>
      <c r="D144" s="5"/>
      <c r="E144" s="5"/>
    </row>
    <row r="145" spans="1:5" s="1" customFormat="1" x14ac:dyDescent="0.2">
      <c r="A145" s="5"/>
      <c r="B145" s="5"/>
      <c r="C145" s="5"/>
      <c r="D145" s="5"/>
      <c r="E145" s="5"/>
    </row>
    <row r="146" spans="1:5" s="1" customFormat="1" x14ac:dyDescent="0.2">
      <c r="A146" s="5"/>
      <c r="B146" s="5"/>
      <c r="C146" s="5"/>
      <c r="D146" s="5"/>
      <c r="E146" s="5"/>
    </row>
    <row r="147" spans="1:5" s="1" customFormat="1" x14ac:dyDescent="0.2">
      <c r="A147" s="5"/>
      <c r="B147" s="5"/>
      <c r="C147" s="5"/>
      <c r="D147" s="5"/>
      <c r="E147" s="5"/>
    </row>
    <row r="148" spans="1:5" s="1" customFormat="1" x14ac:dyDescent="0.2"/>
    <row r="149" spans="1:5" s="1" customFormat="1" x14ac:dyDescent="0.2"/>
    <row r="150" spans="1:5" s="1" customFormat="1" x14ac:dyDescent="0.2"/>
    <row r="151" spans="1:5" s="1" customFormat="1" x14ac:dyDescent="0.2"/>
    <row r="152" spans="1:5" s="1" customFormat="1" x14ac:dyDescent="0.2"/>
    <row r="153" spans="1:5" s="1" customFormat="1" x14ac:dyDescent="0.2"/>
    <row r="154" spans="1:5" s="1" customFormat="1" x14ac:dyDescent="0.2"/>
    <row r="155" spans="1:5" s="1" customFormat="1" x14ac:dyDescent="0.2"/>
    <row r="156" spans="1:5" s="1" customFormat="1" x14ac:dyDescent="0.2"/>
    <row r="157" spans="1:5" s="1" customFormat="1" x14ac:dyDescent="0.2"/>
    <row r="158" spans="1:5" s="1" customFormat="1" x14ac:dyDescent="0.2"/>
    <row r="159" spans="1:5" s="1" customFormat="1" x14ac:dyDescent="0.2"/>
    <row r="160" spans="1:5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</sheetData>
  <pageMargins left="0" right="0" top="1" bottom="1" header="0.5" footer="0.5"/>
  <pageSetup scale="4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opLeftCell="A2" workbookViewId="0">
      <selection activeCell="B26" sqref="B26"/>
    </sheetView>
  </sheetViews>
  <sheetFormatPr defaultRowHeight="12.75" x14ac:dyDescent="0.2"/>
  <cols>
    <col min="1" max="1" width="34.28515625" style="277" customWidth="1"/>
    <col min="2" max="19" width="17.42578125" style="277" customWidth="1"/>
    <col min="20" max="23" width="7" style="277" customWidth="1"/>
    <col min="24" max="16384" width="9.140625" style="277"/>
  </cols>
  <sheetData>
    <row r="1" spans="1:23" ht="18" x14ac:dyDescent="0.25">
      <c r="A1" s="275" t="s">
        <v>277</v>
      </c>
      <c r="B1" s="276"/>
    </row>
    <row r="2" spans="1:23" ht="15.75" x14ac:dyDescent="0.25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280"/>
      <c r="U2" s="280"/>
      <c r="V2" s="280"/>
      <c r="W2" s="280"/>
    </row>
    <row r="3" spans="1:23" x14ac:dyDescent="0.2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284"/>
      <c r="U4" s="284"/>
      <c r="V4" s="284"/>
      <c r="W4" s="284"/>
    </row>
    <row r="5" spans="1:23" x14ac:dyDescent="0.2">
      <c r="A5" s="245" t="s">
        <v>280</v>
      </c>
      <c r="B5" s="285">
        <v>3.4026650054091525</v>
      </c>
      <c r="C5" s="285">
        <v>2.9604013194409675</v>
      </c>
      <c r="D5" s="285">
        <v>2.834860461682299</v>
      </c>
      <c r="E5" s="285">
        <v>2.8218662407582049</v>
      </c>
      <c r="F5" s="285">
        <v>2.8469318115805105</v>
      </c>
      <c r="G5" s="285">
        <v>2.9324817579859777</v>
      </c>
      <c r="H5" s="285">
        <v>3.0012038265062535</v>
      </c>
      <c r="I5" s="285">
        <v>3.0291503178119563</v>
      </c>
      <c r="J5" s="285">
        <v>3.1875511390801363</v>
      </c>
      <c r="K5" s="285">
        <v>3.1918555590929203</v>
      </c>
      <c r="L5" s="285">
        <v>3.2623529471942128</v>
      </c>
      <c r="M5" s="285">
        <v>3.3849274540167422</v>
      </c>
      <c r="N5" s="285">
        <v>3.4443310870741199</v>
      </c>
      <c r="O5" s="285">
        <v>3.4635867178969861</v>
      </c>
      <c r="P5" s="285">
        <v>3.6233688869931817</v>
      </c>
      <c r="Q5" s="285">
        <v>3.6086809836019254</v>
      </c>
      <c r="R5" s="285">
        <v>3.6784854159873048</v>
      </c>
      <c r="S5" s="285">
        <v>3.8086365126361961</v>
      </c>
      <c r="T5" s="286"/>
      <c r="U5" s="286"/>
      <c r="V5" s="286"/>
      <c r="W5" s="286"/>
    </row>
    <row r="6" spans="1:23" x14ac:dyDescent="0.2">
      <c r="A6" s="245" t="s">
        <v>281</v>
      </c>
      <c r="B6" s="246">
        <v>13768713.157849286</v>
      </c>
      <c r="C6" s="246">
        <v>13301993.776557604</v>
      </c>
      <c r="D6" s="246">
        <v>13239756.764475076</v>
      </c>
      <c r="E6" s="246">
        <v>13350460.909938725</v>
      </c>
      <c r="F6" s="246">
        <v>13479460.447318979</v>
      </c>
      <c r="G6" s="246">
        <v>13570042.244787516</v>
      </c>
      <c r="H6" s="246">
        <v>13661993.766954526</v>
      </c>
      <c r="I6" s="246">
        <v>13777605.083154172</v>
      </c>
      <c r="J6" s="246">
        <v>14341211.308011638</v>
      </c>
      <c r="K6" s="246">
        <v>14317828.968817547</v>
      </c>
      <c r="L6" s="246">
        <v>14552263.941697678</v>
      </c>
      <c r="M6" s="246">
        <v>14626453.995933104</v>
      </c>
      <c r="N6" s="246">
        <v>14584481.360596383</v>
      </c>
      <c r="O6" s="246">
        <v>14679088.905300809</v>
      </c>
      <c r="P6" s="246">
        <v>15146076.344301259</v>
      </c>
      <c r="Q6" s="246">
        <v>15104676.245763997</v>
      </c>
      <c r="R6" s="246">
        <v>15264907.060694968</v>
      </c>
      <c r="S6" s="246">
        <v>15275381.246888654</v>
      </c>
      <c r="T6" s="286"/>
      <c r="U6" s="286"/>
      <c r="V6" s="286"/>
      <c r="W6" s="286"/>
    </row>
    <row r="7" spans="1:23" x14ac:dyDescent="0.2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86"/>
      <c r="U7" s="286"/>
      <c r="V7" s="286"/>
      <c r="W7" s="286"/>
    </row>
    <row r="8" spans="1:23" x14ac:dyDescent="0.2">
      <c r="A8" s="247" t="s">
        <v>282</v>
      </c>
      <c r="B8" s="246">
        <v>12249594.019472949</v>
      </c>
      <c r="C8" s="246">
        <v>10657444.749987485</v>
      </c>
      <c r="D8" s="246">
        <v>10205497.662056277</v>
      </c>
      <c r="E8" s="246">
        <v>10158718.46672954</v>
      </c>
      <c r="F8" s="246">
        <v>10248954.521689838</v>
      </c>
      <c r="G8" s="246">
        <v>10556934.328749521</v>
      </c>
      <c r="H8" s="246">
        <v>10804333.775422512</v>
      </c>
      <c r="I8" s="246">
        <v>10904941.144123044</v>
      </c>
      <c r="J8" s="246">
        <v>11475184.100688491</v>
      </c>
      <c r="K8" s="246">
        <v>11490680.012734516</v>
      </c>
      <c r="L8" s="246">
        <v>11744470.609899167</v>
      </c>
      <c r="M8" s="246">
        <v>12185738.834460273</v>
      </c>
      <c r="N8" s="246">
        <v>12399591.913466832</v>
      </c>
      <c r="O8" s="246">
        <v>12468912.184429152</v>
      </c>
      <c r="P8" s="246">
        <v>13044127.993175453</v>
      </c>
      <c r="Q8" s="246">
        <v>12991251.54096693</v>
      </c>
      <c r="R8" s="246">
        <v>13242547.497554297</v>
      </c>
      <c r="S8" s="246">
        <v>13711091.445490308</v>
      </c>
      <c r="T8" s="286"/>
      <c r="U8" s="286"/>
      <c r="V8" s="286"/>
      <c r="W8" s="286"/>
    </row>
    <row r="9" spans="1:23" x14ac:dyDescent="0.2">
      <c r="A9" t="s">
        <v>283</v>
      </c>
      <c r="B9" s="287">
        <v>3.29483591238023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">
      <c r="A10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7"/>
    </row>
    <row r="11" spans="1:23" x14ac:dyDescent="0.2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">
      <c r="A12" s="245" t="s">
        <v>284</v>
      </c>
      <c r="B12" s="246">
        <v>10497897.620885696</v>
      </c>
      <c r="C12" s="246">
        <v>10042833.368596239</v>
      </c>
      <c r="D12" s="246">
        <v>10011452.980656056</v>
      </c>
      <c r="E12" s="246">
        <v>10118958.299623221</v>
      </c>
      <c r="F12" s="246">
        <v>10248564.561157417</v>
      </c>
      <c r="G12" s="246">
        <v>10354072.337118464</v>
      </c>
      <c r="H12" s="246">
        <v>10465456.252526151</v>
      </c>
      <c r="I12" s="246">
        <v>10599650.278764481</v>
      </c>
      <c r="J12" s="246">
        <v>11080773.125711966</v>
      </c>
      <c r="K12" s="246">
        <v>11109372.415315423</v>
      </c>
      <c r="L12" s="246">
        <v>11342232.147727365</v>
      </c>
      <c r="M12" s="246">
        <v>11450014.632599093</v>
      </c>
      <c r="N12" s="246">
        <v>11466511.28313327</v>
      </c>
      <c r="O12" s="246">
        <v>11589814.921997625</v>
      </c>
      <c r="P12" s="246">
        <v>12008964.722422535</v>
      </c>
      <c r="Q12" s="246">
        <v>12027127.689695919</v>
      </c>
      <c r="R12" s="246">
        <v>12204528.646037424</v>
      </c>
      <c r="S12" s="246">
        <v>12260703.626143074</v>
      </c>
    </row>
    <row r="13" spans="1:23" x14ac:dyDescent="0.2">
      <c r="A13" t="s">
        <v>285</v>
      </c>
      <c r="B13" s="246">
        <v>2191948.4042962589</v>
      </c>
      <c r="C13" s="246">
        <v>2184137.6790720508</v>
      </c>
      <c r="D13" s="246">
        <v>2163459.0051185889</v>
      </c>
      <c r="E13" s="246">
        <v>2165602.7098171129</v>
      </c>
      <c r="F13" s="246">
        <v>2165196.111515848</v>
      </c>
      <c r="G13" s="246">
        <v>2155193.4151334069</v>
      </c>
      <c r="H13" s="246">
        <v>2142170.7292392636</v>
      </c>
      <c r="I13" s="246">
        <v>2129717.4614971718</v>
      </c>
      <c r="J13" s="246">
        <v>2184993.9839875204</v>
      </c>
      <c r="K13" s="246">
        <v>2150158.314715486</v>
      </c>
      <c r="L13" s="246">
        <v>2151213.9675921453</v>
      </c>
      <c r="M13" s="246">
        <v>2128701.8834047178</v>
      </c>
      <c r="N13" s="246">
        <v>2089518.4881882351</v>
      </c>
      <c r="O13" s="246">
        <v>2070287.7009143732</v>
      </c>
      <c r="P13" s="246">
        <v>2102346.2607310191</v>
      </c>
      <c r="Q13" s="246">
        <v>2062429.8650849795</v>
      </c>
      <c r="R13" s="246">
        <v>2050923.2351203661</v>
      </c>
      <c r="S13" s="246">
        <v>2020296.6891845476</v>
      </c>
    </row>
    <row r="14" spans="1:23" x14ac:dyDescent="0.2">
      <c r="A14" s="245" t="s">
        <v>286</v>
      </c>
      <c r="B14" s="246">
        <v>1078867.1326673313</v>
      </c>
      <c r="C14" s="246">
        <v>1075022.7288893152</v>
      </c>
      <c r="D14" s="246">
        <v>1064844.7787004297</v>
      </c>
      <c r="E14" s="246">
        <v>1065899.9004983921</v>
      </c>
      <c r="F14" s="246">
        <v>1065699.7746457155</v>
      </c>
      <c r="G14" s="246">
        <v>1060776.4925356461</v>
      </c>
      <c r="H14" s="246">
        <v>1054366.7851891119</v>
      </c>
      <c r="I14" s="246">
        <v>1048237.3428925164</v>
      </c>
      <c r="J14" s="246">
        <v>1075444.1983121496</v>
      </c>
      <c r="K14" s="246">
        <v>1058298.2387866406</v>
      </c>
      <c r="L14" s="246">
        <v>1058817.8263781648</v>
      </c>
      <c r="M14" s="246">
        <v>1047737.4799292922</v>
      </c>
      <c r="N14" s="246">
        <v>1028451.5892748771</v>
      </c>
      <c r="O14" s="246">
        <v>1018986.282388811</v>
      </c>
      <c r="P14" s="246">
        <v>1034765.3611477083</v>
      </c>
      <c r="Q14" s="246">
        <v>1015118.6909830954</v>
      </c>
      <c r="R14" s="246">
        <v>1009455.1795371807</v>
      </c>
      <c r="S14" s="246">
        <v>994380.93156103406</v>
      </c>
    </row>
    <row r="15" spans="1:23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">
      <c r="A16" t="s">
        <v>292</v>
      </c>
      <c r="B16" s="246">
        <v>15656323.718633413</v>
      </c>
      <c r="C16" s="246">
        <v>15428559.954268323</v>
      </c>
      <c r="D16" s="246">
        <v>15436244.63292205</v>
      </c>
      <c r="E16" s="246">
        <v>15764905.375692854</v>
      </c>
      <c r="F16" s="246">
        <v>16549785.037994104</v>
      </c>
      <c r="G16" s="246">
        <v>18127103.509489261</v>
      </c>
      <c r="H16" s="246">
        <v>19156672.189008288</v>
      </c>
      <c r="I16" s="246">
        <v>19737119.472614542</v>
      </c>
      <c r="J16" s="246">
        <v>20626924.188517816</v>
      </c>
      <c r="K16" s="246">
        <v>21032896.186509121</v>
      </c>
      <c r="L16" s="246">
        <v>21246987.764728699</v>
      </c>
      <c r="M16" s="246">
        <v>21485272.30275137</v>
      </c>
      <c r="N16" s="246">
        <v>21488939.543932416</v>
      </c>
      <c r="O16" s="246">
        <v>21377815.089076564</v>
      </c>
      <c r="P16" s="246">
        <v>21750770.778844565</v>
      </c>
      <c r="Q16" s="246">
        <v>21459475.406785611</v>
      </c>
      <c r="R16" s="246">
        <v>21448480.708007954</v>
      </c>
      <c r="S16" s="246">
        <f>S8</f>
        <v>13711091.445490308</v>
      </c>
    </row>
    <row r="17" spans="1:23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3" x14ac:dyDescent="0.2">
      <c r="A18" t="s">
        <v>287</v>
      </c>
      <c r="B18" s="246">
        <v>0</v>
      </c>
      <c r="C18" s="246">
        <v>0</v>
      </c>
      <c r="D18" s="246">
        <v>0</v>
      </c>
      <c r="E18" s="246">
        <v>0</v>
      </c>
      <c r="F18" s="246">
        <v>0</v>
      </c>
      <c r="G18" s="246">
        <v>0</v>
      </c>
      <c r="H18" s="246">
        <v>0</v>
      </c>
      <c r="I18" s="246">
        <v>0</v>
      </c>
      <c r="J18" s="246">
        <v>0</v>
      </c>
      <c r="K18" s="246">
        <v>0</v>
      </c>
      <c r="L18" s="246">
        <v>0</v>
      </c>
      <c r="M18" s="246">
        <v>0</v>
      </c>
      <c r="N18" s="246">
        <v>0</v>
      </c>
      <c r="O18" s="246">
        <v>0</v>
      </c>
      <c r="P18" s="246">
        <v>0</v>
      </c>
      <c r="Q18" s="246">
        <v>0</v>
      </c>
      <c r="R18" s="246">
        <v>0</v>
      </c>
      <c r="S18" s="246">
        <v>0</v>
      </c>
      <c r="T18" s="286"/>
      <c r="U18" s="286"/>
      <c r="V18" s="286"/>
      <c r="W18" s="286"/>
    </row>
    <row r="19" spans="1:23" x14ac:dyDescent="0.2"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</row>
    <row r="20" spans="1:23" x14ac:dyDescent="0.2">
      <c r="A20" s="277" t="s">
        <v>288</v>
      </c>
      <c r="B20" s="286">
        <f>NPV(0.14,B16:$S$16)</f>
        <v>114910268.03241587</v>
      </c>
      <c r="C20" s="286">
        <f>NPV(0.14,C16:$S$16)</f>
        <v>115341381.83832069</v>
      </c>
      <c r="D20" s="286">
        <f>NPV(0.14,D16:$S$16)</f>
        <v>116060615.3414173</v>
      </c>
      <c r="E20" s="286">
        <f>NPV(0.14,E16:$S$16)</f>
        <v>116872856.85629369</v>
      </c>
      <c r="F20" s="286">
        <f>NPV(0.14,F16:$S$16)</f>
        <v>117470151.44048198</v>
      </c>
      <c r="G20" s="286">
        <f>NPV(0.14,G16:$S$16)</f>
        <v>117366187.60415535</v>
      </c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</row>
    <row r="21" spans="1:23" x14ac:dyDescent="0.2"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</row>
    <row r="22" spans="1:23" x14ac:dyDescent="0.2">
      <c r="A22" s="290" t="s">
        <v>291</v>
      </c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</row>
    <row r="23" spans="1:23" x14ac:dyDescent="0.2">
      <c r="A23" s="350" t="s">
        <v>55</v>
      </c>
      <c r="B23" s="8">
        <v>1500</v>
      </c>
      <c r="C23" s="286">
        <f>B23*(1+Model!J28)</f>
        <v>1545.0402557099708</v>
      </c>
      <c r="D23" s="286">
        <f>C23*(1+Model!K28)</f>
        <v>1589.8841012555752</v>
      </c>
      <c r="E23" s="286">
        <f>D23*(1+Model!L28)</f>
        <v>1635.2326715279351</v>
      </c>
      <c r="F23" s="286">
        <f>E23*(1+Model!M28)</f>
        <v>1681.0551931254201</v>
      </c>
      <c r="G23" s="286">
        <f>F23*(1+Model!N28)</f>
        <v>1726.8138277949672</v>
      </c>
      <c r="H23" s="286">
        <f>G23*(1+Model!O28)</f>
        <v>1772.9526820312772</v>
      </c>
      <c r="I23" s="286">
        <f>H23*(1+Model!P28)</f>
        <v>1819.4359003887012</v>
      </c>
      <c r="J23" s="286">
        <f>I23*(1+Model!Q28)</f>
        <v>1866.4084691360347</v>
      </c>
      <c r="K23" s="286">
        <f>J23*(1+Model!R28)</f>
        <v>1913.8455838147311</v>
      </c>
      <c r="L23" s="286">
        <f>K23*(1+Model!S28)</f>
        <v>1962.1047994095236</v>
      </c>
      <c r="M23" s="286">
        <f>L23*(1+Model!T28)</f>
        <v>2011.1876729764967</v>
      </c>
      <c r="N23" s="286">
        <f>M23*(1+Model!U28)</f>
        <v>2062.102990956233</v>
      </c>
      <c r="O23" s="286">
        <f>N23*(1+Model!V28)</f>
        <v>2115.1338705244339</v>
      </c>
      <c r="P23" s="286">
        <f>O23*(1+Model!W28)</f>
        <v>2170.3764120895939</v>
      </c>
      <c r="Q23" s="286">
        <f>P23*(1+Model!X28)</f>
        <v>2228.3668447022387</v>
      </c>
      <c r="R23" s="286">
        <f>Q23*(1+Model!Y28)</f>
        <v>2288.8000651593566</v>
      </c>
      <c r="S23" s="286">
        <f>R23*(1+Model!Z28)</f>
        <v>2351.5604258800554</v>
      </c>
      <c r="T23" s="286"/>
      <c r="U23" s="286"/>
      <c r="V23" s="286"/>
      <c r="W23" s="286"/>
    </row>
    <row r="24" spans="1:23" x14ac:dyDescent="0.2">
      <c r="A24" s="350" t="s">
        <v>56</v>
      </c>
      <c r="B24" s="8">
        <v>812</v>
      </c>
      <c r="C24" s="286">
        <f>B24*(1+Model!J29)</f>
        <v>812</v>
      </c>
      <c r="D24" s="286">
        <f>C24*(1+Model!K29)</f>
        <v>812</v>
      </c>
      <c r="E24" s="286">
        <f>D24*(1+Model!L29)</f>
        <v>812</v>
      </c>
      <c r="F24" s="286">
        <f>E24*(1+Model!M29)</f>
        <v>812</v>
      </c>
      <c r="G24" s="286">
        <f>F24*(1+Model!N29)</f>
        <v>812</v>
      </c>
      <c r="H24" s="286">
        <f>G24*(1+Model!O29)</f>
        <v>812</v>
      </c>
      <c r="I24" s="286">
        <f>H24*(1+Model!P29)</f>
        <v>812</v>
      </c>
      <c r="J24" s="286">
        <f>I24*(1+Model!Q29)</f>
        <v>812</v>
      </c>
      <c r="K24" s="286">
        <f>J24*(1+Model!R29)</f>
        <v>812</v>
      </c>
      <c r="L24" s="286">
        <f>K24*(1+Model!S29)</f>
        <v>812</v>
      </c>
      <c r="M24" s="286">
        <f>L24*(1+Model!T29)</f>
        <v>812</v>
      </c>
      <c r="N24" s="286">
        <f>M24*(1+Model!U29)</f>
        <v>812</v>
      </c>
      <c r="O24" s="286">
        <f>N24*(1+Model!V29)</f>
        <v>812</v>
      </c>
      <c r="P24" s="286">
        <f>O24*(1+Model!W29)</f>
        <v>812</v>
      </c>
      <c r="Q24" s="286">
        <f>P24*(1+Model!X29)</f>
        <v>812</v>
      </c>
      <c r="R24" s="286">
        <f>Q24*(1+Model!Y29)</f>
        <v>812</v>
      </c>
      <c r="S24" s="286">
        <f>R24*(1+Model!Z29)</f>
        <v>812</v>
      </c>
      <c r="T24" s="286"/>
      <c r="U24" s="286"/>
      <c r="V24" s="286"/>
      <c r="W24" s="286"/>
    </row>
    <row r="25" spans="1:23" x14ac:dyDescent="0.2">
      <c r="A25" s="350" t="s">
        <v>57</v>
      </c>
      <c r="B25" s="8">
        <f>Model!I143</f>
        <v>706</v>
      </c>
      <c r="C25" s="286">
        <f>B25*(1+Model!J28)</f>
        <v>727.19894702082627</v>
      </c>
      <c r="D25" s="286">
        <f>C25*(1+Model!K28)</f>
        <v>748.30545032429075</v>
      </c>
      <c r="E25" s="286">
        <f>D25*(1+Model!L28)</f>
        <v>769.64951073248153</v>
      </c>
      <c r="F25" s="286">
        <f>E25*(1+Model!M28)</f>
        <v>791.21664423103118</v>
      </c>
      <c r="G25" s="286">
        <f>F25*(1+Model!N28)</f>
        <v>812.75370828216467</v>
      </c>
      <c r="H25" s="286">
        <f>G25*(1+Model!O28)</f>
        <v>834.46972900938783</v>
      </c>
      <c r="I25" s="286">
        <f>H25*(1+Model!P28)</f>
        <v>856.34783044961546</v>
      </c>
      <c r="J25" s="286">
        <f>I25*(1+Model!Q28)</f>
        <v>878.45625280669378</v>
      </c>
      <c r="K25" s="286">
        <f>J25*(1+Model!R28)</f>
        <v>900.78332144880017</v>
      </c>
      <c r="L25" s="286">
        <f>K25*(1+Model!S28)</f>
        <v>923.49732558874916</v>
      </c>
      <c r="M25" s="286">
        <f>L25*(1+Model!T28)</f>
        <v>946.59899808093792</v>
      </c>
      <c r="N25" s="286">
        <f>M25*(1+Model!U28)</f>
        <v>970.56314107673381</v>
      </c>
      <c r="O25" s="286">
        <f>N25*(1+Model!V28)</f>
        <v>995.52300839350039</v>
      </c>
      <c r="P25" s="286">
        <f>O25*(1+Model!W28)</f>
        <v>1021.523831290169</v>
      </c>
      <c r="Q25" s="286">
        <f>P25*(1+Model!X28)</f>
        <v>1048.8179949065204</v>
      </c>
      <c r="R25" s="286">
        <f>Q25*(1+Model!Y28)</f>
        <v>1077.2618973350038</v>
      </c>
      <c r="S25" s="286">
        <f>R25*(1+Model!Z28)</f>
        <v>1106.8011071142128</v>
      </c>
      <c r="T25" s="286"/>
      <c r="U25" s="286"/>
      <c r="V25" s="286"/>
      <c r="W25" s="286"/>
    </row>
    <row r="26" spans="1:23" x14ac:dyDescent="0.2">
      <c r="A26" s="350" t="s">
        <v>58</v>
      </c>
      <c r="B26" s="8">
        <v>870</v>
      </c>
      <c r="C26" s="286">
        <f>B26*(1+Model!J31)</f>
        <v>870</v>
      </c>
      <c r="D26" s="286">
        <f>C26*(1+Model!K31)</f>
        <v>870</v>
      </c>
      <c r="E26" s="286">
        <f>D26*(1+Model!L31)</f>
        <v>870</v>
      </c>
      <c r="F26" s="286">
        <f>E26*(1+Model!M31)</f>
        <v>870</v>
      </c>
      <c r="G26" s="286">
        <f>F26*(1+Model!N31)</f>
        <v>870</v>
      </c>
      <c r="H26" s="286">
        <f>G26*(1+Model!O31)</f>
        <v>870</v>
      </c>
      <c r="I26" s="286">
        <f>H26*(1+Model!P31)</f>
        <v>870</v>
      </c>
      <c r="J26" s="286">
        <f>I26*(1+Model!Q31)</f>
        <v>870</v>
      </c>
      <c r="K26" s="286">
        <f>J26*(1+Model!R31)</f>
        <v>870</v>
      </c>
      <c r="L26" s="286">
        <f>K26*(1+Model!S31)</f>
        <v>870</v>
      </c>
      <c r="M26" s="286">
        <f>L26*(1+Model!T31)</f>
        <v>870</v>
      </c>
      <c r="N26" s="286">
        <f>M26*(1+Model!U31)</f>
        <v>870</v>
      </c>
      <c r="O26" s="286">
        <f>N26*(1+Model!V31)</f>
        <v>870</v>
      </c>
      <c r="P26" s="286">
        <f>O26*(1+Model!W31)</f>
        <v>870</v>
      </c>
      <c r="Q26" s="286">
        <f>P26*(1+Model!X31)</f>
        <v>870</v>
      </c>
      <c r="R26" s="286">
        <f>Q26*(1+Model!Y31)</f>
        <v>870</v>
      </c>
      <c r="S26" s="286">
        <f>R26*(1+Model!Z31)</f>
        <v>870</v>
      </c>
      <c r="T26" s="286"/>
      <c r="U26" s="286"/>
      <c r="V26" s="286"/>
      <c r="W26" s="286"/>
    </row>
    <row r="27" spans="1:23" x14ac:dyDescent="0.2">
      <c r="A27" s="350" t="s">
        <v>59</v>
      </c>
      <c r="B27" s="8">
        <v>0</v>
      </c>
      <c r="C27" s="286">
        <f>B27*(1+Model!J32)</f>
        <v>0</v>
      </c>
      <c r="D27" s="286">
        <f>C27*(1+Model!K32)</f>
        <v>0</v>
      </c>
      <c r="E27" s="286">
        <f>D27*(1+Model!L32)</f>
        <v>0</v>
      </c>
      <c r="F27" s="286">
        <f>E27*(1+Model!M32)</f>
        <v>0</v>
      </c>
      <c r="G27" s="286">
        <f>F27*(1+Model!N32)</f>
        <v>0</v>
      </c>
      <c r="H27" s="286">
        <f>G27*(1+Model!O32)</f>
        <v>0</v>
      </c>
      <c r="I27" s="286">
        <f>H27*(1+Model!P32)</f>
        <v>0</v>
      </c>
      <c r="J27" s="286">
        <f>I27*(1+Model!Q32)</f>
        <v>0</v>
      </c>
      <c r="K27" s="286">
        <f>J27*(1+Model!R32)</f>
        <v>0</v>
      </c>
      <c r="L27" s="286">
        <f>K27*(1+Model!S32)</f>
        <v>0</v>
      </c>
      <c r="M27" s="286">
        <f>L27*(1+Model!T32)</f>
        <v>0</v>
      </c>
      <c r="N27" s="286">
        <f>M27*(1+Model!U32)</f>
        <v>0</v>
      </c>
      <c r="O27" s="286">
        <f>N27*(1+Model!V32)</f>
        <v>0</v>
      </c>
      <c r="P27" s="286">
        <f>O27*(1+Model!W32)</f>
        <v>0</v>
      </c>
      <c r="Q27" s="286">
        <f>P27*(1+Model!X32)</f>
        <v>0</v>
      </c>
      <c r="R27" s="286">
        <f>Q27*(1+Model!Y32)</f>
        <v>0</v>
      </c>
      <c r="S27" s="286">
        <f>R27*(1+Model!Z32)</f>
        <v>0</v>
      </c>
      <c r="T27" s="286"/>
      <c r="U27" s="286"/>
      <c r="V27" s="286"/>
      <c r="W27" s="286"/>
    </row>
    <row r="28" spans="1:23" x14ac:dyDescent="0.2">
      <c r="A28" s="350" t="s">
        <v>61</v>
      </c>
      <c r="B28" s="9">
        <v>0</v>
      </c>
      <c r="C28" s="291">
        <f>B28*(1+Model!J33)</f>
        <v>0</v>
      </c>
      <c r="D28" s="291">
        <f>C28*(1+Model!K33)</f>
        <v>0</v>
      </c>
      <c r="E28" s="291">
        <f>D28*(1+Model!L33)</f>
        <v>0</v>
      </c>
      <c r="F28" s="291">
        <f>E28*(1+Model!M33)</f>
        <v>0</v>
      </c>
      <c r="G28" s="291">
        <f>F28*(1+Model!N33)</f>
        <v>0</v>
      </c>
      <c r="H28" s="291">
        <f>G28*(1+Model!O33)</f>
        <v>0</v>
      </c>
      <c r="I28" s="291">
        <f>H28*(1+Model!P33)</f>
        <v>0</v>
      </c>
      <c r="J28" s="291">
        <f>I28*(1+Model!Q33)</f>
        <v>0</v>
      </c>
      <c r="K28" s="291">
        <f>J28*(1+Model!R33)</f>
        <v>0</v>
      </c>
      <c r="L28" s="291">
        <f>K28*(1+Model!S33)</f>
        <v>0</v>
      </c>
      <c r="M28" s="291">
        <f>L28*(1+Model!T33)</f>
        <v>0</v>
      </c>
      <c r="N28" s="291">
        <f>M28*(1+Model!U33)</f>
        <v>0</v>
      </c>
      <c r="O28" s="291">
        <f>N28*(1+Model!V33)</f>
        <v>0</v>
      </c>
      <c r="P28" s="291">
        <f>O28*(1+Model!W33)</f>
        <v>0</v>
      </c>
      <c r="Q28" s="291">
        <f>P28*(1+Model!X33)</f>
        <v>0</v>
      </c>
      <c r="R28" s="291">
        <f>Q28*(1+Model!Y33)</f>
        <v>0</v>
      </c>
      <c r="S28" s="291">
        <f>R28*(1+Model!Z33)</f>
        <v>0</v>
      </c>
      <c r="T28" s="286"/>
      <c r="U28" s="286"/>
      <c r="V28" s="286"/>
      <c r="W28" s="286"/>
    </row>
    <row r="29" spans="1:23" x14ac:dyDescent="0.2">
      <c r="A29" s="277" t="s">
        <v>293</v>
      </c>
      <c r="B29" s="292">
        <f>SUM(B23:B28)</f>
        <v>3888</v>
      </c>
      <c r="C29" s="292">
        <f>SUM(C23:C28)</f>
        <v>3954.2392027307969</v>
      </c>
      <c r="D29" s="292">
        <f t="shared" ref="D29:S29" si="0">SUM(D23:D28)</f>
        <v>4020.1895515798656</v>
      </c>
      <c r="E29" s="292">
        <f t="shared" si="0"/>
        <v>4086.8821822604168</v>
      </c>
      <c r="F29" s="292">
        <f t="shared" si="0"/>
        <v>4154.2718373564512</v>
      </c>
      <c r="G29" s="292">
        <f t="shared" si="0"/>
        <v>4221.567536077132</v>
      </c>
      <c r="H29" s="292">
        <f t="shared" si="0"/>
        <v>4289.4224110406649</v>
      </c>
      <c r="I29" s="292">
        <f t="shared" si="0"/>
        <v>4357.7837308383168</v>
      </c>
      <c r="J29" s="292">
        <f t="shared" si="0"/>
        <v>4426.8647219427285</v>
      </c>
      <c r="K29" s="292">
        <f t="shared" si="0"/>
        <v>4496.6289052635311</v>
      </c>
      <c r="L29" s="292">
        <f t="shared" si="0"/>
        <v>4567.6021249982723</v>
      </c>
      <c r="M29" s="292">
        <f t="shared" si="0"/>
        <v>4639.7866710574344</v>
      </c>
      <c r="N29" s="292">
        <f t="shared" si="0"/>
        <v>4714.6661320329667</v>
      </c>
      <c r="O29" s="292">
        <f t="shared" si="0"/>
        <v>4792.6568789179346</v>
      </c>
      <c r="P29" s="292">
        <f t="shared" si="0"/>
        <v>4873.9002433797632</v>
      </c>
      <c r="Q29" s="292">
        <f t="shared" si="0"/>
        <v>4959.1848396087589</v>
      </c>
      <c r="R29" s="292">
        <f t="shared" si="0"/>
        <v>5048.0619624943602</v>
      </c>
      <c r="S29" s="292">
        <f t="shared" si="0"/>
        <v>5140.3615329942677</v>
      </c>
      <c r="T29" s="286"/>
      <c r="U29" s="286"/>
      <c r="V29" s="286"/>
      <c r="W29" s="286"/>
    </row>
    <row r="30" spans="1:23" x14ac:dyDescent="0.2"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</row>
    <row r="31" spans="1:23" x14ac:dyDescent="0.2">
      <c r="A31" s="277" t="s">
        <v>65</v>
      </c>
      <c r="B31" s="286">
        <v>0</v>
      </c>
      <c r="C31" s="286">
        <f>C16-(C29*1000)</f>
        <v>11474320.751537526</v>
      </c>
      <c r="D31" s="286">
        <f t="shared" ref="D31:S31" si="1">D16-(D29*1000)</f>
        <v>11416055.081342183</v>
      </c>
      <c r="E31" s="286">
        <f t="shared" si="1"/>
        <v>11678023.193432437</v>
      </c>
      <c r="F31" s="286">
        <f t="shared" si="1"/>
        <v>12395513.200637652</v>
      </c>
      <c r="G31" s="286">
        <f t="shared" si="1"/>
        <v>13905535.973412128</v>
      </c>
      <c r="H31" s="286">
        <f t="shared" si="1"/>
        <v>14867249.777967624</v>
      </c>
      <c r="I31" s="286">
        <f t="shared" si="1"/>
        <v>15379335.741776224</v>
      </c>
      <c r="J31" s="286">
        <f t="shared" si="1"/>
        <v>16200059.466575088</v>
      </c>
      <c r="K31" s="286">
        <f t="shared" si="1"/>
        <v>16536267.281245589</v>
      </c>
      <c r="L31" s="286">
        <f t="shared" si="1"/>
        <v>16679385.639730427</v>
      </c>
      <c r="M31" s="286">
        <f t="shared" si="1"/>
        <v>16845485.631693937</v>
      </c>
      <c r="N31" s="286">
        <f t="shared" si="1"/>
        <v>16774273.411899447</v>
      </c>
      <c r="O31" s="286">
        <f t="shared" si="1"/>
        <v>16585158.210158629</v>
      </c>
      <c r="P31" s="286">
        <f t="shared" si="1"/>
        <v>16876870.535464801</v>
      </c>
      <c r="Q31" s="286">
        <f t="shared" si="1"/>
        <v>16500290.567176852</v>
      </c>
      <c r="R31" s="286">
        <f t="shared" si="1"/>
        <v>16400418.745513594</v>
      </c>
      <c r="S31" s="286">
        <f t="shared" si="1"/>
        <v>8570729.9124960415</v>
      </c>
      <c r="T31" s="286"/>
      <c r="U31" s="286"/>
      <c r="V31" s="286"/>
      <c r="W31" s="286"/>
    </row>
    <row r="32" spans="1:23" x14ac:dyDescent="0.2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</row>
    <row r="33" spans="1:23" ht="13.5" thickBot="1" x14ac:dyDescent="0.25">
      <c r="A33" s="277" t="s">
        <v>365</v>
      </c>
      <c r="B33" s="286">
        <f>B20/300000</f>
        <v>383.03422677471957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</row>
    <row r="34" spans="1:23" ht="13.5" thickBot="1" x14ac:dyDescent="0.25">
      <c r="A34" s="295" t="s">
        <v>299</v>
      </c>
      <c r="B34" s="296">
        <f>NPV(0.14,B$31:$S31)/1000*0.5</f>
        <v>38556.784200112532</v>
      </c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</row>
    <row r="35" spans="1:23" x14ac:dyDescent="0.2">
      <c r="A35" s="295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</row>
    <row r="36" spans="1:23" x14ac:dyDescent="0.2">
      <c r="A36" s="289" t="s">
        <v>210</v>
      </c>
    </row>
    <row r="37" spans="1:23" x14ac:dyDescent="0.2">
      <c r="A37" t="s">
        <v>364</v>
      </c>
    </row>
    <row r="38" spans="1:23" x14ac:dyDescent="0.2">
      <c r="A38" t="s">
        <v>361</v>
      </c>
    </row>
    <row r="39" spans="1:23" x14ac:dyDescent="0.2">
      <c r="A39" t="s">
        <v>350</v>
      </c>
    </row>
    <row r="40" spans="1:23" x14ac:dyDescent="0.2">
      <c r="A40" t="s">
        <v>351</v>
      </c>
    </row>
    <row r="41" spans="1:23" x14ac:dyDescent="0.2">
      <c r="A41" t="s">
        <v>352</v>
      </c>
    </row>
    <row r="42" spans="1:23" x14ac:dyDescent="0.2">
      <c r="A42" t="s">
        <v>289</v>
      </c>
    </row>
    <row r="43" spans="1:23" x14ac:dyDescent="0.2">
      <c r="A43" t="s">
        <v>354</v>
      </c>
    </row>
    <row r="44" spans="1:23" x14ac:dyDescent="0.2">
      <c r="A44" t="s">
        <v>355</v>
      </c>
    </row>
    <row r="45" spans="1:23" x14ac:dyDescent="0.2">
      <c r="A45" s="277" t="s">
        <v>1</v>
      </c>
    </row>
    <row r="46" spans="1:23" x14ac:dyDescent="0.2">
      <c r="A46" s="277" t="s">
        <v>1</v>
      </c>
    </row>
    <row r="47" spans="1:23" x14ac:dyDescent="0.2">
      <c r="A47" s="277" t="s">
        <v>1</v>
      </c>
    </row>
    <row r="48" spans="1:23" x14ac:dyDescent="0.2">
      <c r="A48" s="277" t="s">
        <v>1</v>
      </c>
    </row>
  </sheetData>
  <pageMargins left="0.75" right="0.75" top="1" bottom="1" header="0.5" footer="0.5"/>
  <pageSetup scale="65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A30" sqref="A30"/>
    </sheetView>
  </sheetViews>
  <sheetFormatPr defaultColWidth="21.85546875" defaultRowHeight="12.75" x14ac:dyDescent="0.2"/>
  <cols>
    <col min="1" max="1" width="43.85546875" style="277" customWidth="1"/>
    <col min="2" max="2" width="19.28515625" style="277" customWidth="1"/>
    <col min="3" max="3" width="18.42578125" style="277" customWidth="1"/>
    <col min="4" max="4" width="17.7109375" style="277" customWidth="1"/>
    <col min="5" max="5" width="17" style="277" customWidth="1"/>
    <col min="6" max="7" width="18" style="277" customWidth="1"/>
    <col min="8" max="8" width="18.85546875" style="277" customWidth="1"/>
    <col min="9" max="9" width="19" style="277" customWidth="1"/>
    <col min="10" max="16384" width="21.85546875" style="277"/>
  </cols>
  <sheetData>
    <row r="1" spans="1:23" ht="18" x14ac:dyDescent="0.25">
      <c r="A1" s="275" t="s">
        <v>290</v>
      </c>
    </row>
    <row r="2" spans="1:23" ht="13.5" customHeight="1" x14ac:dyDescent="0.25">
      <c r="A2" s="278" t="s">
        <v>278</v>
      </c>
      <c r="B2" s="279" t="s">
        <v>279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23" x14ac:dyDescent="0.2">
      <c r="A3"/>
      <c r="B3" s="281">
        <v>2001</v>
      </c>
      <c r="C3" s="282">
        <v>2002</v>
      </c>
      <c r="D3" s="282">
        <v>2003</v>
      </c>
      <c r="E3" s="282">
        <v>2004</v>
      </c>
      <c r="F3" s="282">
        <v>2005</v>
      </c>
      <c r="G3" s="282">
        <v>2006</v>
      </c>
      <c r="H3" s="282">
        <v>2007</v>
      </c>
      <c r="I3" s="282">
        <v>2008</v>
      </c>
      <c r="J3" s="282">
        <v>2009</v>
      </c>
      <c r="K3" s="282">
        <v>2010</v>
      </c>
      <c r="L3" s="282">
        <v>2011</v>
      </c>
      <c r="M3" s="282">
        <v>2012</v>
      </c>
      <c r="N3" s="282">
        <v>2013</v>
      </c>
      <c r="O3" s="282">
        <v>2014</v>
      </c>
      <c r="P3" s="282">
        <v>2015</v>
      </c>
      <c r="Q3" s="282">
        <v>2016</v>
      </c>
      <c r="R3" s="282">
        <v>2017</v>
      </c>
      <c r="S3" s="282">
        <v>2018</v>
      </c>
    </row>
    <row r="4" spans="1:23" x14ac:dyDescent="0.2">
      <c r="A4" s="283" t="s">
        <v>4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23" x14ac:dyDescent="0.2">
      <c r="A5" s="245" t="s">
        <v>280</v>
      </c>
      <c r="B5" s="285">
        <v>3.3758421434043959</v>
      </c>
      <c r="C5" s="285">
        <v>2.6462259537037314</v>
      </c>
      <c r="D5" s="285">
        <v>2.1625115341626158</v>
      </c>
      <c r="E5" s="285">
        <v>2.0452214059005684</v>
      </c>
      <c r="F5" s="285">
        <v>2.0028434618727387</v>
      </c>
      <c r="G5" s="285">
        <v>2.0093351957071692</v>
      </c>
      <c r="H5" s="285">
        <v>2.0607837648885323</v>
      </c>
      <c r="I5" s="285">
        <v>2.1002863738482169</v>
      </c>
      <c r="J5" s="285">
        <v>2.2394445344900342</v>
      </c>
      <c r="K5" s="285">
        <v>2.223987729646558</v>
      </c>
      <c r="L5" s="285">
        <v>2.2996782060063619</v>
      </c>
      <c r="M5" s="285">
        <v>2.4272583348511745</v>
      </c>
      <c r="N5" s="285">
        <v>2.5503319281159893</v>
      </c>
      <c r="O5" s="285">
        <v>2.5746725293088857</v>
      </c>
      <c r="P5" s="285">
        <v>2.7305396283782155</v>
      </c>
      <c r="Q5" s="285">
        <v>2.7275205352998566</v>
      </c>
      <c r="R5" s="285">
        <v>2.8152626112939143</v>
      </c>
      <c r="S5" s="285">
        <v>2.960028598678317</v>
      </c>
      <c r="T5" s="277" t="e">
        <v>#DIV/0!</v>
      </c>
      <c r="U5" s="277" t="e">
        <v>#DIV/0!</v>
      </c>
      <c r="V5" s="277" t="e">
        <v>#DIV/0!</v>
      </c>
      <c r="W5" s="277" t="e">
        <v>#DIV/0!</v>
      </c>
    </row>
    <row r="6" spans="1:23" x14ac:dyDescent="0.2">
      <c r="A6" s="245" t="s">
        <v>281</v>
      </c>
      <c r="B6" s="246">
        <v>14332413.634845082</v>
      </c>
      <c r="C6" s="246">
        <v>13915686.453760369</v>
      </c>
      <c r="D6" s="246">
        <v>14017937.853508536</v>
      </c>
      <c r="E6" s="246">
        <v>13824990.75520521</v>
      </c>
      <c r="F6" s="246">
        <v>13820274.244639913</v>
      </c>
      <c r="G6" s="246">
        <v>13735980.876176625</v>
      </c>
      <c r="H6" s="246">
        <v>13905331.491129167</v>
      </c>
      <c r="I6" s="246">
        <v>14014738.659134943</v>
      </c>
      <c r="J6" s="246">
        <v>14347297.101307701</v>
      </c>
      <c r="K6" s="246">
        <v>14039293.180247925</v>
      </c>
      <c r="L6" s="246">
        <v>14496150.588471131</v>
      </c>
      <c r="M6" s="246">
        <v>14898717.801639074</v>
      </c>
      <c r="N6" s="246">
        <v>15495414.527174078</v>
      </c>
      <c r="O6" s="246">
        <v>15299619.04625017</v>
      </c>
      <c r="P6" s="246">
        <v>15855699.676308602</v>
      </c>
      <c r="Q6" s="246">
        <v>15963155.299978305</v>
      </c>
      <c r="R6" s="246">
        <v>16261145.149053641</v>
      </c>
      <c r="S6" s="246">
        <v>16658619.673753172</v>
      </c>
      <c r="T6" s="277">
        <v>0</v>
      </c>
      <c r="U6" s="277">
        <v>0</v>
      </c>
      <c r="V6" s="277">
        <v>0</v>
      </c>
      <c r="W6" s="277">
        <v>0</v>
      </c>
    </row>
    <row r="7" spans="1:23" x14ac:dyDescent="0.2">
      <c r="A7" s="245"/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</row>
    <row r="8" spans="1:23" x14ac:dyDescent="0.2">
      <c r="A8" s="247" t="s">
        <v>282</v>
      </c>
      <c r="B8" s="246">
        <v>12153031.716255823</v>
      </c>
      <c r="C8" s="246">
        <v>9526413.4333334323</v>
      </c>
      <c r="D8" s="246">
        <v>7785041.5229854155</v>
      </c>
      <c r="E8" s="246">
        <v>7362797.0612420477</v>
      </c>
      <c r="F8" s="246">
        <v>7210236.4627418602</v>
      </c>
      <c r="G8" s="246">
        <v>7233606.7045458099</v>
      </c>
      <c r="H8" s="246">
        <v>7418821.5535987169</v>
      </c>
      <c r="I8" s="246">
        <v>7561030.9458535807</v>
      </c>
      <c r="J8" s="246">
        <v>8062000.3241641233</v>
      </c>
      <c r="K8" s="246">
        <v>8006355.8267276082</v>
      </c>
      <c r="L8" s="246">
        <v>8278841.5416229032</v>
      </c>
      <c r="M8" s="246">
        <v>8738130.0054642279</v>
      </c>
      <c r="N8" s="246">
        <v>9181194.9412175622</v>
      </c>
      <c r="O8" s="246">
        <v>9268821.1055119876</v>
      </c>
      <c r="P8" s="246">
        <v>9829942.6621615775</v>
      </c>
      <c r="Q8" s="246">
        <v>9819073.9270794839</v>
      </c>
      <c r="R8" s="246">
        <v>10134945.400658093</v>
      </c>
      <c r="S8" s="246">
        <v>10656102.955241941</v>
      </c>
    </row>
    <row r="9" spans="1:23" x14ac:dyDescent="0.2">
      <c r="A9" t="s">
        <v>283</v>
      </c>
      <c r="B9" s="287">
        <v>2.4761563081440712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7"/>
    </row>
    <row r="10" spans="1:23" x14ac:dyDescent="0.2">
      <c r="A10"/>
      <c r="B10" s="248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23" x14ac:dyDescent="0.2">
      <c r="A11" s="283" t="s">
        <v>38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3" x14ac:dyDescent="0.2">
      <c r="A12" s="245" t="s">
        <v>284</v>
      </c>
      <c r="B12" s="246">
        <v>10868257.997142591</v>
      </c>
      <c r="C12" s="246">
        <v>10420195.47127318</v>
      </c>
      <c r="D12" s="246">
        <v>10611579.126259752</v>
      </c>
      <c r="E12" s="246">
        <v>10480221.407084465</v>
      </c>
      <c r="F12" s="246">
        <v>10507263.320421163</v>
      </c>
      <c r="G12" s="246">
        <v>10480336.431160536</v>
      </c>
      <c r="H12" s="246">
        <v>10649941.370214857</v>
      </c>
      <c r="I12" s="246">
        <v>10780335.585436473</v>
      </c>
      <c r="J12" s="246">
        <v>11070621.360471515</v>
      </c>
      <c r="K12" s="246">
        <v>10872305.735035043</v>
      </c>
      <c r="L12" s="246">
        <v>11279326.206048964</v>
      </c>
      <c r="M12" s="246">
        <v>11645617.573191682</v>
      </c>
      <c r="N12" s="246">
        <v>12139465.75585258</v>
      </c>
      <c r="O12" s="246">
        <v>12065060.815489674</v>
      </c>
      <c r="P12" s="246">
        <v>12552520.355615731</v>
      </c>
      <c r="Q12" s="246">
        <v>12694049.797130244</v>
      </c>
      <c r="R12" s="246">
        <v>12985718.191215396</v>
      </c>
      <c r="S12" s="246">
        <v>13359761.533532195</v>
      </c>
      <c r="T12" s="277">
        <v>0</v>
      </c>
      <c r="U12" s="277">
        <v>0</v>
      </c>
      <c r="V12" s="277">
        <v>0</v>
      </c>
      <c r="W12" s="277">
        <v>0</v>
      </c>
    </row>
    <row r="13" spans="1:23" x14ac:dyDescent="0.2">
      <c r="A13" t="s">
        <v>285</v>
      </c>
      <c r="B13" s="246">
        <v>2417112.3157243081</v>
      </c>
      <c r="C13" s="246">
        <v>2438976.531919512</v>
      </c>
      <c r="D13" s="246">
        <v>2376784.5595034254</v>
      </c>
      <c r="E13" s="246">
        <v>2333810.6107616359</v>
      </c>
      <c r="F13" s="246">
        <v>2311651.1913908557</v>
      </c>
      <c r="G13" s="246">
        <v>2271623.7682920331</v>
      </c>
      <c r="H13" s="246">
        <v>2271446.3138174382</v>
      </c>
      <c r="I13" s="246">
        <v>2256802.6154385349</v>
      </c>
      <c r="J13" s="246">
        <v>2286298.3411054262</v>
      </c>
      <c r="K13" s="246">
        <v>2209763.4050429892</v>
      </c>
      <c r="L13" s="246">
        <v>2244537.0951726958</v>
      </c>
      <c r="M13" s="246">
        <v>2269848.5428561037</v>
      </c>
      <c r="N13" s="246">
        <v>2341611.0459404532</v>
      </c>
      <c r="O13" s="246">
        <v>2256910.8761764234</v>
      </c>
      <c r="P13" s="246">
        <v>2304791.1965028988</v>
      </c>
      <c r="Q13" s="246">
        <v>2281016.2125327643</v>
      </c>
      <c r="R13" s="246">
        <v>2285427.003590697</v>
      </c>
      <c r="S13" s="246">
        <v>2301776.0956733059</v>
      </c>
      <c r="T13" s="277">
        <v>0</v>
      </c>
      <c r="U13" s="277">
        <v>0</v>
      </c>
      <c r="V13" s="277">
        <v>0</v>
      </c>
      <c r="W13" s="277">
        <v>0</v>
      </c>
    </row>
    <row r="14" spans="1:23" x14ac:dyDescent="0.2">
      <c r="A14" s="245" t="s">
        <v>286</v>
      </c>
      <c r="B14" s="246">
        <v>1047043.3219781823</v>
      </c>
      <c r="C14" s="246">
        <v>1056514.4505676767</v>
      </c>
      <c r="D14" s="246">
        <v>1029574.1677453613</v>
      </c>
      <c r="E14" s="246">
        <v>1010958.737359107</v>
      </c>
      <c r="F14" s="246">
        <v>1001359.7328278937</v>
      </c>
      <c r="G14" s="246">
        <v>984020.67672405741</v>
      </c>
      <c r="H14" s="246">
        <v>983943.80709687015</v>
      </c>
      <c r="I14" s="246">
        <v>977600.45825993409</v>
      </c>
      <c r="J14" s="246">
        <v>990377.39973075863</v>
      </c>
      <c r="K14" s="246">
        <v>957224.04016989411</v>
      </c>
      <c r="L14" s="246">
        <v>972287.28724947292</v>
      </c>
      <c r="M14" s="246">
        <v>983251.68559128966</v>
      </c>
      <c r="N14" s="246">
        <v>1014337.7253810422</v>
      </c>
      <c r="O14" s="246">
        <v>977647.35458407295</v>
      </c>
      <c r="P14" s="246">
        <v>998388.12418996939</v>
      </c>
      <c r="Q14" s="246">
        <v>988089.29031529767</v>
      </c>
      <c r="R14" s="246">
        <v>989999.95424754638</v>
      </c>
      <c r="S14" s="246">
        <v>997082.04454767099</v>
      </c>
      <c r="T14" s="277">
        <v>0</v>
      </c>
      <c r="U14" s="277">
        <v>0</v>
      </c>
      <c r="V14" s="277">
        <v>0</v>
      </c>
      <c r="W14" s="277">
        <v>0</v>
      </c>
    </row>
    <row r="15" spans="1:23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3" x14ac:dyDescent="0.2">
      <c r="A16" t="s">
        <v>287</v>
      </c>
      <c r="B16" s="246">
        <v>0</v>
      </c>
      <c r="C16" s="246">
        <v>0</v>
      </c>
      <c r="D16" s="246">
        <v>-2.5611370801925659E-9</v>
      </c>
      <c r="E16" s="246">
        <v>2.3283064365386963E-9</v>
      </c>
      <c r="F16" s="246">
        <v>0</v>
      </c>
      <c r="G16" s="246">
        <v>0</v>
      </c>
      <c r="H16" s="246">
        <v>1.862645149230957E-9</v>
      </c>
      <c r="I16" s="246">
        <v>1.3969838619232178E-9</v>
      </c>
      <c r="J16" s="246">
        <v>1.5133991837501526E-9</v>
      </c>
      <c r="K16" s="246">
        <v>-1.280568540096283E-9</v>
      </c>
      <c r="L16" s="246">
        <v>-9.3132257461547852E-10</v>
      </c>
      <c r="M16" s="246">
        <v>0</v>
      </c>
      <c r="N16" s="246">
        <v>2.4447217583656311E-9</v>
      </c>
      <c r="O16" s="246">
        <v>0</v>
      </c>
      <c r="P16" s="246">
        <v>2.5611370801925659E-9</v>
      </c>
      <c r="Q16" s="246">
        <v>-1.1641532182693481E-9</v>
      </c>
      <c r="R16" s="246">
        <v>1.3969838619232178E-9</v>
      </c>
      <c r="S16" s="246">
        <v>0</v>
      </c>
      <c r="T16" s="277">
        <v>0</v>
      </c>
      <c r="U16" s="277">
        <v>0</v>
      </c>
      <c r="V16" s="277">
        <v>0</v>
      </c>
      <c r="W16" s="277">
        <v>0</v>
      </c>
    </row>
    <row r="17" spans="1:19" x14ac:dyDescent="0.2">
      <c r="A17"/>
      <c r="B17" s="246"/>
      <c r="C17" s="246"/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</row>
    <row r="18" spans="1:19" x14ac:dyDescent="0.2">
      <c r="A18" t="s">
        <v>292</v>
      </c>
      <c r="B18" s="246">
        <v>17431106.54248612</v>
      </c>
      <c r="C18" s="246">
        <v>15854941.030910965</v>
      </c>
      <c r="D18" s="246">
        <v>14942349.674436497</v>
      </c>
      <c r="E18" s="246">
        <v>14457181.271412656</v>
      </c>
      <c r="F18" s="246">
        <v>14702386.123678146</v>
      </c>
      <c r="G18" s="246">
        <v>15654794.467768608</v>
      </c>
      <c r="H18" s="246">
        <v>15936999.415929368</v>
      </c>
      <c r="I18" s="246">
        <v>16126032.742384227</v>
      </c>
      <c r="J18" s="246">
        <v>16614425.084863806</v>
      </c>
      <c r="K18" s="246">
        <v>16779877.850948665</v>
      </c>
      <c r="L18" s="246">
        <v>16955188.9295201</v>
      </c>
      <c r="M18" s="246">
        <v>17200567.233956218</v>
      </c>
      <c r="N18" s="246">
        <v>17300139.173784897</v>
      </c>
      <c r="O18" s="246">
        <v>17297236.492053512</v>
      </c>
      <c r="P18" s="246">
        <v>17627130.185031358</v>
      </c>
      <c r="Q18" s="246">
        <v>17417319.849934213</v>
      </c>
      <c r="R18" s="246">
        <v>17483359.340758983</v>
      </c>
      <c r="S18" s="246">
        <f>S8</f>
        <v>10656102.955241941</v>
      </c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 s="277" t="s">
        <v>288</v>
      </c>
      <c r="B20" s="286">
        <f>NPV(0.14,B18:$S$18)</f>
        <v>103558023.70254715</v>
      </c>
      <c r="C20" s="286">
        <f>NPV(0.14,C18:$S$18)</f>
        <v>100625040.47841766</v>
      </c>
      <c r="D20" s="286">
        <f>NPV(0.14,D18:$S$18)</f>
        <v>98857605.114485189</v>
      </c>
      <c r="E20" s="286">
        <f>NPV(0.14,E18:$S$18)</f>
        <v>97755320.156076595</v>
      </c>
      <c r="F20" s="286">
        <f>NPV(0.14,F18:$S$18)</f>
        <v>96983883.706514671</v>
      </c>
      <c r="G20" s="286">
        <f>NPV(0.14,G18:$S$18)</f>
        <v>95859241.301748604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B21" s="286"/>
      <c r="C21" s="286"/>
      <c r="D21" s="286"/>
      <c r="E21" s="286"/>
      <c r="F21" s="286"/>
      <c r="G21" s="286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 s="290" t="s">
        <v>291</v>
      </c>
      <c r="B22" s="286"/>
      <c r="C22" s="286"/>
      <c r="D22" s="286"/>
      <c r="E22" s="286"/>
      <c r="F22" s="286"/>
      <c r="G22" s="286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">
      <c r="A23" s="5" t="s">
        <v>55</v>
      </c>
      <c r="B23" s="8">
        <v>1500</v>
      </c>
      <c r="C23" s="286">
        <f>B23*(1+Model!I$28)</f>
        <v>1546.5440569265861</v>
      </c>
      <c r="D23" s="286">
        <f>C23*(1+Model!J28)</f>
        <v>1592.9818834537255</v>
      </c>
      <c r="E23" s="286">
        <f>D23*(1+Model!K28)</f>
        <v>1639.2172053325844</v>
      </c>
      <c r="F23" s="286">
        <f>E23*(1+Model!L28)</f>
        <v>1685.9729132291418</v>
      </c>
      <c r="G23" s="286">
        <f>F23*(1+Model!M28)</f>
        <v>1733.2172788624623</v>
      </c>
      <c r="H23" s="286">
        <f>G23*(1+Model!N28)</f>
        <v>1780.3957751966375</v>
      </c>
      <c r="I23" s="286">
        <f>H23*(1+Model!O28)</f>
        <v>1827.9662890716822</v>
      </c>
      <c r="J23" s="286">
        <f>I23*(1+Model!P28)</f>
        <v>1875.8918524700123</v>
      </c>
      <c r="K23" s="286">
        <f>J23*(1+Model!Q28)</f>
        <v>1924.3219504931883</v>
      </c>
      <c r="L23" s="286">
        <f>K23*(1+Model!R28)</f>
        <v>1973.2310090159101</v>
      </c>
      <c r="M23" s="286">
        <f>L23*(1+Model!S28)</f>
        <v>2022.9876777292868</v>
      </c>
      <c r="N23" s="286">
        <f>M23*(1+Model!T28)</f>
        <v>2073.5935620038745</v>
      </c>
      <c r="O23" s="286">
        <f>N23*(1+Model!U28)</f>
        <v>2126.088750289267</v>
      </c>
      <c r="P23" s="286">
        <f>O23*(1+Model!V28)</f>
        <v>2180.7651447091275</v>
      </c>
      <c r="Q23" s="286">
        <f>P23*(1+Model!W28)</f>
        <v>2237.7218276072063</v>
      </c>
      <c r="R23" s="286">
        <f>Q23*(1+Model!X28)</f>
        <v>2297.5116668843311</v>
      </c>
      <c r="S23" s="286">
        <f>R23*(1+Model!Y28)</f>
        <v>2359.8200921769239</v>
      </c>
    </row>
    <row r="24" spans="1:19" x14ac:dyDescent="0.2">
      <c r="A24" s="5" t="s">
        <v>56</v>
      </c>
      <c r="B24" s="8">
        <v>964</v>
      </c>
      <c r="C24" s="286">
        <f>B24*(1+Model!I$28)</f>
        <v>993.91231391815268</v>
      </c>
      <c r="D24" s="286">
        <f>C24*(1+Model!J$28)</f>
        <v>1023.7563570995943</v>
      </c>
      <c r="E24" s="286">
        <f>D24*(1+Model!K$28)</f>
        <v>1053.4702572937408</v>
      </c>
      <c r="F24" s="286">
        <f>E24*(1+Model!L$28)</f>
        <v>1083.5185922352616</v>
      </c>
      <c r="G24" s="286">
        <f>F24*(1+Model!M$28)</f>
        <v>1113.880971215609</v>
      </c>
      <c r="H24" s="286">
        <f>G24*(1+Model!N$28)</f>
        <v>1144.2010181930389</v>
      </c>
      <c r="I24" s="286">
        <f>H24*(1+Model!O$28)</f>
        <v>1174.7730017767342</v>
      </c>
      <c r="J24" s="286">
        <f>I24*(1+Model!P$28)</f>
        <v>1205.573163854061</v>
      </c>
      <c r="K24" s="286">
        <f>J24*(1+Model!Q$28)</f>
        <v>1236.6975735169556</v>
      </c>
      <c r="L24" s="286">
        <f>K24*(1+Model!R$28)</f>
        <v>1268.1297951275581</v>
      </c>
      <c r="M24" s="286">
        <f>L24*(1+Model!S$28)</f>
        <v>1300.1067475540215</v>
      </c>
      <c r="N24" s="286">
        <f>M24*(1+Model!T$28)</f>
        <v>1332.6294625144897</v>
      </c>
      <c r="O24" s="286">
        <f>N24*(1+Model!U$28)</f>
        <v>1366.3663701859018</v>
      </c>
      <c r="P24" s="286">
        <f>O24*(1+Model!V$28)</f>
        <v>1401.5050663330655</v>
      </c>
      <c r="Q24" s="286">
        <f>P24*(1+Model!W$28)</f>
        <v>1438.1092278755641</v>
      </c>
      <c r="R24" s="286">
        <f>Q24*(1+Model!X$28)</f>
        <v>1476.5341645843296</v>
      </c>
      <c r="S24" s="286">
        <f>R24*(1+Model!Y$28)</f>
        <v>1516.5777125723694</v>
      </c>
    </row>
    <row r="25" spans="1:19" x14ac:dyDescent="0.2">
      <c r="A25" s="5" t="s">
        <v>57</v>
      </c>
      <c r="B25" s="8">
        <f>Model!I143</f>
        <v>706</v>
      </c>
      <c r="C25" s="286">
        <f>B25*(1+Model!I$28)</f>
        <v>727.90673612677983</v>
      </c>
      <c r="D25" s="286">
        <f>C25*(1+Model!J$28)</f>
        <v>749.76347314555346</v>
      </c>
      <c r="E25" s="286">
        <f>D25*(1+Model!K$28)</f>
        <v>771.52489797653629</v>
      </c>
      <c r="F25" s="286">
        <f>E25*(1+Model!L$28)</f>
        <v>793.53125115984926</v>
      </c>
      <c r="G25" s="286">
        <f>F25*(1+Model!M$28)</f>
        <v>815.76759925126544</v>
      </c>
      <c r="H25" s="286">
        <f>G25*(1+Model!N$28)</f>
        <v>837.97294485921725</v>
      </c>
      <c r="I25" s="286">
        <f>H25*(1+Model!O$28)</f>
        <v>860.36280005640504</v>
      </c>
      <c r="J25" s="286">
        <f>I25*(1+Model!P$28)</f>
        <v>882.91976522921902</v>
      </c>
      <c r="K25" s="286">
        <f>J25*(1+Model!Q$28)</f>
        <v>905.71419803212723</v>
      </c>
      <c r="L25" s="286">
        <f>K25*(1+Model!R$28)</f>
        <v>928.73406157682166</v>
      </c>
      <c r="M25" s="286">
        <f>L25*(1+Model!S$28)</f>
        <v>952.15286698458431</v>
      </c>
      <c r="N25" s="286">
        <f>M25*(1+Model!T$28)</f>
        <v>975.97136984982353</v>
      </c>
      <c r="O25" s="286">
        <f>N25*(1+Model!U$28)</f>
        <v>1000.6791051361482</v>
      </c>
      <c r="P25" s="286">
        <f>O25*(1+Model!V$28)</f>
        <v>1026.4134614430959</v>
      </c>
      <c r="Q25" s="286">
        <f>P25*(1+Model!W$28)</f>
        <v>1053.2210735271249</v>
      </c>
      <c r="R25" s="286">
        <f>Q25*(1+Model!X$28)</f>
        <v>1081.3621578802249</v>
      </c>
      <c r="S25" s="286">
        <f>R25*(1+Model!Y$28)</f>
        <v>1110.6886567179386</v>
      </c>
    </row>
    <row r="26" spans="1:19" x14ac:dyDescent="0.2">
      <c r="A26" s="5" t="s">
        <v>58</v>
      </c>
      <c r="B26" s="8">
        <f>IF(B35=1,3936,1960)</f>
        <v>1960</v>
      </c>
      <c r="C26" s="286">
        <f>B26*(1+Model!I$28)</f>
        <v>2020.8175677174058</v>
      </c>
      <c r="D26" s="286">
        <f>C26*(1+Model!J$28)</f>
        <v>2081.4963277128682</v>
      </c>
      <c r="E26" s="286">
        <f>D26*(1+Model!K$28)</f>
        <v>2141.9104816345771</v>
      </c>
      <c r="F26" s="286">
        <f>E26*(1+Model!L$28)</f>
        <v>2203.0046066194118</v>
      </c>
      <c r="G26" s="286">
        <f>F26*(1+Model!M$28)</f>
        <v>2264.7372443802838</v>
      </c>
      <c r="H26" s="286">
        <f>G26*(1+Model!N$28)</f>
        <v>2326.383812923606</v>
      </c>
      <c r="I26" s="286">
        <f>H26*(1+Model!O$28)</f>
        <v>2388.5426177203312</v>
      </c>
      <c r="J26" s="286">
        <f>I26*(1+Model!P$28)</f>
        <v>2451.1653538941491</v>
      </c>
      <c r="K26" s="286">
        <f>J26*(1+Model!Q$28)</f>
        <v>2514.4473486444326</v>
      </c>
      <c r="L26" s="286">
        <f>K26*(1+Model!R$28)</f>
        <v>2578.3551851141224</v>
      </c>
      <c r="M26" s="286">
        <f>L26*(1+Model!S$28)</f>
        <v>2643.3705655662679</v>
      </c>
      <c r="N26" s="286">
        <f>M26*(1+Model!T$28)</f>
        <v>2709.4955876850622</v>
      </c>
      <c r="O26" s="286">
        <f>N26*(1+Model!U$28)</f>
        <v>2778.0893003779752</v>
      </c>
      <c r="P26" s="286">
        <f>O26*(1+Model!V$28)</f>
        <v>2849.5331224199263</v>
      </c>
      <c r="Q26" s="286">
        <f>P26*(1+Model!W$28)</f>
        <v>2923.9565214067493</v>
      </c>
      <c r="R26" s="286">
        <f>Q26*(1+Model!X$28)</f>
        <v>3002.0819113955258</v>
      </c>
      <c r="S26" s="286">
        <f>R26*(1+Model!Y$28)</f>
        <v>3083.4982537778474</v>
      </c>
    </row>
    <row r="27" spans="1:19" x14ac:dyDescent="0.2">
      <c r="A27" s="5" t="s">
        <v>59</v>
      </c>
      <c r="B27" s="8">
        <v>0</v>
      </c>
      <c r="C27" s="286">
        <f>B27*(1+Model!I$28)</f>
        <v>0</v>
      </c>
      <c r="D27" s="286">
        <f>C27*(1+Model!J$28)</f>
        <v>0</v>
      </c>
      <c r="E27" s="286">
        <f>D27*(1+Model!K$28)</f>
        <v>0</v>
      </c>
      <c r="F27" s="286">
        <f>E27*(1+Model!L$28)</f>
        <v>0</v>
      </c>
      <c r="G27" s="286">
        <f>F27*(1+Model!M$28)</f>
        <v>0</v>
      </c>
      <c r="H27" s="286">
        <f>G27*(1+Model!N$28)</f>
        <v>0</v>
      </c>
      <c r="I27" s="286">
        <f>H27*(1+Model!O$28)</f>
        <v>0</v>
      </c>
      <c r="J27" s="286">
        <f>I27*(1+Model!P$28)</f>
        <v>0</v>
      </c>
      <c r="K27" s="286">
        <f>J27*(1+Model!Q$28)</f>
        <v>0</v>
      </c>
      <c r="L27" s="286">
        <f>K27*(1+Model!R$28)</f>
        <v>0</v>
      </c>
      <c r="M27" s="286">
        <f>L27*(1+Model!S$28)</f>
        <v>0</v>
      </c>
      <c r="N27" s="286">
        <f>M27*(1+Model!T$28)</f>
        <v>0</v>
      </c>
      <c r="O27" s="286">
        <f>N27*(1+Model!U$28)</f>
        <v>0</v>
      </c>
      <c r="P27" s="286">
        <f>O27*(1+Model!V$28)</f>
        <v>0</v>
      </c>
      <c r="Q27" s="286">
        <f>P27*(1+Model!W$28)</f>
        <v>0</v>
      </c>
      <c r="R27" s="286">
        <f>Q27*(1+Model!X$28)</f>
        <v>0</v>
      </c>
      <c r="S27" s="286">
        <f>R27*(1+Model!Y$28)</f>
        <v>0</v>
      </c>
    </row>
    <row r="28" spans="1:19" x14ac:dyDescent="0.2">
      <c r="A28" s="5" t="s">
        <v>61</v>
      </c>
      <c r="B28" s="9">
        <v>0</v>
      </c>
      <c r="C28" s="291">
        <f>B28*(1+Model!I$28)</f>
        <v>0</v>
      </c>
      <c r="D28" s="291">
        <f>C28*(1+Model!J$28)</f>
        <v>0</v>
      </c>
      <c r="E28" s="291">
        <f>D28*(1+Model!K$28)</f>
        <v>0</v>
      </c>
      <c r="F28" s="291">
        <f>E28*(1+Model!L$28)</f>
        <v>0</v>
      </c>
      <c r="G28" s="291">
        <f>F28*(1+Model!M$28)</f>
        <v>0</v>
      </c>
      <c r="H28" s="291">
        <f>G28*(1+Model!N$28)</f>
        <v>0</v>
      </c>
      <c r="I28" s="291">
        <f>H28*(1+Model!O$28)</f>
        <v>0</v>
      </c>
      <c r="J28" s="291">
        <f>I28*(1+Model!P$28)</f>
        <v>0</v>
      </c>
      <c r="K28" s="291">
        <f>J28*(1+Model!Q$28)</f>
        <v>0</v>
      </c>
      <c r="L28" s="291">
        <f>K28*(1+Model!R$28)</f>
        <v>0</v>
      </c>
      <c r="M28" s="291">
        <f>L28*(1+Model!S$28)</f>
        <v>0</v>
      </c>
      <c r="N28" s="291">
        <f>M28*(1+Model!T$28)</f>
        <v>0</v>
      </c>
      <c r="O28" s="291">
        <f>N28*(1+Model!U$28)</f>
        <v>0</v>
      </c>
      <c r="P28" s="291">
        <f>O28*(1+Model!V$28)</f>
        <v>0</v>
      </c>
      <c r="Q28" s="291">
        <f>P28*(1+Model!W$28)</f>
        <v>0</v>
      </c>
      <c r="R28" s="291">
        <f>Q28*(1+Model!X$28)</f>
        <v>0</v>
      </c>
      <c r="S28" s="291">
        <f>R28*(1+Model!Y$28)</f>
        <v>0</v>
      </c>
    </row>
    <row r="29" spans="1:19" x14ac:dyDescent="0.2">
      <c r="A29" s="277" t="s">
        <v>293</v>
      </c>
      <c r="B29" s="292">
        <f>SUM(B23:B28)</f>
        <v>5130</v>
      </c>
      <c r="C29" s="292">
        <f t="shared" ref="C29:S29" si="0">SUM(C23:C28)</f>
        <v>5289.1806746889242</v>
      </c>
      <c r="D29" s="292">
        <f t="shared" si="0"/>
        <v>5447.9980414117417</v>
      </c>
      <c r="E29" s="292">
        <f t="shared" si="0"/>
        <v>5606.1228422374388</v>
      </c>
      <c r="F29" s="292">
        <f t="shared" si="0"/>
        <v>5766.0273632436647</v>
      </c>
      <c r="G29" s="292">
        <f t="shared" si="0"/>
        <v>5927.6030937096202</v>
      </c>
      <c r="H29" s="292">
        <f t="shared" si="0"/>
        <v>6088.9535511724989</v>
      </c>
      <c r="I29" s="292">
        <f t="shared" si="0"/>
        <v>6251.6447086251519</v>
      </c>
      <c r="J29" s="292">
        <f t="shared" si="0"/>
        <v>6415.5501354474418</v>
      </c>
      <c r="K29" s="292">
        <f t="shared" si="0"/>
        <v>6581.1810706867036</v>
      </c>
      <c r="L29" s="292">
        <f t="shared" si="0"/>
        <v>6748.4500508344117</v>
      </c>
      <c r="M29" s="292">
        <f t="shared" si="0"/>
        <v>6918.6178578341605</v>
      </c>
      <c r="N29" s="292">
        <f t="shared" si="0"/>
        <v>7091.689982053249</v>
      </c>
      <c r="O29" s="292">
        <f t="shared" si="0"/>
        <v>7271.2235259892914</v>
      </c>
      <c r="P29" s="292">
        <f t="shared" si="0"/>
        <v>7458.2167949052155</v>
      </c>
      <c r="Q29" s="292">
        <f t="shared" si="0"/>
        <v>7653.0086504166447</v>
      </c>
      <c r="R29" s="292">
        <f t="shared" si="0"/>
        <v>7857.489900744411</v>
      </c>
      <c r="S29" s="292">
        <f t="shared" si="0"/>
        <v>8070.5847152450788</v>
      </c>
    </row>
    <row r="31" spans="1:19" x14ac:dyDescent="0.2">
      <c r="A31" s="277" t="s">
        <v>65</v>
      </c>
      <c r="B31" s="286">
        <v>0</v>
      </c>
      <c r="C31" s="286">
        <f t="shared" ref="C31:S31" si="1">C18-(C29*1000)</f>
        <v>10565760.356222041</v>
      </c>
      <c r="D31" s="286">
        <f t="shared" si="1"/>
        <v>9494351.6330247559</v>
      </c>
      <c r="E31" s="286">
        <f t="shared" si="1"/>
        <v>8851058.4291752167</v>
      </c>
      <c r="F31" s="286">
        <f t="shared" si="1"/>
        <v>8936358.7604344822</v>
      </c>
      <c r="G31" s="286">
        <f t="shared" si="1"/>
        <v>9727191.3740589879</v>
      </c>
      <c r="H31" s="286">
        <f t="shared" si="1"/>
        <v>9848045.8647568692</v>
      </c>
      <c r="I31" s="286">
        <f t="shared" si="1"/>
        <v>9874388.0337590761</v>
      </c>
      <c r="J31" s="286">
        <f t="shared" si="1"/>
        <v>10198874.949416365</v>
      </c>
      <c r="K31" s="286">
        <f t="shared" si="1"/>
        <v>10198696.780261962</v>
      </c>
      <c r="L31" s="286">
        <f t="shared" si="1"/>
        <v>10206738.878685689</v>
      </c>
      <c r="M31" s="286">
        <f t="shared" si="1"/>
        <v>10281949.376122057</v>
      </c>
      <c r="N31" s="286">
        <f t="shared" si="1"/>
        <v>10208449.191731647</v>
      </c>
      <c r="O31" s="286">
        <f t="shared" si="1"/>
        <v>10026012.966064222</v>
      </c>
      <c r="P31" s="286">
        <f t="shared" si="1"/>
        <v>10168913.390126143</v>
      </c>
      <c r="Q31" s="286">
        <f t="shared" si="1"/>
        <v>9764311.1995175686</v>
      </c>
      <c r="R31" s="286">
        <f t="shared" si="1"/>
        <v>9625869.440014571</v>
      </c>
      <c r="S31" s="286">
        <f t="shared" si="1"/>
        <v>2585518.2399968626</v>
      </c>
    </row>
    <row r="32" spans="1:19" x14ac:dyDescent="0.2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</row>
    <row r="33" spans="1:2" ht="13.5" thickBot="1" x14ac:dyDescent="0.25">
      <c r="A33" s="277" t="s">
        <v>365</v>
      </c>
      <c r="B33" s="286">
        <f>B20/300000</f>
        <v>345.19341234182383</v>
      </c>
    </row>
    <row r="34" spans="1:2" ht="13.5" thickBot="1" x14ac:dyDescent="0.25">
      <c r="A34" s="277" t="s">
        <v>299</v>
      </c>
      <c r="B34" s="297">
        <f>NPV(0.14,B$31:$S31)/1000*0.5</f>
        <v>27026.060059734136</v>
      </c>
    </row>
    <row r="35" spans="1:2" ht="13.5" thickBot="1" x14ac:dyDescent="0.25">
      <c r="A35" s="277" t="s">
        <v>296</v>
      </c>
      <c r="B35" s="294">
        <v>2</v>
      </c>
    </row>
    <row r="36" spans="1:2" x14ac:dyDescent="0.2">
      <c r="A36" s="277" t="s">
        <v>297</v>
      </c>
    </row>
    <row r="37" spans="1:2" x14ac:dyDescent="0.2">
      <c r="A37" s="277" t="s">
        <v>298</v>
      </c>
    </row>
    <row r="40" spans="1:2" x14ac:dyDescent="0.2">
      <c r="A40" s="289" t="s">
        <v>210</v>
      </c>
    </row>
    <row r="41" spans="1:2" x14ac:dyDescent="0.2">
      <c r="A41" t="s">
        <v>48</v>
      </c>
    </row>
    <row r="42" spans="1:2" x14ac:dyDescent="0.2">
      <c r="A42" t="s">
        <v>349</v>
      </c>
    </row>
    <row r="43" spans="1:2" x14ac:dyDescent="0.2">
      <c r="A43" t="s">
        <v>350</v>
      </c>
    </row>
    <row r="44" spans="1:2" x14ac:dyDescent="0.2">
      <c r="A44" t="s">
        <v>351</v>
      </c>
    </row>
    <row r="45" spans="1:2" x14ac:dyDescent="0.2">
      <c r="A45" t="s">
        <v>352</v>
      </c>
    </row>
    <row r="46" spans="1:2" x14ac:dyDescent="0.2">
      <c r="A46" t="s">
        <v>289</v>
      </c>
    </row>
    <row r="47" spans="1:2" x14ac:dyDescent="0.2">
      <c r="A47" t="s">
        <v>353</v>
      </c>
    </row>
    <row r="48" spans="1:2" x14ac:dyDescent="0.2">
      <c r="A48" t="s">
        <v>354</v>
      </c>
    </row>
    <row r="49" spans="1:1" x14ac:dyDescent="0.2">
      <c r="A49" t="s">
        <v>355</v>
      </c>
    </row>
    <row r="50" spans="1:1" x14ac:dyDescent="0.2">
      <c r="A50" s="277" t="s">
        <v>1</v>
      </c>
    </row>
    <row r="51" spans="1:1" x14ac:dyDescent="0.2">
      <c r="A51" s="277" t="s">
        <v>1</v>
      </c>
    </row>
    <row r="52" spans="1:1" x14ac:dyDescent="0.2">
      <c r="A52" s="277" t="s">
        <v>1</v>
      </c>
    </row>
  </sheetData>
  <pageMargins left="0.75" right="0.75" top="1" bottom="1" header="0.5" footer="0.5"/>
  <pageSetup scale="70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showGridLines="0" tabSelected="1" topLeftCell="A38" workbookViewId="0">
      <selection activeCell="C54" sqref="C54:H54"/>
    </sheetView>
  </sheetViews>
  <sheetFormatPr defaultRowHeight="12.75" x14ac:dyDescent="0.2"/>
  <cols>
    <col min="1" max="1" width="17.140625" customWidth="1"/>
    <col min="2" max="2" width="13.7109375" customWidth="1"/>
    <col min="3" max="3" width="13.28515625" customWidth="1"/>
    <col min="4" max="10" width="13.7109375" customWidth="1"/>
  </cols>
  <sheetData>
    <row r="1" spans="1:5" ht="18" x14ac:dyDescent="0.25">
      <c r="A1" s="321" t="s">
        <v>267</v>
      </c>
    </row>
    <row r="4" spans="1:5" ht="18" x14ac:dyDescent="0.25">
      <c r="A4" s="264" t="s">
        <v>263</v>
      </c>
    </row>
    <row r="5" spans="1:5" ht="13.5" thickBot="1" x14ac:dyDescent="0.25"/>
    <row r="6" spans="1:5" ht="13.5" thickBot="1" x14ac:dyDescent="0.25">
      <c r="B6" s="254">
        <v>37256</v>
      </c>
      <c r="C6" s="259" t="s">
        <v>83</v>
      </c>
      <c r="D6" s="260" t="s">
        <v>156</v>
      </c>
      <c r="E6" s="261" t="s">
        <v>136</v>
      </c>
    </row>
    <row r="7" spans="1:5" ht="13.5" thickBot="1" x14ac:dyDescent="0.25">
      <c r="B7" s="255">
        <v>0.12</v>
      </c>
      <c r="C7" s="257">
        <f>Model!J233</f>
        <v>152476.40123805089</v>
      </c>
      <c r="D7" s="257">
        <f>Model!K233</f>
        <v>319440</v>
      </c>
      <c r="E7" s="257">
        <f>Model!L233</f>
        <v>471916.40123805089</v>
      </c>
    </row>
    <row r="8" spans="1:5" ht="13.5" thickBot="1" x14ac:dyDescent="0.25">
      <c r="B8" s="255">
        <v>0.11</v>
      </c>
      <c r="C8" s="257">
        <f>Model!J234</f>
        <v>162085.77008355682</v>
      </c>
      <c r="D8" s="257">
        <f>Model!K234</f>
        <v>319440</v>
      </c>
      <c r="E8" s="257">
        <f>Model!L234</f>
        <v>481525.77008355682</v>
      </c>
    </row>
    <row r="9" spans="1:5" ht="13.5" thickBot="1" x14ac:dyDescent="0.25">
      <c r="B9" s="256">
        <v>0.1</v>
      </c>
      <c r="C9" s="257">
        <f>Model!J235</f>
        <v>172691.72825326069</v>
      </c>
      <c r="D9" s="257">
        <f>Model!K235</f>
        <v>319440</v>
      </c>
      <c r="E9" s="257">
        <f>Model!L235</f>
        <v>492131.72825326072</v>
      </c>
    </row>
    <row r="11" spans="1:5" x14ac:dyDescent="0.2">
      <c r="A11" s="242" t="s">
        <v>210</v>
      </c>
    </row>
    <row r="12" spans="1:5" x14ac:dyDescent="0.2">
      <c r="A12" t="s">
        <v>264</v>
      </c>
    </row>
    <row r="13" spans="1:5" x14ac:dyDescent="0.2">
      <c r="A13" t="s">
        <v>265</v>
      </c>
    </row>
    <row r="14" spans="1:5" x14ac:dyDescent="0.2">
      <c r="A14" t="s">
        <v>272</v>
      </c>
    </row>
    <row r="15" spans="1:5" s="324" customFormat="1" x14ac:dyDescent="0.2"/>
    <row r="16" spans="1:5" ht="18" x14ac:dyDescent="0.25">
      <c r="A16" s="264" t="s">
        <v>186</v>
      </c>
    </row>
    <row r="18" spans="1:7" ht="13.5" thickBot="1" x14ac:dyDescent="0.25">
      <c r="E18" s="263">
        <v>36891</v>
      </c>
      <c r="F18" s="263">
        <v>37256</v>
      </c>
      <c r="G18" s="263">
        <v>37621</v>
      </c>
    </row>
    <row r="19" spans="1:7" x14ac:dyDescent="0.2">
      <c r="A19" s="242" t="s">
        <v>25</v>
      </c>
      <c r="B19" s="242"/>
      <c r="C19" s="242"/>
      <c r="D19" s="242"/>
      <c r="E19" s="243">
        <f>Model!I449</f>
        <v>789248.97223964601</v>
      </c>
      <c r="F19" s="243">
        <f>Model!J449</f>
        <v>768750.09857926925</v>
      </c>
      <c r="G19" s="243">
        <f>Model!K449</f>
        <v>737857.50161013007</v>
      </c>
    </row>
    <row r="20" spans="1:7" x14ac:dyDescent="0.2">
      <c r="A20" s="242"/>
      <c r="B20" s="242"/>
      <c r="C20" s="242"/>
      <c r="D20" s="242"/>
      <c r="E20" s="243"/>
      <c r="F20" s="243"/>
      <c r="G20" s="243"/>
    </row>
    <row r="21" spans="1:7" x14ac:dyDescent="0.2">
      <c r="A21" s="242" t="s">
        <v>74</v>
      </c>
      <c r="B21" s="242" t="s">
        <v>191</v>
      </c>
      <c r="C21" s="242"/>
      <c r="D21" s="242"/>
      <c r="E21" s="243">
        <f>Model!I451</f>
        <v>-78924.89722396461</v>
      </c>
      <c r="F21" s="243">
        <f>Model!J451</f>
        <v>-76875.009857926925</v>
      </c>
      <c r="G21" s="243">
        <f>Model!K451</f>
        <v>-73785.750161013013</v>
      </c>
    </row>
    <row r="22" spans="1:7" x14ac:dyDescent="0.2">
      <c r="A22" s="242"/>
      <c r="B22" s="242" t="s">
        <v>203</v>
      </c>
      <c r="C22" s="242"/>
      <c r="D22" s="242"/>
      <c r="E22" s="243">
        <f>Model!I452</f>
        <v>-36475.846532399089</v>
      </c>
      <c r="F22" s="243">
        <f>Model!J452</f>
        <v>-34009.923042613336</v>
      </c>
      <c r="G22" s="243">
        <f>Model!K452</f>
        <v>-31456.890203325096</v>
      </c>
    </row>
    <row r="23" spans="1:7" x14ac:dyDescent="0.2">
      <c r="A23" s="242"/>
      <c r="B23" s="242" t="s">
        <v>76</v>
      </c>
      <c r="C23" s="242"/>
      <c r="D23" s="242"/>
      <c r="E23" s="243">
        <f>Model!I453</f>
        <v>-119783.499513168</v>
      </c>
      <c r="F23" s="243">
        <f>Model!J453</f>
        <v>-121172.96495087208</v>
      </c>
      <c r="G23" s="243">
        <f>Model!K453</f>
        <v>-119875.38464580383</v>
      </c>
    </row>
    <row r="24" spans="1:7" x14ac:dyDescent="0.2">
      <c r="A24" s="242"/>
      <c r="B24" s="242" t="s">
        <v>131</v>
      </c>
      <c r="C24" s="242"/>
      <c r="D24" s="242"/>
      <c r="E24" s="243">
        <f>Model!I454</f>
        <v>-10874.200679128722</v>
      </c>
      <c r="F24" s="243">
        <f>Model!J454</f>
        <v>-10543.951234131426</v>
      </c>
      <c r="G24" s="243">
        <f>Model!K454</f>
        <v>-10185.009717352763</v>
      </c>
    </row>
    <row r="25" spans="1:7" x14ac:dyDescent="0.2">
      <c r="A25" s="242"/>
      <c r="B25" s="242" t="s">
        <v>32</v>
      </c>
      <c r="C25" s="242"/>
      <c r="D25" s="242"/>
      <c r="E25" s="243">
        <f>Model!I455</f>
        <v>-309360</v>
      </c>
      <c r="F25" s="243">
        <f>Model!J455</f>
        <v>-293616</v>
      </c>
      <c r="G25" s="243">
        <f>Model!K455</f>
        <v>-277307</v>
      </c>
    </row>
    <row r="26" spans="1:7" x14ac:dyDescent="0.2">
      <c r="A26" s="242"/>
      <c r="B26" s="242" t="s">
        <v>155</v>
      </c>
      <c r="C26" s="242"/>
      <c r="D26" s="242"/>
      <c r="E26" s="243">
        <f>Model!I456</f>
        <v>-35351.429637247027</v>
      </c>
      <c r="F26" s="243">
        <f>Model!J456</f>
        <v>-29772.553133284775</v>
      </c>
      <c r="G26" s="243">
        <f>Model!K456</f>
        <v>-24261.498546621646</v>
      </c>
    </row>
    <row r="27" spans="1:7" ht="13.5" thickBot="1" x14ac:dyDescent="0.25">
      <c r="A27" s="242"/>
      <c r="B27" s="242" t="s">
        <v>143</v>
      </c>
      <c r="C27" s="242"/>
      <c r="D27" s="242"/>
      <c r="E27" s="262">
        <f>Model!I457</f>
        <v>-17278.338988330761</v>
      </c>
      <c r="F27" s="262">
        <f>Model!J457</f>
        <v>-18550.505089497685</v>
      </c>
      <c r="G27" s="262">
        <f>Model!K457</f>
        <v>-19822.671190664609</v>
      </c>
    </row>
    <row r="28" spans="1:7" x14ac:dyDescent="0.2">
      <c r="A28" s="242"/>
      <c r="B28" s="242"/>
      <c r="C28" s="242"/>
      <c r="D28" s="242"/>
      <c r="E28" s="243"/>
      <c r="F28" s="243"/>
      <c r="G28" s="243"/>
    </row>
    <row r="29" spans="1:7" x14ac:dyDescent="0.2">
      <c r="A29" s="242" t="s">
        <v>103</v>
      </c>
      <c r="B29" s="242" t="s">
        <v>104</v>
      </c>
      <c r="C29" s="242"/>
      <c r="E29" s="243">
        <f>Model!I459</f>
        <v>65582.844259846664</v>
      </c>
      <c r="F29" s="243">
        <f>E29</f>
        <v>65582.844259846664</v>
      </c>
      <c r="G29" s="243">
        <f>F29</f>
        <v>65582.844259846664</v>
      </c>
    </row>
    <row r="30" spans="1:7" x14ac:dyDescent="0.2">
      <c r="A30" s="242"/>
      <c r="B30" s="242"/>
      <c r="C30" s="242"/>
      <c r="D30" s="242"/>
      <c r="E30" s="243"/>
      <c r="F30" s="243"/>
      <c r="G30" s="243"/>
    </row>
    <row r="31" spans="1:7" x14ac:dyDescent="0.2">
      <c r="A31" s="242" t="s">
        <v>266</v>
      </c>
      <c r="B31" s="242"/>
      <c r="C31" s="242"/>
      <c r="D31" s="242"/>
      <c r="E31" s="243">
        <f>E19+SUM(E21:E27)+E29</f>
        <v>246783.60392525449</v>
      </c>
      <c r="F31" s="243">
        <f>F19+SUM(F21:F27)+F29</f>
        <v>249792.0355307897</v>
      </c>
      <c r="G31" s="243">
        <f>G19+SUM(G21:G27)+G29</f>
        <v>246746.14140519575</v>
      </c>
    </row>
    <row r="33" spans="1:10" ht="13.5" thickBot="1" x14ac:dyDescent="0.25">
      <c r="A33" s="242" t="s">
        <v>268</v>
      </c>
      <c r="E33" s="266">
        <f>C8</f>
        <v>162085.77008355682</v>
      </c>
      <c r="F33" s="266">
        <f>E33</f>
        <v>162085.77008355682</v>
      </c>
      <c r="G33" s="266">
        <f>F33</f>
        <v>162085.77008355682</v>
      </c>
    </row>
    <row r="35" spans="1:10" x14ac:dyDescent="0.2">
      <c r="A35" s="242" t="s">
        <v>269</v>
      </c>
      <c r="E35" s="265">
        <f>E31-E33</f>
        <v>84697.833841697662</v>
      </c>
      <c r="F35" s="265">
        <f>F31-F33</f>
        <v>87706.265447232872</v>
      </c>
      <c r="G35" s="265">
        <f>G31-G33</f>
        <v>84660.37132163893</v>
      </c>
    </row>
    <row r="36" spans="1:10" x14ac:dyDescent="0.2">
      <c r="A36" s="242"/>
      <c r="E36" s="265"/>
      <c r="F36" s="265"/>
      <c r="G36" s="265"/>
    </row>
    <row r="38" spans="1:10" ht="15" x14ac:dyDescent="0.2">
      <c r="A38" s="305" t="s">
        <v>331</v>
      </c>
    </row>
    <row r="39" spans="1:10" x14ac:dyDescent="0.2">
      <c r="A39" s="322" t="s">
        <v>264</v>
      </c>
    </row>
    <row r="40" spans="1:10" x14ac:dyDescent="0.2">
      <c r="A40" s="323" t="s">
        <v>314</v>
      </c>
    </row>
    <row r="41" spans="1:10" x14ac:dyDescent="0.2">
      <c r="A41" s="322" t="s">
        <v>321</v>
      </c>
    </row>
    <row r="42" spans="1:10" x14ac:dyDescent="0.2">
      <c r="A42" s="322" t="s">
        <v>315</v>
      </c>
    </row>
    <row r="43" spans="1:10" x14ac:dyDescent="0.2">
      <c r="A43" s="322" t="s">
        <v>316</v>
      </c>
    </row>
    <row r="44" spans="1:10" x14ac:dyDescent="0.2">
      <c r="A44" s="322" t="s">
        <v>317</v>
      </c>
    </row>
    <row r="45" spans="1:10" x14ac:dyDescent="0.2">
      <c r="A45" s="322" t="s">
        <v>318</v>
      </c>
    </row>
    <row r="46" spans="1:10" x14ac:dyDescent="0.2">
      <c r="A46" s="322" t="s">
        <v>319</v>
      </c>
    </row>
    <row r="48" spans="1:10" ht="20.25" customHeight="1" x14ac:dyDescent="0.2">
      <c r="A48" s="421" t="s">
        <v>1</v>
      </c>
      <c r="B48" s="421"/>
      <c r="C48" s="421"/>
      <c r="D48" s="421"/>
      <c r="E48" s="421"/>
      <c r="F48" s="421"/>
      <c r="G48" s="421"/>
      <c r="H48" s="421"/>
      <c r="I48" s="421"/>
      <c r="J48" s="421"/>
    </row>
    <row r="49" spans="1:10" x14ac:dyDescent="0.2">
      <c r="A49" s="421"/>
      <c r="B49" s="421"/>
      <c r="C49" s="421"/>
      <c r="D49" s="421"/>
      <c r="E49" s="421"/>
      <c r="F49" s="421"/>
      <c r="G49" s="421"/>
      <c r="H49" s="421"/>
      <c r="I49" s="421"/>
      <c r="J49" s="421"/>
    </row>
    <row r="50" spans="1:10" ht="20.25" x14ac:dyDescent="0.3">
      <c r="A50" s="319"/>
      <c r="B50" s="319"/>
      <c r="C50" s="319"/>
      <c r="D50" s="319"/>
      <c r="E50" s="319"/>
      <c r="F50" s="319"/>
      <c r="G50" s="319"/>
      <c r="H50" s="319"/>
      <c r="I50" s="319"/>
      <c r="J50" s="319"/>
    </row>
    <row r="51" spans="1:10" ht="20.25" x14ac:dyDescent="0.3">
      <c r="A51" s="421" t="s">
        <v>320</v>
      </c>
      <c r="B51" s="421"/>
      <c r="C51" s="421"/>
      <c r="D51" s="421"/>
      <c r="E51" s="421"/>
      <c r="F51" s="421"/>
      <c r="G51" s="421"/>
      <c r="H51" s="421"/>
      <c r="I51" s="319"/>
      <c r="J51" s="319"/>
    </row>
    <row r="52" spans="1:10" ht="20.25" x14ac:dyDescent="0.3">
      <c r="A52" s="319"/>
      <c r="B52" s="319"/>
      <c r="C52" s="319"/>
      <c r="D52" s="319"/>
      <c r="E52" s="319"/>
      <c r="F52" s="319"/>
      <c r="G52" s="319"/>
      <c r="H52" s="319"/>
      <c r="I52" s="319"/>
      <c r="J52" s="319"/>
    </row>
    <row r="53" spans="1:10" ht="21" thickBot="1" x14ac:dyDescent="0.35">
      <c r="A53" s="319"/>
      <c r="B53" s="319"/>
      <c r="C53" s="423" t="s">
        <v>334</v>
      </c>
      <c r="D53" s="423"/>
      <c r="E53" s="423"/>
      <c r="F53" s="423"/>
      <c r="G53" s="423"/>
      <c r="H53" s="423"/>
      <c r="I53" s="319"/>
      <c r="J53" s="319"/>
    </row>
    <row r="54" spans="1:10" ht="21" thickBot="1" x14ac:dyDescent="0.35">
      <c r="A54" s="319"/>
      <c r="B54" s="325"/>
      <c r="C54" s="422" t="s">
        <v>322</v>
      </c>
      <c r="D54" s="422"/>
      <c r="E54" s="422"/>
      <c r="F54" s="422"/>
      <c r="G54" s="422"/>
      <c r="H54" s="422"/>
      <c r="I54" s="325"/>
      <c r="J54" s="319"/>
    </row>
    <row r="55" spans="1:10" ht="25.5" customHeight="1" thickBot="1" x14ac:dyDescent="0.25">
      <c r="B55" s="303"/>
      <c r="C55" s="307">
        <v>7.3300000000000004E-2</v>
      </c>
      <c r="D55" s="307">
        <v>7.4999999999999997E-2</v>
      </c>
      <c r="E55" s="307">
        <v>7.7499999999999999E-2</v>
      </c>
      <c r="F55" s="307">
        <v>0.08</v>
      </c>
      <c r="G55" s="307">
        <v>8.2500000000000004E-2</v>
      </c>
      <c r="H55" s="307">
        <v>8.5000000000000006E-2</v>
      </c>
      <c r="J55" s="306"/>
    </row>
    <row r="56" spans="1:10" ht="15" customHeight="1" x14ac:dyDescent="0.2">
      <c r="A56" s="420" t="s">
        <v>333</v>
      </c>
      <c r="B56" s="326">
        <v>0.1</v>
      </c>
      <c r="C56" s="243">
        <v>93027</v>
      </c>
      <c r="D56" s="243">
        <v>86540</v>
      </c>
      <c r="E56" s="243">
        <v>77166</v>
      </c>
      <c r="F56" s="308">
        <f>E35</f>
        <v>84697.833841697662</v>
      </c>
      <c r="G56" s="243">
        <v>58987</v>
      </c>
      <c r="H56" s="243">
        <v>50173</v>
      </c>
    </row>
    <row r="57" spans="1:10" x14ac:dyDescent="0.2">
      <c r="A57" s="420"/>
      <c r="B57" s="326">
        <v>0.11</v>
      </c>
      <c r="C57" s="243">
        <v>85207</v>
      </c>
      <c r="D57" s="243">
        <v>78793</v>
      </c>
      <c r="E57" s="243">
        <v>69523</v>
      </c>
      <c r="F57" s="243">
        <v>60442</v>
      </c>
      <c r="G57" s="243">
        <v>51546</v>
      </c>
      <c r="H57" s="243">
        <v>42829</v>
      </c>
    </row>
    <row r="58" spans="1:10" x14ac:dyDescent="0.2">
      <c r="A58" s="420"/>
      <c r="B58" s="326">
        <v>0.12</v>
      </c>
      <c r="C58" s="243">
        <v>77387</v>
      </c>
      <c r="D58" s="243">
        <v>71045</v>
      </c>
      <c r="E58" s="243">
        <v>61879</v>
      </c>
      <c r="F58" s="243">
        <v>52901</v>
      </c>
      <c r="G58" s="243">
        <v>44104</v>
      </c>
      <c r="H58" s="243">
        <v>35486</v>
      </c>
    </row>
    <row r="59" spans="1:10" x14ac:dyDescent="0.2">
      <c r="A59" s="420"/>
      <c r="B59" s="326">
        <v>0.13</v>
      </c>
      <c r="C59" s="243">
        <v>69567</v>
      </c>
      <c r="D59" s="243">
        <v>63297</v>
      </c>
      <c r="E59" s="243">
        <v>54236</v>
      </c>
      <c r="F59" s="243">
        <v>45359</v>
      </c>
      <c r="G59" s="243">
        <v>36663</v>
      </c>
      <c r="H59" s="243">
        <v>28142</v>
      </c>
    </row>
    <row r="60" spans="1:10" x14ac:dyDescent="0.2">
      <c r="A60" s="420"/>
      <c r="B60" s="326">
        <v>0.14000000000000001</v>
      </c>
      <c r="C60" s="243">
        <v>61748</v>
      </c>
      <c r="D60" s="243">
        <v>55550</v>
      </c>
      <c r="E60" s="243">
        <v>46592</v>
      </c>
      <c r="F60" s="243">
        <v>37818</v>
      </c>
      <c r="G60" s="243">
        <v>29221</v>
      </c>
      <c r="H60" s="243">
        <v>20798</v>
      </c>
    </row>
    <row r="61" spans="1:10" x14ac:dyDescent="0.2">
      <c r="A61" s="420"/>
      <c r="B61" s="326">
        <v>0.15</v>
      </c>
      <c r="C61" s="243">
        <v>53928</v>
      </c>
      <c r="D61" s="243">
        <v>47802</v>
      </c>
      <c r="E61" s="243">
        <v>38949</v>
      </c>
      <c r="F61" s="243">
        <v>30276</v>
      </c>
      <c r="G61" s="243">
        <v>21780</v>
      </c>
      <c r="H61" s="243">
        <v>13455</v>
      </c>
    </row>
    <row r="62" spans="1:10" x14ac:dyDescent="0.2">
      <c r="B62" s="303"/>
      <c r="C62" s="303"/>
    </row>
    <row r="66" spans="1:9" x14ac:dyDescent="0.2">
      <c r="B66" s="310" t="s">
        <v>325</v>
      </c>
      <c r="E66" s="310" t="s">
        <v>328</v>
      </c>
      <c r="H66" s="419" t="s">
        <v>332</v>
      </c>
      <c r="I66" s="419"/>
    </row>
    <row r="67" spans="1:9" ht="13.5" thickBot="1" x14ac:dyDescent="0.25"/>
    <row r="68" spans="1:9" ht="26.25" thickBot="1" x14ac:dyDescent="0.25">
      <c r="B68" s="309" t="s">
        <v>326</v>
      </c>
      <c r="C68" s="309" t="s">
        <v>327</v>
      </c>
      <c r="E68" s="309" t="s">
        <v>329</v>
      </c>
      <c r="F68" s="309" t="s">
        <v>327</v>
      </c>
      <c r="H68" s="309" t="s">
        <v>330</v>
      </c>
      <c r="I68" s="309" t="s">
        <v>327</v>
      </c>
    </row>
    <row r="69" spans="1:9" x14ac:dyDescent="0.2">
      <c r="B69" s="311">
        <v>122</v>
      </c>
      <c r="C69" s="313">
        <v>67894</v>
      </c>
      <c r="E69" s="311" t="s">
        <v>183</v>
      </c>
      <c r="F69" s="320">
        <v>77469</v>
      </c>
      <c r="H69" s="318">
        <v>0</v>
      </c>
      <c r="I69" s="313">
        <v>67894</v>
      </c>
    </row>
    <row r="70" spans="1:9" ht="13.5" thickBot="1" x14ac:dyDescent="0.25">
      <c r="B70" s="311">
        <v>150</v>
      </c>
      <c r="C70" s="314">
        <v>76277</v>
      </c>
      <c r="E70" s="312" t="s">
        <v>184</v>
      </c>
      <c r="F70" s="315">
        <v>67894</v>
      </c>
      <c r="H70" s="316">
        <v>0.25</v>
      </c>
      <c r="I70" s="314">
        <v>56154</v>
      </c>
    </row>
    <row r="71" spans="1:9" x14ac:dyDescent="0.2">
      <c r="B71" s="311">
        <v>175</v>
      </c>
      <c r="C71" s="314">
        <v>83777</v>
      </c>
      <c r="H71" s="316">
        <v>0.5</v>
      </c>
      <c r="I71" s="314">
        <v>44324</v>
      </c>
    </row>
    <row r="72" spans="1:9" x14ac:dyDescent="0.2">
      <c r="B72" s="311">
        <v>200</v>
      </c>
      <c r="C72" s="314">
        <v>91277</v>
      </c>
      <c r="H72" s="316">
        <v>0.75</v>
      </c>
      <c r="I72" s="314">
        <v>32493</v>
      </c>
    </row>
    <row r="73" spans="1:9" ht="13.5" thickBot="1" x14ac:dyDescent="0.25">
      <c r="B73" s="311">
        <v>225</v>
      </c>
      <c r="C73" s="314">
        <v>98777</v>
      </c>
      <c r="H73" s="317">
        <v>1</v>
      </c>
      <c r="I73" s="258">
        <v>20663</v>
      </c>
    </row>
    <row r="74" spans="1:9" ht="13.5" thickBot="1" x14ac:dyDescent="0.25">
      <c r="B74" s="312">
        <v>250</v>
      </c>
      <c r="C74" s="258">
        <v>106277</v>
      </c>
    </row>
    <row r="78" spans="1:9" x14ac:dyDescent="0.2">
      <c r="A78" t="s">
        <v>324</v>
      </c>
    </row>
    <row r="79" spans="1:9" x14ac:dyDescent="0.2">
      <c r="A79" t="s">
        <v>323</v>
      </c>
    </row>
    <row r="84" spans="1:7" ht="13.5" thickBot="1" x14ac:dyDescent="0.25">
      <c r="G84" s="263">
        <v>37621</v>
      </c>
    </row>
    <row r="85" spans="1:7" ht="13.5" thickBot="1" x14ac:dyDescent="0.25">
      <c r="F85" s="263">
        <v>37256</v>
      </c>
      <c r="G85" s="243">
        <v>818928.0973146098</v>
      </c>
    </row>
    <row r="86" spans="1:7" ht="18" x14ac:dyDescent="0.25">
      <c r="A86" s="264" t="s">
        <v>271</v>
      </c>
      <c r="F86" s="243">
        <v>847494.07377147279</v>
      </c>
      <c r="G86" s="243"/>
    </row>
    <row r="87" spans="1:7" x14ac:dyDescent="0.2">
      <c r="F87" s="243"/>
      <c r="G87" s="243">
        <v>-81892.809731460991</v>
      </c>
    </row>
    <row r="88" spans="1:7" x14ac:dyDescent="0.2">
      <c r="F88" s="243">
        <v>-84749.40737714729</v>
      </c>
      <c r="G88" s="243">
        <v>-11317.647463335583</v>
      </c>
    </row>
    <row r="89" spans="1:7" ht="13.5" thickBot="1" x14ac:dyDescent="0.25">
      <c r="E89" s="263">
        <v>36891</v>
      </c>
      <c r="F89" s="243">
        <v>-12233.586225721176</v>
      </c>
      <c r="G89" s="243">
        <v>-116948.15899849815</v>
      </c>
    </row>
    <row r="90" spans="1:7" x14ac:dyDescent="0.2">
      <c r="A90" s="242" t="s">
        <v>25</v>
      </c>
      <c r="B90" s="242"/>
      <c r="C90" s="242"/>
      <c r="D90" s="242"/>
      <c r="E90" s="243">
        <v>867486.68498051981</v>
      </c>
      <c r="F90" s="243">
        <v>-120477.21027213815</v>
      </c>
      <c r="G90" s="243">
        <v>-10185.009717352763</v>
      </c>
    </row>
    <row r="91" spans="1:7" x14ac:dyDescent="0.2">
      <c r="A91" s="242"/>
      <c r="B91" s="242"/>
      <c r="C91" s="242"/>
      <c r="D91" s="242"/>
      <c r="E91" s="243"/>
      <c r="F91" s="243">
        <v>-10543.951234131426</v>
      </c>
      <c r="G91" s="243">
        <v>-277307</v>
      </c>
    </row>
    <row r="92" spans="1:7" x14ac:dyDescent="0.2">
      <c r="A92" s="242" t="s">
        <v>74</v>
      </c>
      <c r="B92" s="242" t="s">
        <v>191</v>
      </c>
      <c r="C92" s="242"/>
      <c r="D92" s="242"/>
      <c r="E92" s="243">
        <v>-86748.668498051993</v>
      </c>
      <c r="F92" s="243">
        <v>-293616</v>
      </c>
      <c r="G92" s="243">
        <v>-28195.489735046358</v>
      </c>
    </row>
    <row r="93" spans="1:7" ht="13.5" thickBot="1" x14ac:dyDescent="0.25">
      <c r="A93" s="242"/>
      <c r="B93" s="242" t="s">
        <v>203</v>
      </c>
      <c r="C93" s="242"/>
      <c r="D93" s="242"/>
      <c r="E93" s="243">
        <v>-13091.406164599133</v>
      </c>
      <c r="F93" s="243">
        <v>-34490.641259477678</v>
      </c>
      <c r="G93" s="262">
        <v>-51369.630886295723</v>
      </c>
    </row>
    <row r="94" spans="1:7" ht="13.5" thickBot="1" x14ac:dyDescent="0.25">
      <c r="A94" s="242"/>
      <c r="B94" s="242" t="s">
        <v>76</v>
      </c>
      <c r="C94" s="242"/>
      <c r="D94" s="242"/>
      <c r="E94" s="243">
        <v>-121100.03659294323</v>
      </c>
      <c r="F94" s="262">
        <v>-57984.204709036581</v>
      </c>
      <c r="G94" s="243"/>
    </row>
    <row r="95" spans="1:7" x14ac:dyDescent="0.2">
      <c r="A95" s="242"/>
      <c r="B95" s="242" t="s">
        <v>131</v>
      </c>
      <c r="C95" s="242"/>
      <c r="D95" s="242"/>
      <c r="E95" s="243">
        <v>-10874.200679128722</v>
      </c>
      <c r="F95" s="243"/>
      <c r="G95" s="243">
        <f>F96</f>
        <v>90000</v>
      </c>
    </row>
    <row r="96" spans="1:7" x14ac:dyDescent="0.2">
      <c r="A96" s="242"/>
      <c r="B96" s="242" t="s">
        <v>32</v>
      </c>
      <c r="C96" s="242"/>
      <c r="D96" s="242"/>
      <c r="E96" s="243">
        <v>-309360</v>
      </c>
      <c r="F96" s="243">
        <f>E100</f>
        <v>90000</v>
      </c>
      <c r="G96" s="243"/>
    </row>
    <row r="97" spans="1:7" x14ac:dyDescent="0.2">
      <c r="A97" s="242"/>
      <c r="B97" s="242" t="s">
        <v>155</v>
      </c>
      <c r="C97" s="242"/>
      <c r="D97" s="242"/>
      <c r="E97" s="243">
        <v>-40875.614395733646</v>
      </c>
      <c r="F97" s="243"/>
      <c r="G97" s="243">
        <f>SUM(G85:G95)</f>
        <v>331712.35078262025</v>
      </c>
    </row>
    <row r="98" spans="1:7" ht="13.5" thickBot="1" x14ac:dyDescent="0.25">
      <c r="A98" s="242"/>
      <c r="B98" s="242" t="s">
        <v>143</v>
      </c>
      <c r="C98" s="242"/>
      <c r="D98" s="242"/>
      <c r="E98" s="262">
        <v>-64598.778531777432</v>
      </c>
      <c r="F98" s="243">
        <f>SUM(F86:F96)</f>
        <v>323399.0726938204</v>
      </c>
    </row>
    <row r="99" spans="1:7" ht="13.5" thickBot="1" x14ac:dyDescent="0.25">
      <c r="A99" s="242"/>
      <c r="B99" s="242"/>
      <c r="C99" s="242"/>
      <c r="D99" s="242"/>
      <c r="E99" s="243"/>
      <c r="G99" s="266">
        <f>F100</f>
        <v>162085.77008355682</v>
      </c>
    </row>
    <row r="100" spans="1:7" ht="13.5" thickBot="1" x14ac:dyDescent="0.25">
      <c r="A100" s="242" t="s">
        <v>103</v>
      </c>
      <c r="B100" s="242" t="s">
        <v>104</v>
      </c>
      <c r="C100" s="242"/>
      <c r="E100" s="243">
        <f>(300*600)*0.5</f>
        <v>90000</v>
      </c>
      <c r="F100" s="266">
        <f>E104</f>
        <v>162085.77008355682</v>
      </c>
    </row>
    <row r="101" spans="1:7" x14ac:dyDescent="0.2">
      <c r="A101" s="242"/>
      <c r="B101" s="242"/>
      <c r="C101" s="242"/>
      <c r="D101" s="242"/>
      <c r="E101" s="243"/>
      <c r="G101" s="265">
        <f>G97-G99</f>
        <v>169626.58069906343</v>
      </c>
    </row>
    <row r="102" spans="1:7" x14ac:dyDescent="0.2">
      <c r="A102" s="242" t="s">
        <v>266</v>
      </c>
      <c r="B102" s="242"/>
      <c r="C102" s="242"/>
      <c r="D102" s="242"/>
      <c r="E102" s="243">
        <f>SUM(E90:E100)</f>
        <v>310837.98011828557</v>
      </c>
      <c r="F102" s="265">
        <f>F98-F100</f>
        <v>161313.30261026358</v>
      </c>
    </row>
    <row r="104" spans="1:7" ht="13.5" thickBot="1" x14ac:dyDescent="0.25">
      <c r="A104" s="242" t="s">
        <v>268</v>
      </c>
      <c r="E104" s="266">
        <f>E33</f>
        <v>162085.77008355682</v>
      </c>
    </row>
    <row r="106" spans="1:7" x14ac:dyDescent="0.2">
      <c r="A106" s="242" t="s">
        <v>269</v>
      </c>
      <c r="E106" s="265">
        <f>E102-E104</f>
        <v>148752.21003472875</v>
      </c>
    </row>
    <row r="108" spans="1:7" x14ac:dyDescent="0.2">
      <c r="A108" s="242" t="s">
        <v>210</v>
      </c>
    </row>
    <row r="109" spans="1:7" x14ac:dyDescent="0.2">
      <c r="A109" t="s">
        <v>264</v>
      </c>
    </row>
    <row r="110" spans="1:7" x14ac:dyDescent="0.2">
      <c r="A110" t="s">
        <v>273</v>
      </c>
    </row>
    <row r="111" spans="1:7" x14ac:dyDescent="0.2">
      <c r="A111" t="s">
        <v>274</v>
      </c>
    </row>
    <row r="112" spans="1:7" x14ac:dyDescent="0.2">
      <c r="A112" t="s">
        <v>270</v>
      </c>
    </row>
    <row r="113" spans="1:1" x14ac:dyDescent="0.2">
      <c r="A113" t="s">
        <v>275</v>
      </c>
    </row>
  </sheetData>
  <mergeCells count="6">
    <mergeCell ref="H66:I66"/>
    <mergeCell ref="A56:A61"/>
    <mergeCell ref="A48:J49"/>
    <mergeCell ref="C54:H54"/>
    <mergeCell ref="C53:H53"/>
    <mergeCell ref="A51:H51"/>
  </mergeCells>
  <pageMargins left="0.5" right="0.27" top="0.18" bottom="0.5" header="0.19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Model</vt:lpstr>
      <vt:lpstr>Merchant</vt:lpstr>
      <vt:lpstr>Sayreville</vt:lpstr>
      <vt:lpstr>Bellingham</vt:lpstr>
      <vt:lpstr>Summary</vt:lpstr>
      <vt:lpstr>Merchant!Print_Area</vt:lpstr>
      <vt:lpstr>Model!Print_Area</vt:lpstr>
      <vt:lpstr>Summary!Print_Area</vt:lpstr>
      <vt:lpstr>Model!Print_Titles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2000-07-10T15:59:22Z</cp:lastPrinted>
  <dcterms:created xsi:type="dcterms:W3CDTF">2000-04-07T12:41:15Z</dcterms:created>
  <dcterms:modified xsi:type="dcterms:W3CDTF">2023-09-13T21:39:37Z</dcterms:modified>
</cp:coreProperties>
</file>