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DBCFE494-10AD-4C06-BD50-A9EA8F075438}"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s>
  <definedNames>
    <definedName name="_xlnm.Print_Area" localSheetId="6">'Calvert City'!$A$1:$BV$218</definedName>
    <definedName name="_xlnm.Print_Area" localSheetId="7">Gleason!$A$1:$BV$254</definedName>
    <definedName name="_xlnm.Print_Area" localSheetId="4">Summary!$A$1:$O$114</definedName>
    <definedName name="_xlnm.Print_Area" localSheetId="8">Wheatland!$A$1:$BT$214</definedName>
    <definedName name="_xlnm.Print_Area" localSheetId="5">Wilton!$A$1:$BT$220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fullCalcOnLoad="1"/>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A5"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F9"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F14" i="15"/>
  <c r="BN14" i="15"/>
  <c r="BP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H43" i="15"/>
  <c r="BN43" i="15"/>
  <c r="BP43" i="15"/>
  <c r="BR43" i="15"/>
  <c r="BT43" i="15"/>
  <c r="BV43" i="15"/>
  <c r="AR44" i="15"/>
  <c r="AV44" i="15"/>
  <c r="AZ44" i="15"/>
  <c r="BH44" i="15"/>
  <c r="BN44" i="15"/>
  <c r="BP44" i="15"/>
  <c r="BR44" i="15"/>
  <c r="BT44" i="15"/>
  <c r="BV44" i="15"/>
  <c r="AR45" i="15"/>
  <c r="AV45" i="15"/>
  <c r="AZ45" i="15"/>
  <c r="BH45" i="15"/>
  <c r="BN45" i="15"/>
  <c r="BP45" i="15"/>
  <c r="BR45" i="15"/>
  <c r="BT45" i="15"/>
  <c r="BV45" i="15"/>
  <c r="AV46" i="15"/>
  <c r="AZ46" i="15"/>
  <c r="BH46" i="15"/>
  <c r="BN46" i="15"/>
  <c r="BP46" i="15"/>
  <c r="BR46" i="15"/>
  <c r="BT46" i="15"/>
  <c r="BV46" i="15"/>
  <c r="AV47" i="15"/>
  <c r="AZ47" i="15"/>
  <c r="BH47" i="15"/>
  <c r="BN47" i="15"/>
  <c r="BR47" i="15"/>
  <c r="BT47" i="15"/>
  <c r="BV47" i="15"/>
  <c r="BN48" i="15"/>
  <c r="BR48" i="15"/>
  <c r="BT48" i="15"/>
  <c r="BV48" i="15"/>
  <c r="BN49" i="15"/>
  <c r="BR49" i="15"/>
  <c r="BT49" i="15"/>
  <c r="BV49" i="15"/>
  <c r="BN50" i="15"/>
  <c r="BR50" i="15"/>
  <c r="BT50" i="15"/>
  <c r="BV50" i="15"/>
  <c r="AZ51" i="15"/>
  <c r="BH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D54" i="15"/>
  <c r="BF54" i="15"/>
  <c r="BG54" i="15"/>
  <c r="BH54" i="15"/>
  <c r="BI54" i="15"/>
  <c r="BJ54" i="15"/>
  <c r="BK54" i="15"/>
  <c r="BL54" i="15"/>
  <c r="BM54" i="15"/>
  <c r="BN54" i="15"/>
  <c r="BO54" i="15"/>
  <c r="BP54" i="15"/>
  <c r="BQ54" i="15"/>
  <c r="BR54" i="15"/>
  <c r="BS54" i="15"/>
  <c r="BT54" i="15"/>
  <c r="BV54" i="15"/>
  <c r="AZ57" i="15"/>
  <c r="BH57" i="15"/>
  <c r="BN57" i="15"/>
  <c r="BR57" i="15"/>
  <c r="BT57" i="15"/>
  <c r="BV57" i="15"/>
  <c r="AZ58" i="15"/>
  <c r="BH58" i="15"/>
  <c r="BN58" i="15"/>
  <c r="BP58" i="15"/>
  <c r="BR58" i="15"/>
  <c r="BT58" i="15"/>
  <c r="BV58" i="15"/>
  <c r="BH59" i="15"/>
  <c r="BN59" i="15"/>
  <c r="BR59" i="15"/>
  <c r="BT59" i="15"/>
  <c r="BV59" i="15"/>
  <c r="BH60" i="15"/>
  <c r="BN60" i="15"/>
  <c r="BP60" i="15"/>
  <c r="BR60" i="15"/>
  <c r="BT60" i="15"/>
  <c r="BV60" i="15"/>
  <c r="BH61"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D63" i="15"/>
  <c r="BF63" i="15"/>
  <c r="BG63" i="15"/>
  <c r="BH63" i="15"/>
  <c r="BI63" i="15"/>
  <c r="BJ63" i="15"/>
  <c r="BK63" i="15"/>
  <c r="BL63" i="15"/>
  <c r="BM63" i="15"/>
  <c r="BN63" i="15"/>
  <c r="BO63" i="15"/>
  <c r="BP63" i="15"/>
  <c r="BQ63" i="15"/>
  <c r="BR63" i="15"/>
  <c r="BS63" i="15"/>
  <c r="BT63" i="15"/>
  <c r="BV63" i="15"/>
  <c r="R66" i="15"/>
  <c r="AV66" i="15"/>
  <c r="AZ66" i="15"/>
  <c r="BH66" i="15"/>
  <c r="BN66" i="15"/>
  <c r="BR66" i="15"/>
  <c r="BT66" i="15"/>
  <c r="BV66" i="15"/>
  <c r="AV67" i="15"/>
  <c r="AZ67" i="15"/>
  <c r="BH67" i="15"/>
  <c r="BN67" i="15"/>
  <c r="BP67" i="15"/>
  <c r="BR67" i="15"/>
  <c r="BT67" i="15"/>
  <c r="BV67" i="15"/>
  <c r="AZ68" i="15"/>
  <c r="BH68" i="15"/>
  <c r="BN68" i="15"/>
  <c r="BR68" i="15"/>
  <c r="BT68" i="15"/>
  <c r="BV68" i="15"/>
  <c r="BH69" i="15"/>
  <c r="BN69" i="15"/>
  <c r="BP69" i="15"/>
  <c r="BR69" i="15"/>
  <c r="BT69" i="15"/>
  <c r="BV69" i="15"/>
  <c r="AZ70" i="15"/>
  <c r="BH70" i="15"/>
  <c r="BN70" i="15"/>
  <c r="BR70" i="15"/>
  <c r="BT70" i="15"/>
  <c r="BV70" i="15"/>
  <c r="AV71" i="15"/>
  <c r="AZ71" i="15"/>
  <c r="BH71" i="15"/>
  <c r="BN71" i="15"/>
  <c r="BP71" i="15"/>
  <c r="BR71" i="15"/>
  <c r="BT71" i="15"/>
  <c r="BV71" i="15"/>
  <c r="AZ72" i="15"/>
  <c r="BH72" i="15"/>
  <c r="BN72" i="15"/>
  <c r="BR72" i="15"/>
  <c r="BT72" i="15"/>
  <c r="BV72" i="15"/>
  <c r="BH73" i="15"/>
  <c r="BN73" i="15"/>
  <c r="BP73" i="15"/>
  <c r="BR73" i="15"/>
  <c r="BT73" i="15"/>
  <c r="BV73" i="15"/>
  <c r="AZ74" i="15"/>
  <c r="BH74" i="15"/>
  <c r="BN74" i="15"/>
  <c r="BR74" i="15"/>
  <c r="BT74" i="15"/>
  <c r="BV74" i="15"/>
  <c r="AZ75" i="15"/>
  <c r="BH75" i="15"/>
  <c r="BN75" i="15"/>
  <c r="BP75" i="15"/>
  <c r="BR75" i="15"/>
  <c r="BT75" i="15"/>
  <c r="BV75" i="15"/>
  <c r="BN76" i="15"/>
  <c r="BR76" i="15"/>
  <c r="BT76" i="15"/>
  <c r="BV76" i="15"/>
  <c r="BH77" i="15"/>
  <c r="BN77" i="15"/>
  <c r="BP77" i="15"/>
  <c r="BR77" i="15"/>
  <c r="BT77" i="15"/>
  <c r="BV77" i="15"/>
  <c r="AZ78" i="15"/>
  <c r="BH78" i="15"/>
  <c r="BN78" i="15"/>
  <c r="BR78" i="15"/>
  <c r="BT78" i="15"/>
  <c r="BV78" i="15"/>
  <c r="AZ79" i="15"/>
  <c r="BH79" i="15"/>
  <c r="BN79" i="15"/>
  <c r="BP79" i="15"/>
  <c r="BR79" i="15"/>
  <c r="BT79" i="15"/>
  <c r="BV79" i="15"/>
  <c r="BH80" i="15"/>
  <c r="BN80" i="15"/>
  <c r="BP80" i="15"/>
  <c r="BR80" i="15"/>
  <c r="BT80" i="15"/>
  <c r="BV80" i="15"/>
  <c r="BN81" i="15"/>
  <c r="BP81" i="15"/>
  <c r="BR81" i="15"/>
  <c r="BT81" i="15"/>
  <c r="BV81" i="15"/>
  <c r="R82" i="15"/>
  <c r="BH82" i="15"/>
  <c r="BN82" i="15"/>
  <c r="BR82" i="15"/>
  <c r="BT82" i="15"/>
  <c r="BV82" i="15"/>
  <c r="AZ83" i="15"/>
  <c r="BH83" i="15"/>
  <c r="BN83" i="15"/>
  <c r="BP83" i="15"/>
  <c r="BR83" i="15"/>
  <c r="BT83" i="15"/>
  <c r="BV83" i="15"/>
  <c r="BH84"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D86" i="15"/>
  <c r="BF86" i="15"/>
  <c r="BG86" i="15"/>
  <c r="BH86" i="15"/>
  <c r="BI86" i="15"/>
  <c r="BJ86" i="15"/>
  <c r="BK86" i="15"/>
  <c r="BL86" i="15"/>
  <c r="BM86" i="15"/>
  <c r="BN86" i="15"/>
  <c r="BO86" i="15"/>
  <c r="BP86" i="15"/>
  <c r="BQ86" i="15"/>
  <c r="BR86" i="15"/>
  <c r="BS86" i="15"/>
  <c r="BT86" i="15"/>
  <c r="BU86" i="15"/>
  <c r="BV86" i="15"/>
  <c r="AZ89" i="15"/>
  <c r="BH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D91" i="15"/>
  <c r="BF91" i="15"/>
  <c r="BG91" i="15"/>
  <c r="BH91" i="15"/>
  <c r="BI91" i="15"/>
  <c r="BJ91" i="15"/>
  <c r="BK91" i="15"/>
  <c r="BL91" i="15"/>
  <c r="BM91" i="15"/>
  <c r="BN91" i="15"/>
  <c r="BO91" i="15"/>
  <c r="BP91" i="15"/>
  <c r="BQ91" i="15"/>
  <c r="BR91" i="15"/>
  <c r="BS91" i="15"/>
  <c r="BT91" i="15"/>
  <c r="BV91" i="15"/>
  <c r="BN93" i="15"/>
  <c r="BV93" i="15"/>
  <c r="AR95" i="15"/>
  <c r="AV95" i="15"/>
  <c r="BF95" i="15"/>
  <c r="BH95" i="15"/>
  <c r="BN95" i="15"/>
  <c r="BP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H98"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D136"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D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F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D203" i="15"/>
  <c r="BF203" i="15"/>
  <c r="BG203" i="15"/>
  <c r="BH203" i="15"/>
  <c r="BI203" i="15"/>
  <c r="BJ203" i="15"/>
  <c r="BK203" i="15"/>
  <c r="BL203" i="15"/>
  <c r="BM203" i="15"/>
  <c r="BN203" i="15"/>
  <c r="BO203" i="15"/>
  <c r="BP203" i="15"/>
  <c r="BQ203" i="15"/>
  <c r="BR203" i="15"/>
  <c r="BS203" i="15"/>
  <c r="BT203" i="15"/>
  <c r="BU203" i="15"/>
  <c r="BV203" i="15"/>
  <c r="BW203" i="15"/>
  <c r="P206" i="15"/>
  <c r="BF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F211" i="15"/>
  <c r="BN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D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D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D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D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D237" i="15"/>
  <c r="BF237" i="15"/>
  <c r="BG237" i="15"/>
  <c r="BH237" i="15"/>
  <c r="BI237" i="15"/>
  <c r="BJ237" i="15"/>
  <c r="BK237" i="15"/>
  <c r="BL237" i="15"/>
  <c r="BM237" i="15"/>
  <c r="BN237" i="15"/>
  <c r="BO237" i="15"/>
  <c r="BP237" i="15"/>
  <c r="BQ237" i="15"/>
  <c r="BR237" i="15"/>
  <c r="BS237" i="15"/>
  <c r="BT237" i="15"/>
  <c r="BU237" i="15"/>
  <c r="BV237" i="15"/>
  <c r="BW237" i="15"/>
  <c r="BN243" i="15"/>
  <c r="BP244" i="15"/>
  <c r="BN247" i="15"/>
  <c r="BN252" i="15"/>
  <c r="BN253"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8" i="5"/>
  <c r="C69" i="5"/>
  <c r="C71" i="5"/>
  <c r="C72" i="5"/>
  <c r="C73" i="5"/>
  <c r="C77" i="5"/>
  <c r="C78" i="5"/>
  <c r="C79" i="5"/>
  <c r="C80" i="5"/>
  <c r="C81" i="5"/>
  <c r="C82" i="5"/>
  <c r="C83" i="5"/>
  <c r="C84" i="5"/>
  <c r="C85" i="5"/>
  <c r="C86" i="5"/>
  <c r="C87" i="5"/>
  <c r="C88" i="5"/>
  <c r="C89" i="5"/>
  <c r="C90" i="5"/>
  <c r="C91" i="5"/>
  <c r="C92" i="5"/>
  <c r="C93" i="5"/>
  <c r="C96" i="5"/>
  <c r="C97" i="5"/>
  <c r="C98" i="5"/>
  <c r="C99" i="5"/>
  <c r="C100" i="5"/>
  <c r="C101" i="5"/>
  <c r="C102" i="5"/>
  <c r="C103" i="5"/>
  <c r="C104" i="5"/>
  <c r="C105" i="5"/>
  <c r="C106" i="5"/>
  <c r="C108" i="5"/>
  <c r="C110" i="5"/>
  <c r="C111" i="5"/>
  <c r="A114" i="5"/>
  <c r="A1" i="13"/>
  <c r="A2" i="13"/>
  <c r="BT2" i="13"/>
  <c r="BP3" i="13"/>
  <c r="BT3" i="13"/>
  <c r="BV3" i="13"/>
  <c r="B4" i="13"/>
  <c r="A5"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D9" i="13"/>
  <c r="AV9" i="13"/>
  <c r="BD9" i="13"/>
  <c r="BL9" i="13"/>
  <c r="BN9" i="13"/>
  <c r="BP9" i="13"/>
  <c r="BR9" i="13"/>
  <c r="BT9" i="13"/>
  <c r="BL10" i="13"/>
  <c r="BN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AZ89" i="13"/>
  <c r="BD89" i="13"/>
  <c r="BL89" i="13"/>
  <c r="BN89" i="13"/>
  <c r="BP89" i="13"/>
  <c r="BR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B157" i="13"/>
  <c r="BD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D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B169" i="13"/>
  <c r="BL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BL206" i="13"/>
  <c r="BL210" i="13"/>
  <c r="BL212" i="13"/>
  <c r="BL214"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A5" i="12"/>
  <c r="N7" i="12"/>
  <c r="R7" i="12"/>
  <c r="T7" i="12"/>
  <c r="V7" i="12"/>
  <c r="X7" i="12"/>
  <c r="Z7" i="12"/>
  <c r="AB7" i="12"/>
  <c r="AD7" i="12"/>
  <c r="AF7" i="12"/>
  <c r="AH7" i="12"/>
  <c r="AJ7" i="12"/>
  <c r="AL7" i="12"/>
  <c r="AN7" i="12"/>
  <c r="AP7" i="12"/>
  <c r="AR7" i="12"/>
  <c r="AT7" i="12"/>
  <c r="AV7" i="12"/>
  <c r="AX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D39" i="12"/>
  <c r="BF39" i="12"/>
  <c r="BL39" i="12"/>
  <c r="BN39" i="12"/>
  <c r="BP39" i="12"/>
  <c r="BR39" i="12"/>
  <c r="BT39" i="12"/>
  <c r="AP40" i="12"/>
  <c r="AR40" i="12"/>
  <c r="AT40" i="12"/>
  <c r="AX40" i="12"/>
  <c r="BD40" i="12"/>
  <c r="BF40" i="12"/>
  <c r="BL40" i="12"/>
  <c r="BN40" i="12"/>
  <c r="BP40" i="12"/>
  <c r="BR40" i="12"/>
  <c r="BT40" i="12"/>
  <c r="AP41" i="12"/>
  <c r="AR41" i="12"/>
  <c r="AT41" i="12"/>
  <c r="AX41" i="12"/>
  <c r="BD41" i="12"/>
  <c r="BF41" i="12"/>
  <c r="BL41" i="12"/>
  <c r="BN41" i="12"/>
  <c r="BP41" i="12"/>
  <c r="BR41" i="12"/>
  <c r="BT41" i="12"/>
  <c r="R42" i="12"/>
  <c r="AP42" i="12"/>
  <c r="AR42" i="12"/>
  <c r="AT42" i="12"/>
  <c r="AX42" i="12"/>
  <c r="BD42" i="12"/>
  <c r="BF42" i="12"/>
  <c r="BL42" i="12"/>
  <c r="BN42" i="12"/>
  <c r="BP42" i="12"/>
  <c r="BR42" i="12"/>
  <c r="BT42" i="12"/>
  <c r="AR43" i="12"/>
  <c r="AT43" i="12"/>
  <c r="AX43" i="12"/>
  <c r="BD43" i="12"/>
  <c r="BL43" i="12"/>
  <c r="BN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D46" i="12"/>
  <c r="BF46" i="12"/>
  <c r="BH46" i="12"/>
  <c r="BJ46" i="12"/>
  <c r="BL46" i="12"/>
  <c r="BN46" i="12"/>
  <c r="BP46" i="12"/>
  <c r="BQ46" i="12"/>
  <c r="BR46" i="12"/>
  <c r="BS46" i="12"/>
  <c r="BT46" i="12"/>
  <c r="AT49" i="12"/>
  <c r="AX49" i="12"/>
  <c r="BD49" i="12"/>
  <c r="BF49" i="12"/>
  <c r="BL49" i="12"/>
  <c r="BN49" i="12"/>
  <c r="BP49" i="12"/>
  <c r="BR49" i="12"/>
  <c r="BT49" i="12"/>
  <c r="AR50" i="12"/>
  <c r="AT50" i="12"/>
  <c r="AX50" i="12"/>
  <c r="BD50" i="12"/>
  <c r="BF50" i="12"/>
  <c r="BL50" i="12"/>
  <c r="BN50" i="12"/>
  <c r="BP50" i="12"/>
  <c r="BR50" i="12"/>
  <c r="BT50" i="12"/>
  <c r="AT51" i="12"/>
  <c r="AX51" i="12"/>
  <c r="BD51" i="12"/>
  <c r="BF51" i="12"/>
  <c r="BL51" i="12"/>
  <c r="BN51" i="12"/>
  <c r="BP51" i="12"/>
  <c r="BR51" i="12"/>
  <c r="BT51" i="12"/>
  <c r="AX52" i="12"/>
  <c r="BD52" i="12"/>
  <c r="BF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D53" i="12"/>
  <c r="BF53" i="12"/>
  <c r="BH53" i="12"/>
  <c r="BJ53" i="12"/>
  <c r="BL53" i="12"/>
  <c r="BN53" i="12"/>
  <c r="BP53" i="12"/>
  <c r="BQ53" i="12"/>
  <c r="BR53" i="12"/>
  <c r="BS53" i="12"/>
  <c r="BT53" i="12"/>
  <c r="R56" i="12"/>
  <c r="AT56" i="12"/>
  <c r="BD56" i="12"/>
  <c r="BF56" i="12"/>
  <c r="BL56" i="12"/>
  <c r="BN56" i="12"/>
  <c r="BP56" i="12"/>
  <c r="BR56" i="12"/>
  <c r="BT56" i="12"/>
  <c r="BF57" i="12"/>
  <c r="BL57" i="12"/>
  <c r="BN57" i="12"/>
  <c r="BP57" i="12"/>
  <c r="BR57" i="12"/>
  <c r="BT57" i="12"/>
  <c r="AT58" i="12"/>
  <c r="AX58" i="12"/>
  <c r="BD58" i="12"/>
  <c r="BF58" i="12"/>
  <c r="BL58" i="12"/>
  <c r="BN58" i="12"/>
  <c r="BP58" i="12"/>
  <c r="BR58" i="12"/>
  <c r="BT58" i="12"/>
  <c r="AX59" i="12"/>
  <c r="BD59" i="12"/>
  <c r="BF59" i="12"/>
  <c r="BL59" i="12"/>
  <c r="BN59" i="12"/>
  <c r="BP59" i="12"/>
  <c r="BR59" i="12"/>
  <c r="BT59" i="12"/>
  <c r="AT60" i="12"/>
  <c r="AX60" i="12"/>
  <c r="BD60" i="12"/>
  <c r="BF60" i="12"/>
  <c r="BL60" i="12"/>
  <c r="BN60" i="12"/>
  <c r="BP60" i="12"/>
  <c r="BR60" i="12"/>
  <c r="BT60" i="12"/>
  <c r="AT61" i="12"/>
  <c r="AX61" i="12"/>
  <c r="BD61" i="12"/>
  <c r="BL61" i="12"/>
  <c r="BN61" i="12"/>
  <c r="BP61" i="12"/>
  <c r="BR61" i="12"/>
  <c r="BT61" i="12"/>
  <c r="AX62" i="12"/>
  <c r="BD62" i="12"/>
  <c r="BF62" i="12"/>
  <c r="BL62" i="12"/>
  <c r="BN62" i="12"/>
  <c r="BP62" i="12"/>
  <c r="BR62" i="12"/>
  <c r="BT62" i="12"/>
  <c r="AT63" i="12"/>
  <c r="AX63" i="12"/>
  <c r="BD63" i="12"/>
  <c r="BF63" i="12"/>
  <c r="BL63" i="12"/>
  <c r="BN63" i="12"/>
  <c r="BP63" i="12"/>
  <c r="BR63" i="12"/>
  <c r="BT63" i="12"/>
  <c r="AX64" i="12"/>
  <c r="BD64" i="12"/>
  <c r="BF64" i="12"/>
  <c r="BL64" i="12"/>
  <c r="BN64" i="12"/>
  <c r="BP64" i="12"/>
  <c r="BR64" i="12"/>
  <c r="BT64" i="12"/>
  <c r="AT65" i="12"/>
  <c r="AX65" i="12"/>
  <c r="BD65" i="12"/>
  <c r="BF65" i="12"/>
  <c r="BL65" i="12"/>
  <c r="BN65" i="12"/>
  <c r="BP65" i="12"/>
  <c r="BR65" i="12"/>
  <c r="BT65" i="12"/>
  <c r="AX66" i="12"/>
  <c r="BD66" i="12"/>
  <c r="BF66" i="12"/>
  <c r="BL66" i="12"/>
  <c r="BN66" i="12"/>
  <c r="BP66" i="12"/>
  <c r="BR66" i="12"/>
  <c r="BT66" i="12"/>
  <c r="AX67" i="12"/>
  <c r="BD67" i="12"/>
  <c r="BL67" i="12"/>
  <c r="BN67" i="12"/>
  <c r="BP67" i="12"/>
  <c r="BR67" i="12"/>
  <c r="BT67" i="12"/>
  <c r="BD68" i="12"/>
  <c r="BF68" i="12"/>
  <c r="BL68" i="12"/>
  <c r="BN68" i="12"/>
  <c r="BP68" i="12"/>
  <c r="BR68" i="12"/>
  <c r="BT68" i="12"/>
  <c r="AX69" i="12"/>
  <c r="BD69" i="12"/>
  <c r="BF69" i="12"/>
  <c r="BL69" i="12"/>
  <c r="BN69" i="12"/>
  <c r="BP69" i="12"/>
  <c r="BR69" i="12"/>
  <c r="BT69" i="12"/>
  <c r="AT70" i="12"/>
  <c r="AX70" i="12"/>
  <c r="BD70" i="12"/>
  <c r="BF70" i="12"/>
  <c r="BL70" i="12"/>
  <c r="BN70" i="12"/>
  <c r="BP70" i="12"/>
  <c r="BR70" i="12"/>
  <c r="BT70" i="12"/>
  <c r="AX71" i="12"/>
  <c r="BD71" i="12"/>
  <c r="BF71" i="12"/>
  <c r="BL71" i="12"/>
  <c r="BN71" i="12"/>
  <c r="BP71" i="12"/>
  <c r="BR71" i="12"/>
  <c r="BT71" i="12"/>
  <c r="AX72" i="12"/>
  <c r="BD72" i="12"/>
  <c r="BF72" i="12"/>
  <c r="BL72" i="12"/>
  <c r="BN72" i="12"/>
  <c r="BP72" i="12"/>
  <c r="BR72" i="12"/>
  <c r="BT72" i="12"/>
  <c r="R73" i="12"/>
  <c r="BD73" i="12"/>
  <c r="BF73" i="12"/>
  <c r="BL73" i="12"/>
  <c r="BN73" i="12"/>
  <c r="BP73" i="12"/>
  <c r="BR73" i="12"/>
  <c r="BT73" i="12"/>
  <c r="AT74" i="12"/>
  <c r="AX74" i="12"/>
  <c r="BD74" i="12"/>
  <c r="BF74" i="12"/>
  <c r="BL74" i="12"/>
  <c r="BN74" i="12"/>
  <c r="BP74" i="12"/>
  <c r="BR74" i="12"/>
  <c r="BT74" i="12"/>
  <c r="BD75" i="12"/>
  <c r="BF75" i="12"/>
  <c r="BL75" i="12"/>
  <c r="BN75" i="12"/>
  <c r="BP75" i="12"/>
  <c r="BR75" i="12"/>
  <c r="BT75" i="12"/>
  <c r="BL76" i="12"/>
  <c r="BP76" i="12"/>
  <c r="BR76" i="12"/>
  <c r="BT76" i="12"/>
  <c r="AX77" i="12"/>
  <c r="BD77" i="12"/>
  <c r="BF77" i="12"/>
  <c r="BL77" i="12"/>
  <c r="BN77" i="12"/>
  <c r="BP77" i="12"/>
  <c r="BR77" i="12"/>
  <c r="BT77" i="12"/>
  <c r="AX78" i="12"/>
  <c r="BD78" i="12"/>
  <c r="BF78" i="12"/>
  <c r="BL78" i="12"/>
  <c r="BN78" i="12"/>
  <c r="BT78" i="12"/>
  <c r="AX79" i="12"/>
  <c r="BD79" i="12"/>
  <c r="BF79" i="12"/>
  <c r="BL79" i="12"/>
  <c r="BT79" i="12"/>
  <c r="R80" i="12"/>
  <c r="S80" i="12"/>
  <c r="T80" i="12"/>
  <c r="U80" i="12"/>
  <c r="V80" i="12"/>
  <c r="W80" i="12"/>
  <c r="X80" i="12"/>
  <c r="Y80" i="12"/>
  <c r="Z80" i="12"/>
  <c r="AA80" i="12"/>
  <c r="AB80" i="12"/>
  <c r="AC80" i="12"/>
  <c r="AD80" i="12"/>
  <c r="AF80" i="12"/>
  <c r="AH80" i="12"/>
  <c r="AJ80" i="12"/>
  <c r="AK80" i="12"/>
  <c r="AL80" i="12"/>
  <c r="AM80" i="12"/>
  <c r="AN80" i="12"/>
  <c r="AO80" i="12"/>
  <c r="AP80" i="12"/>
  <c r="AQ80" i="12"/>
  <c r="AR80" i="12"/>
  <c r="AS80" i="12"/>
  <c r="AT80" i="12"/>
  <c r="AU80" i="12"/>
  <c r="AV80" i="12"/>
  <c r="AW80" i="12"/>
  <c r="AX80" i="12"/>
  <c r="AY80" i="12"/>
  <c r="AZ80" i="12"/>
  <c r="BA80" i="12"/>
  <c r="BB80" i="12"/>
  <c r="BD80" i="12"/>
  <c r="BF80" i="12"/>
  <c r="BH80" i="12"/>
  <c r="BJ80" i="12"/>
  <c r="BL80" i="12"/>
  <c r="BN80" i="12"/>
  <c r="BP80" i="12"/>
  <c r="BQ80" i="12"/>
  <c r="BR80" i="12"/>
  <c r="BS80" i="12"/>
  <c r="BT80" i="12"/>
  <c r="BU80" i="12"/>
  <c r="AT83" i="12"/>
  <c r="AX83" i="12"/>
  <c r="BD83" i="12"/>
  <c r="BF83" i="12"/>
  <c r="BL83" i="12"/>
  <c r="BN83" i="12"/>
  <c r="BP83" i="12"/>
  <c r="BR83" i="12"/>
  <c r="BT83" i="12"/>
  <c r="R85" i="12"/>
  <c r="S85" i="12"/>
  <c r="T85" i="12"/>
  <c r="U85" i="12"/>
  <c r="V85" i="12"/>
  <c r="W85" i="12"/>
  <c r="X85" i="12"/>
  <c r="Y85" i="12"/>
  <c r="Z85" i="12"/>
  <c r="AA85" i="12"/>
  <c r="AB85" i="12"/>
  <c r="AC85" i="12"/>
  <c r="AD85" i="12"/>
  <c r="AF85" i="12"/>
  <c r="AH85" i="12"/>
  <c r="AJ85" i="12"/>
  <c r="AK85" i="12"/>
  <c r="AL85" i="12"/>
  <c r="AM85" i="12"/>
  <c r="AN85" i="12"/>
  <c r="AO85" i="12"/>
  <c r="AP85" i="12"/>
  <c r="AQ85" i="12"/>
  <c r="AR85" i="12"/>
  <c r="AS85" i="12"/>
  <c r="AT85" i="12"/>
  <c r="AU85" i="12"/>
  <c r="AV85" i="12"/>
  <c r="AW85" i="12"/>
  <c r="AX85" i="12"/>
  <c r="AY85" i="12"/>
  <c r="AZ85" i="12"/>
  <c r="BA85" i="12"/>
  <c r="BB85" i="12"/>
  <c r="BD85" i="12"/>
  <c r="BF85" i="12"/>
  <c r="BH85" i="12"/>
  <c r="BJ85" i="12"/>
  <c r="BL85" i="12"/>
  <c r="BN85" i="12"/>
  <c r="BP85" i="12"/>
  <c r="BQ85" i="12"/>
  <c r="BR85" i="12"/>
  <c r="BS85" i="12"/>
  <c r="BT85" i="12"/>
  <c r="BL86" i="12"/>
  <c r="BQ86" i="12"/>
  <c r="BS86" i="12"/>
  <c r="BT86" i="12"/>
  <c r="AP87" i="12"/>
  <c r="AR87" i="12"/>
  <c r="AT87" i="12"/>
  <c r="AX87" i="12"/>
  <c r="BD87" i="12"/>
  <c r="BF87" i="12"/>
  <c r="BL87" i="12"/>
  <c r="BP87" i="12"/>
  <c r="BQ87" i="12"/>
  <c r="BR87" i="12"/>
  <c r="BS87" i="12"/>
  <c r="BT87" i="12"/>
  <c r="N89" i="12"/>
  <c r="P89" i="12"/>
  <c r="R89" i="12"/>
  <c r="S89" i="12"/>
  <c r="T89" i="12"/>
  <c r="U89" i="12"/>
  <c r="V89" i="12"/>
  <c r="W89" i="12"/>
  <c r="X89" i="12"/>
  <c r="Y89" i="12"/>
  <c r="Z89" i="12"/>
  <c r="AA89" i="12"/>
  <c r="AB89" i="12"/>
  <c r="AC89" i="12"/>
  <c r="AD89" i="12"/>
  <c r="AF89" i="12"/>
  <c r="AH89" i="12"/>
  <c r="AJ89" i="12"/>
  <c r="AK89" i="12"/>
  <c r="AL89" i="12"/>
  <c r="AM89" i="12"/>
  <c r="AN89" i="12"/>
  <c r="AO89" i="12"/>
  <c r="AP89" i="12"/>
  <c r="AQ89" i="12"/>
  <c r="AR89" i="12"/>
  <c r="AS89" i="12"/>
  <c r="AT89" i="12"/>
  <c r="AU89" i="12"/>
  <c r="AV89" i="12"/>
  <c r="AW89" i="12"/>
  <c r="AX89" i="12"/>
  <c r="AY89" i="12"/>
  <c r="AZ89" i="12"/>
  <c r="BA89" i="12"/>
  <c r="BB89" i="12"/>
  <c r="BD89" i="12"/>
  <c r="BF89" i="12"/>
  <c r="BH89" i="12"/>
  <c r="BJ89" i="12"/>
  <c r="BL89" i="12"/>
  <c r="BN89" i="12"/>
  <c r="BP89" i="12"/>
  <c r="BQ89" i="12"/>
  <c r="BR89" i="12"/>
  <c r="BS89" i="12"/>
  <c r="BT89" i="12"/>
  <c r="BU89" i="12"/>
  <c r="AH92" i="12"/>
  <c r="BL92" i="12"/>
  <c r="BN92" i="12"/>
  <c r="BP92" i="12"/>
  <c r="BR92" i="12"/>
  <c r="BT92" i="12"/>
  <c r="AH93" i="12"/>
  <c r="BL93" i="12"/>
  <c r="BP93" i="12"/>
  <c r="BR93" i="12"/>
  <c r="BT93" i="12"/>
  <c r="BL94" i="12"/>
  <c r="BP94" i="12"/>
  <c r="BR94" i="12"/>
  <c r="BT94" i="12"/>
  <c r="R95" i="12"/>
  <c r="BL95" i="12"/>
  <c r="BP95" i="12"/>
  <c r="BR95" i="12"/>
  <c r="BT95" i="12"/>
  <c r="R96" i="12"/>
  <c r="BL96" i="12"/>
  <c r="BP96" i="12"/>
  <c r="BR96" i="12"/>
  <c r="BT96" i="12"/>
  <c r="R97" i="12"/>
  <c r="BL97" i="12"/>
  <c r="BP97" i="12"/>
  <c r="BR97" i="12"/>
  <c r="BT97" i="12"/>
  <c r="BP98" i="12"/>
  <c r="N99" i="12"/>
  <c r="P99" i="12"/>
  <c r="R99" i="12"/>
  <c r="T99" i="12"/>
  <c r="V99" i="12"/>
  <c r="X99" i="12"/>
  <c r="Z99" i="12"/>
  <c r="AB99" i="12"/>
  <c r="AD99" i="12"/>
  <c r="AF99" i="12"/>
  <c r="AH99" i="12"/>
  <c r="AJ99" i="12"/>
  <c r="AL99" i="12"/>
  <c r="AN99" i="12"/>
  <c r="AP99" i="12"/>
  <c r="AR99" i="12"/>
  <c r="AT99" i="12"/>
  <c r="AV99" i="12"/>
  <c r="AX99" i="12"/>
  <c r="AZ99" i="12"/>
  <c r="BB99" i="12"/>
  <c r="BD99" i="12"/>
  <c r="BF99" i="12"/>
  <c r="BH99" i="12"/>
  <c r="BJ99" i="12"/>
  <c r="BL99" i="12"/>
  <c r="BN99" i="12"/>
  <c r="BP99" i="12"/>
  <c r="BR99" i="12"/>
  <c r="BT99" i="12"/>
  <c r="BL102" i="12"/>
  <c r="BP102" i="12"/>
  <c r="BR102" i="12"/>
  <c r="BT102" i="12"/>
  <c r="BL103" i="12"/>
  <c r="BP103" i="12"/>
  <c r="BR103" i="12"/>
  <c r="BT103" i="12"/>
  <c r="BL104" i="12"/>
  <c r="BP104" i="12"/>
  <c r="BR104" i="12"/>
  <c r="BT104" i="12"/>
  <c r="BL105" i="12"/>
  <c r="BP105" i="12"/>
  <c r="BR105" i="12"/>
  <c r="BT105" i="12"/>
  <c r="BL106" i="12"/>
  <c r="BP106" i="12"/>
  <c r="BR106" i="12"/>
  <c r="BT106" i="12"/>
  <c r="BP107" i="12"/>
  <c r="N108" i="12"/>
  <c r="P108" i="12"/>
  <c r="R108" i="12"/>
  <c r="T108" i="12"/>
  <c r="V108" i="12"/>
  <c r="X108" i="12"/>
  <c r="Z108" i="12"/>
  <c r="AB108" i="12"/>
  <c r="AD108" i="12"/>
  <c r="AF108" i="12"/>
  <c r="AH108" i="12"/>
  <c r="AJ108" i="12"/>
  <c r="AL108" i="12"/>
  <c r="AN108" i="12"/>
  <c r="AP108" i="12"/>
  <c r="AR108" i="12"/>
  <c r="AT108" i="12"/>
  <c r="AV108" i="12"/>
  <c r="AX108" i="12"/>
  <c r="AZ108" i="12"/>
  <c r="BB108" i="12"/>
  <c r="BD108" i="12"/>
  <c r="BF108" i="12"/>
  <c r="BH108" i="12"/>
  <c r="BJ108" i="12"/>
  <c r="BL108" i="12"/>
  <c r="BN108" i="12"/>
  <c r="BP108" i="12"/>
  <c r="BR108" i="12"/>
  <c r="BT108" i="12"/>
  <c r="AJ112" i="12"/>
  <c r="BL114" i="12"/>
  <c r="BP114" i="12"/>
  <c r="BR114" i="12"/>
  <c r="BT114" i="12"/>
  <c r="AX115" i="12"/>
  <c r="BL115" i="12"/>
  <c r="BP115" i="12"/>
  <c r="BR115" i="12"/>
  <c r="BT115" i="12"/>
  <c r="BL116" i="12"/>
  <c r="BP116" i="12"/>
  <c r="BR116" i="12"/>
  <c r="BT116" i="12"/>
  <c r="N117" i="12"/>
  <c r="P117" i="12"/>
  <c r="R117" i="12"/>
  <c r="T117" i="12"/>
  <c r="V117" i="12"/>
  <c r="X117" i="12"/>
  <c r="Z117" i="12"/>
  <c r="AB117" i="12"/>
  <c r="AD117" i="12"/>
  <c r="AF117" i="12"/>
  <c r="AH117" i="12"/>
  <c r="AJ117" i="12"/>
  <c r="AL117" i="12"/>
  <c r="AN117" i="12"/>
  <c r="AP117" i="12"/>
  <c r="AR117" i="12"/>
  <c r="AT117" i="12"/>
  <c r="AV117" i="12"/>
  <c r="AX117" i="12"/>
  <c r="AZ117" i="12"/>
  <c r="BB117" i="12"/>
  <c r="BD117" i="12"/>
  <c r="BF117" i="12"/>
  <c r="BH117" i="12"/>
  <c r="BJ117" i="12"/>
  <c r="BL117" i="12"/>
  <c r="BN117" i="12"/>
  <c r="BP117" i="12"/>
  <c r="BR117" i="12"/>
  <c r="BT117" i="12"/>
  <c r="BL121" i="12"/>
  <c r="BP121" i="12"/>
  <c r="BR121" i="12"/>
  <c r="BT121" i="12"/>
  <c r="BL123" i="12"/>
  <c r="BP123" i="12"/>
  <c r="BR123" i="12"/>
  <c r="BT123" i="12"/>
  <c r="BL125" i="12"/>
  <c r="BP125" i="12"/>
  <c r="BR125" i="12"/>
  <c r="BT125" i="12"/>
  <c r="BL128" i="12"/>
  <c r="BP128" i="12"/>
  <c r="BR128" i="12"/>
  <c r="BT128" i="12"/>
  <c r="BL129" i="12"/>
  <c r="BP129" i="12"/>
  <c r="BR129" i="12"/>
  <c r="BT129" i="12"/>
  <c r="R130" i="12"/>
  <c r="AV130" i="12"/>
  <c r="BL130" i="12"/>
  <c r="BP130" i="12"/>
  <c r="BR130" i="12"/>
  <c r="BT130" i="12"/>
  <c r="BP131" i="12"/>
  <c r="BR131" i="12"/>
  <c r="BT131" i="12"/>
  <c r="N132" i="12"/>
  <c r="P132" i="12"/>
  <c r="R132" i="12"/>
  <c r="T132" i="12"/>
  <c r="V132" i="12"/>
  <c r="X132" i="12"/>
  <c r="Z132" i="12"/>
  <c r="AB132" i="12"/>
  <c r="AD132" i="12"/>
  <c r="AF132" i="12"/>
  <c r="AH132" i="12"/>
  <c r="AJ132" i="12"/>
  <c r="AL132" i="12"/>
  <c r="AN132" i="12"/>
  <c r="AP132" i="12"/>
  <c r="AR132" i="12"/>
  <c r="AT132" i="12"/>
  <c r="AV132" i="12"/>
  <c r="AX132" i="12"/>
  <c r="AZ132" i="12"/>
  <c r="BB132" i="12"/>
  <c r="BD132" i="12"/>
  <c r="BF132" i="12"/>
  <c r="BH132" i="12"/>
  <c r="BJ132" i="12"/>
  <c r="BL132" i="12"/>
  <c r="BN132" i="12"/>
  <c r="BP132" i="12"/>
  <c r="BR132" i="12"/>
  <c r="BT132" i="12"/>
  <c r="BL135" i="12"/>
  <c r="BP135" i="12"/>
  <c r="BR135" i="12"/>
  <c r="BT135" i="12"/>
  <c r="BL136" i="12"/>
  <c r="BP136" i="12"/>
  <c r="BR136" i="12"/>
  <c r="BT136" i="12"/>
  <c r="AF137" i="12"/>
  <c r="AH137" i="12"/>
  <c r="AJ137" i="12"/>
  <c r="AP137" i="12"/>
  <c r="BB137" i="12"/>
  <c r="BL137" i="12"/>
  <c r="BP137" i="12"/>
  <c r="BR137" i="12"/>
  <c r="BT137" i="12"/>
  <c r="BP138" i="12"/>
  <c r="N139" i="12"/>
  <c r="P139" i="12"/>
  <c r="R139" i="12"/>
  <c r="T139" i="12"/>
  <c r="V139" i="12"/>
  <c r="X139" i="12"/>
  <c r="Z139" i="12"/>
  <c r="AB139" i="12"/>
  <c r="AD139" i="12"/>
  <c r="AF139" i="12"/>
  <c r="AH139" i="12"/>
  <c r="AJ139" i="12"/>
  <c r="AL139" i="12"/>
  <c r="AN139" i="12"/>
  <c r="AP139" i="12"/>
  <c r="AR139" i="12"/>
  <c r="AT139" i="12"/>
  <c r="AV139" i="12"/>
  <c r="AX139" i="12"/>
  <c r="AZ139" i="12"/>
  <c r="BB139" i="12"/>
  <c r="BD139" i="12"/>
  <c r="BF139" i="12"/>
  <c r="BH139" i="12"/>
  <c r="BJ139" i="12"/>
  <c r="BL139" i="12"/>
  <c r="BN139" i="12"/>
  <c r="BP139" i="12"/>
  <c r="BR139" i="12"/>
  <c r="BT139" i="12"/>
  <c r="AP141" i="12"/>
  <c r="BL141" i="12"/>
  <c r="BP141" i="12"/>
  <c r="BR141" i="12"/>
  <c r="BT141" i="12"/>
  <c r="BL143" i="12"/>
  <c r="BN143" i="12"/>
  <c r="BP143" i="12"/>
  <c r="BR143" i="12"/>
  <c r="BT143" i="12"/>
  <c r="R146" i="12"/>
  <c r="BL146" i="12"/>
  <c r="BP146" i="12"/>
  <c r="BR146" i="12"/>
  <c r="BT146" i="12"/>
  <c r="BL147" i="12"/>
  <c r="BP147" i="12"/>
  <c r="BR147" i="12"/>
  <c r="BT147" i="12"/>
  <c r="BL148" i="12"/>
  <c r="BP148" i="12"/>
  <c r="BR148" i="12"/>
  <c r="BT148" i="12"/>
  <c r="N149" i="12"/>
  <c r="P149" i="12"/>
  <c r="R149" i="12"/>
  <c r="T149" i="12"/>
  <c r="V149" i="12"/>
  <c r="X149" i="12"/>
  <c r="Z149" i="12"/>
  <c r="AB149" i="12"/>
  <c r="AD149" i="12"/>
  <c r="AF149" i="12"/>
  <c r="AH149" i="12"/>
  <c r="AJ149" i="12"/>
  <c r="AL149" i="12"/>
  <c r="AN149" i="12"/>
  <c r="AP149" i="12"/>
  <c r="AR149" i="12"/>
  <c r="AT149" i="12"/>
  <c r="AV149" i="12"/>
  <c r="AX149" i="12"/>
  <c r="AZ149" i="12"/>
  <c r="BB149" i="12"/>
  <c r="BD149" i="12"/>
  <c r="BF149" i="12"/>
  <c r="BH149" i="12"/>
  <c r="BJ149" i="12"/>
  <c r="BL149" i="12"/>
  <c r="BN149" i="12"/>
  <c r="BP149" i="12"/>
  <c r="BR149" i="12"/>
  <c r="BT149" i="12"/>
  <c r="BL151" i="12"/>
  <c r="BP151" i="12"/>
  <c r="BR151" i="12"/>
  <c r="BT151" i="12"/>
  <c r="BL153" i="12"/>
  <c r="BP153" i="12"/>
  <c r="BR153" i="12"/>
  <c r="BT153" i="12"/>
  <c r="BB156" i="12"/>
  <c r="BL156" i="12"/>
  <c r="BP156" i="12"/>
  <c r="BR156" i="12"/>
  <c r="BT156" i="12"/>
  <c r="AT157" i="12"/>
  <c r="BB157" i="12"/>
  <c r="BL157" i="12"/>
  <c r="BP157" i="12"/>
  <c r="BR157" i="12"/>
  <c r="BT157" i="12"/>
  <c r="BD158" i="12"/>
  <c r="BL158" i="12"/>
  <c r="BP158" i="12"/>
  <c r="BR158" i="12"/>
  <c r="BT158" i="12"/>
  <c r="P159" i="12"/>
  <c r="R159" i="12"/>
  <c r="AF159" i="12"/>
  <c r="AH159" i="12"/>
  <c r="AN159" i="12"/>
  <c r="AP159" i="12"/>
  <c r="AR159" i="12"/>
  <c r="AT159" i="12"/>
  <c r="AX159" i="12"/>
  <c r="AZ159" i="12"/>
  <c r="BB159" i="12"/>
  <c r="BD159" i="12"/>
  <c r="BF159" i="12"/>
  <c r="BL159" i="12"/>
  <c r="BP159" i="12"/>
  <c r="BR159" i="12"/>
  <c r="BT159" i="12"/>
  <c r="AR160" i="12"/>
  <c r="BL160" i="12"/>
  <c r="BP160" i="12"/>
  <c r="BR160" i="12"/>
  <c r="BT160" i="12"/>
  <c r="AF161" i="12"/>
  <c r="AH161" i="12"/>
  <c r="BL161" i="12"/>
  <c r="BP161" i="12"/>
  <c r="BR161" i="12"/>
  <c r="BT161" i="12"/>
  <c r="N162" i="12"/>
  <c r="P162" i="12"/>
  <c r="R162" i="12"/>
  <c r="S162" i="12"/>
  <c r="T162" i="12"/>
  <c r="U162" i="12"/>
  <c r="V162" i="12"/>
  <c r="W162" i="12"/>
  <c r="X162" i="12"/>
  <c r="Y162" i="12"/>
  <c r="Z162" i="12"/>
  <c r="AA162" i="12"/>
  <c r="AB162" i="12"/>
  <c r="AC162" i="12"/>
  <c r="AD162" i="12"/>
  <c r="AF162" i="12"/>
  <c r="AH162" i="12"/>
  <c r="AJ162" i="12"/>
  <c r="AL162" i="12"/>
  <c r="AN162" i="12"/>
  <c r="AO162" i="12"/>
  <c r="AP162" i="12"/>
  <c r="AQ162" i="12"/>
  <c r="AR162" i="12"/>
  <c r="AS162" i="12"/>
  <c r="AT162" i="12"/>
  <c r="AU162" i="12"/>
  <c r="AV162" i="12"/>
  <c r="AW162" i="12"/>
  <c r="AX162" i="12"/>
  <c r="AY162" i="12"/>
  <c r="AZ162" i="12"/>
  <c r="BA162" i="12"/>
  <c r="BB162" i="12"/>
  <c r="BD162" i="12"/>
  <c r="BF162" i="12"/>
  <c r="BH162" i="12"/>
  <c r="BJ162" i="12"/>
  <c r="BL162" i="12"/>
  <c r="BN162" i="12"/>
  <c r="BP162" i="12"/>
  <c r="BQ162" i="12"/>
  <c r="BR162" i="12"/>
  <c r="BS162" i="12"/>
  <c r="BT162" i="12"/>
  <c r="P165" i="12"/>
  <c r="BL165" i="12"/>
  <c r="BP165" i="12"/>
  <c r="BR165" i="12"/>
  <c r="BT165" i="12"/>
  <c r="BL166" i="12"/>
  <c r="BP166" i="12"/>
  <c r="BR166" i="12"/>
  <c r="BT166" i="12"/>
  <c r="BD167" i="12"/>
  <c r="BL167" i="12"/>
  <c r="BP167" i="12"/>
  <c r="BR167" i="12"/>
  <c r="BT167" i="12"/>
  <c r="BL168" i="12"/>
  <c r="BP168" i="12"/>
  <c r="BR168" i="12"/>
  <c r="BT168" i="12"/>
  <c r="N169" i="12"/>
  <c r="O169" i="12"/>
  <c r="P169" i="12"/>
  <c r="Q169" i="12"/>
  <c r="R169" i="12"/>
  <c r="T169" i="12"/>
  <c r="V169" i="12"/>
  <c r="X169" i="12"/>
  <c r="Z169" i="12"/>
  <c r="AB169" i="12"/>
  <c r="AD169" i="12"/>
  <c r="AF169" i="12"/>
  <c r="AH169" i="12"/>
  <c r="AJ169" i="12"/>
  <c r="AL169" i="12"/>
  <c r="AN169" i="12"/>
  <c r="AP169" i="12"/>
  <c r="AR169" i="12"/>
  <c r="AT169" i="12"/>
  <c r="AV169" i="12"/>
  <c r="AX169" i="12"/>
  <c r="AZ169" i="12"/>
  <c r="BB169" i="12"/>
  <c r="BD169" i="12"/>
  <c r="BF169" i="12"/>
  <c r="BH169" i="12"/>
  <c r="BJ169" i="12"/>
  <c r="BL169" i="12"/>
  <c r="BN169" i="12"/>
  <c r="BP169" i="12"/>
  <c r="BR169" i="12"/>
  <c r="BT169" i="12"/>
  <c r="P171" i="12"/>
  <c r="AJ171" i="12"/>
  <c r="AL171" i="12"/>
  <c r="AP171" i="12"/>
  <c r="AR171" i="12"/>
  <c r="AT171" i="12"/>
  <c r="AV171" i="12"/>
  <c r="AX171" i="12"/>
  <c r="BL171" i="12"/>
  <c r="BP171" i="12"/>
  <c r="BR171" i="12"/>
  <c r="BT171" i="12"/>
  <c r="R173" i="12"/>
  <c r="S173" i="12"/>
  <c r="T173" i="12"/>
  <c r="U173" i="12"/>
  <c r="V173" i="12"/>
  <c r="W173" i="12"/>
  <c r="X173" i="12"/>
  <c r="Y173" i="12"/>
  <c r="Z173" i="12"/>
  <c r="AA173" i="12"/>
  <c r="AB173" i="12"/>
  <c r="AC173" i="12"/>
  <c r="AD173" i="12"/>
  <c r="AE173" i="12"/>
  <c r="AF173" i="12"/>
  <c r="AG173" i="12"/>
  <c r="AH173" i="12"/>
  <c r="AI173" i="12"/>
  <c r="AJ173" i="12"/>
  <c r="AK173" i="12"/>
  <c r="AL173" i="12"/>
  <c r="AM173" i="12"/>
  <c r="AN173" i="12"/>
  <c r="AO173" i="12"/>
  <c r="AP173" i="12"/>
  <c r="AQ173" i="12"/>
  <c r="AR173" i="12"/>
  <c r="AS173" i="12"/>
  <c r="AT173" i="12"/>
  <c r="AU173" i="12"/>
  <c r="AV173" i="12"/>
  <c r="AW173" i="12"/>
  <c r="AX173" i="12"/>
  <c r="AY173" i="12"/>
  <c r="AZ173" i="12"/>
  <c r="BA173" i="12"/>
  <c r="BB173" i="12"/>
  <c r="BD173" i="12"/>
  <c r="BF173" i="12"/>
  <c r="BH173" i="12"/>
  <c r="BJ173" i="12"/>
  <c r="BL173" i="12"/>
  <c r="BN173" i="12"/>
  <c r="BP173" i="12"/>
  <c r="BQ173" i="12"/>
  <c r="BR173" i="12"/>
  <c r="BS173" i="12"/>
  <c r="BT173" i="12"/>
  <c r="BU173" i="12"/>
  <c r="P175" i="12"/>
  <c r="BL175" i="12"/>
  <c r="BP175" i="12"/>
  <c r="BR175" i="12"/>
  <c r="BT175" i="12"/>
  <c r="R178" i="12"/>
  <c r="S178" i="12"/>
  <c r="T178" i="12"/>
  <c r="U178" i="12"/>
  <c r="V178" i="12"/>
  <c r="W178" i="12"/>
  <c r="X178" i="12"/>
  <c r="Y178" i="12"/>
  <c r="Z178" i="12"/>
  <c r="AA178" i="12"/>
  <c r="AB178" i="12"/>
  <c r="AC178" i="12"/>
  <c r="AD178" i="12"/>
  <c r="AF178" i="12"/>
  <c r="AH178" i="12"/>
  <c r="AJ178" i="12"/>
  <c r="AL178" i="12"/>
  <c r="AN178" i="12"/>
  <c r="AO178" i="12"/>
  <c r="AP178" i="12"/>
  <c r="AQ178" i="12"/>
  <c r="AR178" i="12"/>
  <c r="AS178" i="12"/>
  <c r="AT178" i="12"/>
  <c r="AU178" i="12"/>
  <c r="AV178" i="12"/>
  <c r="AW178" i="12"/>
  <c r="AX178" i="12"/>
  <c r="AY178" i="12"/>
  <c r="AZ178" i="12"/>
  <c r="BA178" i="12"/>
  <c r="BB178" i="12"/>
  <c r="BD178" i="12"/>
  <c r="BF178" i="12"/>
  <c r="BH178" i="12"/>
  <c r="BJ178" i="12"/>
  <c r="BL178" i="12"/>
  <c r="BN178" i="12"/>
  <c r="BP178" i="12"/>
  <c r="BQ178" i="12"/>
  <c r="BR178" i="12"/>
  <c r="BS178" i="12"/>
  <c r="BT178" i="12"/>
  <c r="BR179" i="12"/>
  <c r="P181" i="12"/>
  <c r="AB181" i="12"/>
  <c r="BL181" i="12"/>
  <c r="BP181" i="12"/>
  <c r="BR181" i="12"/>
  <c r="AJ183" i="12"/>
  <c r="BL183" i="12"/>
  <c r="BP183" i="12"/>
  <c r="BR183" i="12"/>
  <c r="BL184" i="12"/>
  <c r="BP184" i="12"/>
  <c r="BR184" i="12"/>
  <c r="AD185" i="12"/>
  <c r="AJ185" i="12"/>
  <c r="AN185" i="12"/>
  <c r="AP185" i="12"/>
  <c r="BL185" i="12"/>
  <c r="BR185" i="12"/>
  <c r="R187" i="12"/>
  <c r="S187" i="12"/>
  <c r="T187" i="12"/>
  <c r="U187" i="12"/>
  <c r="V187" i="12"/>
  <c r="W187" i="12"/>
  <c r="X187" i="12"/>
  <c r="Y187" i="12"/>
  <c r="Z187" i="12"/>
  <c r="AA187" i="12"/>
  <c r="AB187" i="12"/>
  <c r="AC187" i="12"/>
  <c r="AD187" i="12"/>
  <c r="AF187" i="12"/>
  <c r="AH187" i="12"/>
  <c r="AJ187" i="12"/>
  <c r="AL187" i="12"/>
  <c r="AN187" i="12"/>
  <c r="AO187" i="12"/>
  <c r="AP187" i="12"/>
  <c r="AQ187" i="12"/>
  <c r="AR187" i="12"/>
  <c r="AS187" i="12"/>
  <c r="AT187" i="12"/>
  <c r="AU187" i="12"/>
  <c r="AV187" i="12"/>
  <c r="AW187" i="12"/>
  <c r="AX187" i="12"/>
  <c r="AY187" i="12"/>
  <c r="AZ187" i="12"/>
  <c r="BA187" i="12"/>
  <c r="BB187" i="12"/>
  <c r="BD187" i="12"/>
  <c r="BF187" i="12"/>
  <c r="BH187" i="12"/>
  <c r="BJ187" i="12"/>
  <c r="BL187" i="12"/>
  <c r="BN187" i="12"/>
  <c r="BP187" i="12"/>
  <c r="BQ187" i="12"/>
  <c r="BR187" i="12"/>
  <c r="BS187" i="12"/>
  <c r="BT187" i="12"/>
  <c r="X191" i="12"/>
  <c r="AH191" i="12"/>
  <c r="BL191" i="12"/>
  <c r="BP191" i="12"/>
  <c r="BR191" i="12"/>
  <c r="X192" i="12"/>
  <c r="Z192" i="12"/>
  <c r="AD192" i="12"/>
  <c r="BL192" i="12"/>
  <c r="BP192" i="12"/>
  <c r="BR192" i="12"/>
  <c r="BL193" i="12"/>
  <c r="BP193" i="12"/>
  <c r="BR193" i="12"/>
  <c r="BL194" i="12"/>
  <c r="BP194" i="12"/>
  <c r="BR194" i="12"/>
  <c r="BP195" i="12"/>
  <c r="N196" i="12"/>
  <c r="P196" i="12"/>
  <c r="R196" i="12"/>
  <c r="T196" i="12"/>
  <c r="V196" i="12"/>
  <c r="X196" i="12"/>
  <c r="Z196" i="12"/>
  <c r="AA196" i="12"/>
  <c r="AB196" i="12"/>
  <c r="AC196" i="12"/>
  <c r="AD196" i="12"/>
  <c r="AF196" i="12"/>
  <c r="AH196" i="12"/>
  <c r="AJ196" i="12"/>
  <c r="AL196" i="12"/>
  <c r="AN196" i="12"/>
  <c r="AO196" i="12"/>
  <c r="AP196" i="12"/>
  <c r="AQ196" i="12"/>
  <c r="AR196" i="12"/>
  <c r="AS196" i="12"/>
  <c r="AT196" i="12"/>
  <c r="AU196" i="12"/>
  <c r="AV196" i="12"/>
  <c r="AW196" i="12"/>
  <c r="AX196" i="12"/>
  <c r="AY196" i="12"/>
  <c r="AZ196" i="12"/>
  <c r="BA196" i="12"/>
  <c r="BB196" i="12"/>
  <c r="BD196" i="12"/>
  <c r="BF196" i="12"/>
  <c r="BH196" i="12"/>
  <c r="BJ196" i="12"/>
  <c r="BL196" i="12"/>
  <c r="BP196" i="12"/>
  <c r="BR196" i="12"/>
  <c r="N201" i="12"/>
  <c r="P201" i="12"/>
  <c r="R201" i="12"/>
  <c r="S201" i="12"/>
  <c r="T201" i="12"/>
  <c r="U201" i="12"/>
  <c r="V201" i="12"/>
  <c r="W201" i="12"/>
  <c r="X201" i="12"/>
  <c r="Y201" i="12"/>
  <c r="Z201" i="12"/>
  <c r="AA201" i="12"/>
  <c r="AB201" i="12"/>
  <c r="AC201" i="12"/>
  <c r="AD201" i="12"/>
  <c r="AF201" i="12"/>
  <c r="AH201" i="12"/>
  <c r="AJ201" i="12"/>
  <c r="AL201" i="12"/>
  <c r="AN201" i="12"/>
  <c r="AO201" i="12"/>
  <c r="AP201" i="12"/>
  <c r="AQ201" i="12"/>
  <c r="AR201" i="12"/>
  <c r="AS201" i="12"/>
  <c r="AT201" i="12"/>
  <c r="AU201" i="12"/>
  <c r="AV201" i="12"/>
  <c r="AW201" i="12"/>
  <c r="AX201" i="12"/>
  <c r="AY201" i="12"/>
  <c r="AZ201" i="12"/>
  <c r="BA201" i="12"/>
  <c r="BB201" i="12"/>
  <c r="BD201" i="12"/>
  <c r="BF201" i="12"/>
  <c r="BH201" i="12"/>
  <c r="BJ201" i="12"/>
  <c r="BL201" i="12"/>
  <c r="BN201" i="12"/>
  <c r="BP201" i="12"/>
  <c r="BQ201" i="12"/>
  <c r="BR201" i="12"/>
  <c r="BS201" i="12"/>
  <c r="BT201" i="12"/>
  <c r="BL211" i="12"/>
  <c r="BL217" i="12"/>
  <c r="BL218" i="12"/>
  <c r="BL22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comments3.xml><?xml version="1.0" encoding="utf-8"?>
<comments xmlns="http://schemas.openxmlformats.org/spreadsheetml/2006/main">
  <authors>
    <author>James M. Armstrong</author>
  </authors>
  <commentList>
    <comment ref="BF200" authorId="0" shapeId="0">
      <text>
        <r>
          <rPr>
            <b/>
            <sz val="8"/>
            <color indexed="81"/>
            <rFont val="Tahoma"/>
          </rPr>
          <t>James M. Armstrong:</t>
        </r>
        <r>
          <rPr>
            <sz val="8"/>
            <color indexed="81"/>
            <rFont val="Tahoma"/>
          </rPr>
          <t xml:space="preserve">
</t>
        </r>
      </text>
    </comment>
    <comment ref="AJ206" authorId="0" shapeId="0">
      <text>
        <r>
          <rPr>
            <b/>
            <sz val="8"/>
            <color indexed="81"/>
            <rFont val="Tahoma"/>
          </rPr>
          <t>James M. Armstrong:</t>
        </r>
        <r>
          <rPr>
            <sz val="8"/>
            <color indexed="81"/>
            <rFont val="Tahoma"/>
          </rPr>
          <t xml:space="preserve">
Legal exp of $3534 deducted to tie to draw schedule</t>
        </r>
      </text>
    </comment>
    <comment ref="AT206" authorId="0" shapeId="0">
      <text>
        <r>
          <rPr>
            <b/>
            <sz val="8"/>
            <color indexed="81"/>
            <rFont val="Tahoma"/>
          </rPr>
          <t>James M. Armstrong:</t>
        </r>
        <r>
          <rPr>
            <sz val="8"/>
            <color indexed="81"/>
            <rFont val="Tahoma"/>
          </rPr>
          <t xml:space="preserve">
Legal exp of $7634 deducted to tie to draw schedule</t>
        </r>
      </text>
    </comment>
  </commentList>
</comments>
</file>

<file path=xl/sharedStrings.xml><?xml version="1.0" encoding="utf-8"?>
<sst xmlns="http://schemas.openxmlformats.org/spreadsheetml/2006/main" count="1990" uniqueCount="597">
  <si>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</si>
  <si>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</si>
  <si>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</si>
  <si>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</si>
  <si>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</si>
  <si>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</si>
  <si>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</si>
  <si>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</si>
  <si>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</si>
  <si>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</si>
  <si>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</si>
  <si>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</si>
  <si>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</si>
  <si>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</si>
  <si>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</si>
  <si>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</si>
  <si>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</si>
  <si>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</si>
  <si>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</si>
  <si>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</si>
  <si>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</si>
  <si>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</si>
  <si>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</si>
  <si>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</si>
  <si>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</si>
  <si>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</si>
  <si>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</si>
  <si>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</si>
  <si>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</si>
  <si>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</si>
  <si>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</si>
  <si>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</si>
  <si>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</si>
  <si>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</si>
  <si>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</si>
  <si>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</si>
  <si>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</si>
  <si>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</si>
  <si>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</si>
  <si>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</si>
  <si>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</si>
  <si>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</si>
  <si>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</si>
  <si>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</si>
  <si>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</si>
  <si>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</si>
  <si>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</si>
  <si>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</si>
  <si>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</si>
  <si>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</si>
  <si>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</si>
  <si>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</si>
  <si>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</si>
  <si>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</si>
  <si>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</si>
  <si>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</si>
  <si>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</si>
  <si>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</si>
  <si>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</si>
  <si>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</si>
  <si>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</si>
  <si>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</si>
  <si>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</si>
  <si>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</si>
  <si>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</si>
  <si>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</si>
  <si>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</si>
  <si>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</si>
  <si>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</si>
  <si>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</si>
  <si>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</si>
  <si>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</si>
  <si>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</si>
  <si>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</si>
  <si>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</si>
  <si>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</si>
  <si>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</si>
  <si>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</si>
  <si>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</si>
  <si>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</si>
  <si>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</si>
  <si>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</si>
  <si>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</si>
  <si>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</si>
  <si>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</si>
  <si>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</si>
  <si>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</si>
  <si>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</si>
  <si>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</si>
  <si>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</si>
  <si>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</si>
  <si>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</si>
  <si>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</si>
  <si>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</si>
  <si>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</si>
  <si>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</si>
  <si>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</si>
  <si>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</si>
  <si>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</si>
  <si>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</si>
  <si>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</si>
  <si>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</si>
  <si>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</si>
  <si>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</si>
  <si>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</si>
  <si>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</si>
  <si>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</si>
  <si>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</si>
  <si>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</si>
  <si>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</si>
  <si>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</si>
  <si>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</si>
  <si>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</si>
  <si>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</si>
  <si>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</si>
  <si>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</si>
  <si>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</si>
  <si>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</si>
  <si>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</si>
  <si>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</si>
  <si>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</si>
  <si>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</si>
  <si>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</si>
  <si>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</si>
  <si>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</si>
  <si>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</si>
  <si>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</si>
  <si>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</si>
  <si>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</si>
  <si>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</si>
  <si>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</si>
  <si>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</si>
  <si>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</si>
  <si>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</si>
  <si>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</si>
  <si>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</si>
  <si>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</si>
  <si>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</si>
  <si>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</si>
  <si>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</si>
  <si>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</si>
  <si>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</si>
  <si>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</si>
  <si>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</si>
  <si>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</si>
  <si>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</si>
  <si>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</si>
  <si>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</si>
  <si>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</si>
  <si>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</si>
  <si>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</si>
  <si>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</si>
  <si>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</si>
  <si>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</si>
  <si>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</si>
  <si>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</si>
  <si>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</si>
  <si>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</si>
  <si>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</si>
  <si>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</si>
  <si>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</si>
  <si>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</si>
  <si>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</si>
  <si>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</si>
  <si>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</si>
  <si>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</si>
  <si>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</si>
  <si>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</si>
  <si>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</si>
  <si>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</si>
  <si>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</si>
  <si>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</si>
  <si>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</si>
  <si>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</si>
  <si>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</si>
  <si>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</si>
  <si>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</si>
  <si>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</si>
  <si>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</si>
  <si>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</si>
  <si>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</si>
  <si>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</si>
  <si>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</si>
  <si>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</si>
  <si>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</si>
  <si>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</si>
  <si>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</si>
  <si>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</si>
  <si>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</si>
  <si>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</si>
  <si>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</si>
  <si>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</si>
  <si>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</si>
  <si>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</si>
  <si>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</si>
  <si>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</si>
  <si>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</si>
  <si>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</si>
  <si>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</si>
  <si>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</si>
  <si>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</si>
  <si>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</si>
  <si>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</si>
  <si>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</si>
  <si>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</si>
  <si>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</si>
  <si>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</si>
  <si>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</si>
  <si>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</si>
  <si>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</si>
  <si>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</si>
  <si>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</si>
  <si>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</si>
  <si>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</si>
  <si>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</si>
  <si>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</si>
  <si>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</si>
  <si>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</si>
  <si>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</si>
  <si>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</si>
  <si>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</si>
  <si>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</si>
  <si>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</si>
  <si>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</si>
  <si>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</si>
  <si>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</si>
  <si>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</si>
  <si>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</si>
  <si>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</si>
  <si>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</si>
  <si>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</si>
  <si>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</si>
  <si>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</si>
  <si>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</si>
  <si>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</si>
  <si>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</si>
  <si>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</si>
  <si>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</si>
  <si>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</si>
  <si>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</si>
  <si>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</si>
  <si>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</si>
  <si>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</si>
  <si>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</si>
  <si>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</si>
  <si>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</si>
  <si>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</si>
  <si>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</si>
  <si>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</si>
  <si>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</si>
  <si>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</si>
  <si>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</si>
  <si>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</si>
  <si>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</si>
  <si>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</si>
  <si>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</si>
  <si>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</si>
  <si>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</si>
  <si>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</si>
  <si>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</si>
  <si>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</si>
  <si>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</si>
  <si>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</si>
  <si>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</si>
  <si>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</si>
  <si>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</si>
  <si>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</si>
  <si>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</si>
  <si>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</si>
  <si>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</si>
  <si>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</si>
  <si>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</si>
  <si>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</si>
  <si>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</si>
  <si>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</si>
  <si>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</si>
  <si>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</si>
  <si>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</si>
  <si>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</si>
  <si>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</si>
  <si>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</si>
  <si>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</si>
  <si>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</si>
  <si>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</si>
  <si>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</si>
  <si>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</si>
  <si>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</si>
  <si>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</si>
  <si>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</si>
  <si>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</si>
  <si>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</si>
  <si>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</si>
  <si>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</si>
  <si>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</si>
  <si>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</si>
  <si>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</si>
  <si>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</si>
  <si>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</si>
  <si>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</si>
  <si>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</si>
  <si>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</si>
  <si>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</si>
  <si>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</si>
  <si>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</si>
  <si>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</si>
  <si>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</si>
  <si>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</si>
  <si>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</si>
  <si>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</si>
  <si>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</si>
  <si>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</si>
  <si>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</si>
  <si>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</si>
  <si>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</si>
  <si>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</si>
  <si>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</si>
  <si>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</si>
  <si>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</si>
  <si>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</si>
  <si>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</si>
  <si>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</si>
  <si>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</si>
  <si>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</si>
  <si>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</si>
  <si>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</si>
  <si>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</si>
  <si>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</si>
  <si>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</si>
  <si>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</si>
  <si>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</si>
  <si>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</si>
  <si>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</si>
  <si>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</si>
  <si>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</si>
  <si>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</si>
  <si>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</si>
  <si>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</si>
  <si>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</si>
  <si>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</si>
  <si>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</si>
  <si>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</si>
  <si>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</si>
  <si>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</si>
  <si>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</si>
  <si>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</si>
  <si>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</si>
  <si>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</si>
  <si>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</si>
  <si>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</si>
  <si>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</si>
  <si>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</si>
  <si>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</si>
  <si>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</si>
  <si>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</si>
  <si>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</si>
  <si>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</si>
  <si>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</si>
  <si>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</si>
  <si>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</si>
  <si>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</si>
  <si>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</si>
  <si>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</si>
  <si>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</si>
  <si>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</si>
  <si>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</si>
  <si>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</si>
  <si>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</si>
  <si>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</si>
  <si>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</si>
  <si>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</si>
  <si>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</si>
  <si>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</si>
  <si>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</si>
  <si>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</si>
  <si>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</si>
  <si>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</si>
  <si>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</si>
  <si>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</si>
  <si>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</si>
  <si>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</si>
  <si>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</si>
  <si>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</si>
  <si>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</si>
  <si>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</si>
  <si>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</si>
  <si>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</si>
  <si>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</si>
  <si>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</si>
  <si>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</si>
  <si>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</si>
  <si>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</si>
  <si>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</si>
  <si>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</si>
  <si>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</si>
  <si>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</si>
  <si>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</si>
  <si>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</si>
  <si>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</si>
  <si>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</si>
  <si>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</si>
  <si>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</si>
  <si>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</si>
  <si>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</si>
  <si>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</si>
  <si>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</si>
  <si>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</si>
  <si>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</si>
  <si>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</si>
  <si>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</si>
  <si>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</si>
  <si>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</si>
  <si>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</si>
  <si>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</si>
  <si>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</si>
  <si>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</si>
  <si>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</si>
  <si>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</si>
  <si>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</si>
  <si>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</si>
  <si>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</si>
  <si>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</si>
  <si>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</si>
  <si>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</si>
  <si>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</si>
  <si>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</si>
  <si>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</si>
  <si>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</si>
  <si>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</si>
  <si>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</si>
  <si>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</si>
  <si>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</si>
  <si>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</si>
  <si>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</si>
  <si>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</si>
  <si>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</si>
  <si>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</si>
  <si>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</si>
  <si>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</si>
  <si>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</si>
  <si>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</si>
  <si>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</si>
  <si>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</si>
  <si>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</si>
  <si>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</si>
  <si>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</si>
  <si>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</si>
  <si>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</si>
  <si>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</si>
  <si>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</si>
  <si>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</si>
  <si>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</si>
  <si>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</si>
  <si>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</si>
  <si>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</si>
  <si>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</si>
  <si>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</si>
  <si>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</si>
  <si>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</si>
  <si>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</si>
  <si>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</si>
  <si>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</si>
  <si>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</si>
  <si>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</si>
  <si>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</si>
  <si>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</si>
  <si>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</si>
  <si>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</si>
  <si>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</si>
  <si>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</si>
  <si>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</si>
  <si>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</si>
  <si>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</si>
  <si>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</si>
  <si>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</si>
  <si>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</si>
  <si>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</si>
  <si>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</si>
  <si>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</si>
  <si>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</si>
  <si>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</si>
  <si>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</si>
  <si>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</si>
  <si>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</si>
  <si>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</si>
  <si>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</si>
  <si>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</si>
  <si>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</si>
  <si>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</si>
  <si>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</si>
  <si>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</si>
  <si>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</si>
  <si>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</si>
  <si>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</si>
  <si>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</si>
  <si>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</si>
  <si>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</si>
  <si>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</si>
  <si>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</si>
  <si>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</si>
  <si>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</si>
  <si>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</si>
  <si>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</si>
  <si>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</si>
  <si>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</si>
  <si>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</si>
  <si>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</si>
  <si>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</si>
  <si>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</si>
  <si>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</si>
  <si>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</si>
  <si>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</si>
  <si>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</si>
  <si>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</si>
  <si>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</si>
  <si>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</si>
  <si>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</si>
  <si>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</si>
  <si>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</si>
  <si>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</si>
  <si>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</si>
  <si>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</si>
  <si>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</si>
  <si>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</si>
  <si>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</si>
  <si>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</si>
  <si>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</si>
  <si>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</si>
  <si>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</si>
  <si>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</si>
  <si>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</si>
  <si>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</si>
  <si>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</si>
  <si>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</si>
  <si>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</si>
  <si>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</si>
  <si>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</si>
  <si>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</si>
  <si>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</si>
  <si>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</si>
  <si>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</si>
  <si>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</si>
  <si>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</si>
  <si>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</si>
  <si>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</si>
  <si>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</si>
  <si>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</si>
  <si>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</si>
  <si>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</si>
  <si>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</si>
  <si>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</si>
  <si>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</si>
  <si>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</si>
  <si>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</si>
  <si>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</si>
  <si>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</si>
  <si>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</si>
  <si>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</si>
  <si>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</si>
  <si>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</si>
  <si>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</si>
  <si>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 xml:space="preserve"> As of 4/14/00</t>
  </si>
  <si>
    <t>Electrical Interconnect - Not TVA</t>
  </si>
  <si>
    <t>Property Tax</t>
  </si>
  <si>
    <t>Start-up Fuel costs higher than budgeted</t>
  </si>
  <si>
    <t>Increase in Electrical Interconnect - Non TVA</t>
  </si>
  <si>
    <t>Increase in Start-up Fuel</t>
  </si>
  <si>
    <t>54C 1070</t>
  </si>
  <si>
    <t>44Q 1070</t>
  </si>
  <si>
    <t>44Q 9310</t>
  </si>
  <si>
    <t>GLC</t>
  </si>
  <si>
    <t>2360  Property tax</t>
  </si>
  <si>
    <t>4082-400 franchise</t>
  </si>
  <si>
    <t>44Q 2160</t>
  </si>
  <si>
    <t>Reduced Forecast - Capitalized Salaries</t>
  </si>
  <si>
    <t>diff</t>
  </si>
  <si>
    <t>44W 1070</t>
  </si>
  <si>
    <t>44W 9310</t>
  </si>
  <si>
    <t>IDC</t>
  </si>
  <si>
    <t>44W 2360</t>
  </si>
  <si>
    <t>44W 4092</t>
  </si>
  <si>
    <t>Rev accrual</t>
  </si>
  <si>
    <t xml:space="preserve">51R 1070 </t>
  </si>
  <si>
    <t>51R 9310</t>
  </si>
  <si>
    <t>51R 2160</t>
  </si>
  <si>
    <t>Legal reclass</t>
  </si>
  <si>
    <t>Legal Reclass</t>
  </si>
  <si>
    <t>IDC correction</t>
  </si>
  <si>
    <t>Start Up Fuel</t>
  </si>
  <si>
    <t>Fuel Cost Adj</t>
  </si>
  <si>
    <t>Fuel Cost adj</t>
  </si>
  <si>
    <t>Legal Credit</t>
  </si>
  <si>
    <t>*Note: Costs being booked as a receivable, with the receivable being reduced over time equal to the transmission credits used. Ending receivable balance to be repaid by TVA to ENA 2009</t>
  </si>
  <si>
    <t>Land Purchase - Marshall County Rd Pavement, Water Supply to land owners</t>
  </si>
  <si>
    <t>Revision # 59</t>
  </si>
  <si>
    <t xml:space="preserve"> As of 07/31/00</t>
  </si>
  <si>
    <t>As of 07/31/00</t>
  </si>
  <si>
    <t>Increase in Permitting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</si>
</sst>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5">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
      <patternFill patternType="solid">
        <fgColor indexed="13"/>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500">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164" fontId="1" fillId="0" borderId="0" xfId="3" applyNumberFormat="1" applyFill="1"/>
    <xf numFmtId="43" fontId="6" fillId="0" borderId="0" xfId="3" applyNumberFormat="1" applyFont="1" applyBorder="1"/>
    <xf numFmtId="164" fontId="20" fillId="0" borderId="0" xfId="3" applyNumberFormat="1" applyFont="1" applyFill="1"/>
    <xf numFmtId="164" fontId="5" fillId="14" borderId="0" xfId="3" applyNumberFormat="1" applyFont="1" applyFill="1" applyBorder="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E956B708-7696-8989-0146-A1644AB967A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B24F29D8-988A-5CAD-CFE1-3DCF3C97659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DA8B4D78-07D1-EBE9-F05D-9263745A1168}"/>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630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 val="Wilton Leaseback Only"/>
      <sheetName val="Wheatland (2)"/>
    </sheetNames>
    <sheetDataSet>
      <sheetData sheetId="0"/>
      <sheetData sheetId="1">
        <row r="38">
          <cell r="I38">
            <v>481371.22496666672</v>
          </cell>
          <cell r="J38">
            <v>488494.44316995825</v>
          </cell>
          <cell r="K38">
            <v>500068.5242301845</v>
          </cell>
        </row>
        <row r="64">
          <cell r="X64">
            <v>811034.87</v>
          </cell>
        </row>
      </sheetData>
      <sheetData sheetId="2">
        <row r="40">
          <cell r="K40">
            <v>463711.37538870639</v>
          </cell>
          <cell r="L40">
            <v>505639.68570277008</v>
          </cell>
          <cell r="N40">
            <v>663422.29387704656</v>
          </cell>
          <cell r="O40">
            <v>873819.32529526937</v>
          </cell>
          <cell r="P40">
            <v>891069.81590450753</v>
          </cell>
          <cell r="Q40">
            <v>1048965.8687712126</v>
          </cell>
          <cell r="R40">
            <v>1175441.8444909456</v>
          </cell>
          <cell r="Y40">
            <v>11022920.431537341</v>
          </cell>
        </row>
        <row r="62">
          <cell r="Y62">
            <v>22604</v>
          </cell>
        </row>
      </sheetData>
      <sheetData sheetId="3">
        <row r="40">
          <cell r="M40">
            <v>505668.93</v>
          </cell>
          <cell r="N40">
            <v>517447.92267638887</v>
          </cell>
          <cell r="O40">
            <v>557933.42322977481</v>
          </cell>
          <cell r="P40">
            <v>574337.94527365838</v>
          </cell>
          <cell r="Q40">
            <v>616751.79694111284</v>
          </cell>
          <cell r="R40">
            <v>657673.00806343276</v>
          </cell>
          <cell r="S40">
            <v>719263.87615433196</v>
          </cell>
          <cell r="V40">
            <v>596910.34129285498</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T39">
            <v>720582.02993748907</v>
          </cell>
        </row>
      </sheetData>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6" customWidth="1"/>
    <col min="14" max="14" width="15.28515625" style="376"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6.25">
      <c r="A4" s="257"/>
      <c r="B4" s="257" t="s">
        <v>338</v>
      </c>
      <c r="C4" s="255"/>
      <c r="D4" s="255"/>
      <c r="E4" s="255"/>
      <c r="F4" s="255"/>
      <c r="G4" s="255"/>
      <c r="H4" s="258"/>
      <c r="I4" s="258"/>
      <c r="J4" s="258"/>
      <c r="K4" s="258"/>
      <c r="L4" s="378"/>
      <c r="M4" s="378"/>
      <c r="N4" s="378"/>
      <c r="O4" s="255"/>
      <c r="P4" s="255"/>
      <c r="Q4" s="255"/>
    </row>
    <row r="5" spans="1:17" ht="20.25">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4" t="s">
        <v>340</v>
      </c>
      <c r="B7" s="497" t="s">
        <v>341</v>
      </c>
      <c r="C7" s="497" t="s">
        <v>342</v>
      </c>
      <c r="D7" s="497" t="s">
        <v>343</v>
      </c>
      <c r="E7" s="497" t="s">
        <v>344</v>
      </c>
      <c r="F7" s="497" t="s">
        <v>345</v>
      </c>
      <c r="G7" s="491" t="s">
        <v>346</v>
      </c>
      <c r="H7" s="491" t="s">
        <v>347</v>
      </c>
      <c r="I7" s="491" t="s">
        <v>348</v>
      </c>
      <c r="J7" s="491" t="s">
        <v>349</v>
      </c>
      <c r="K7" s="491" t="s">
        <v>350</v>
      </c>
      <c r="L7" s="379" t="s">
        <v>374</v>
      </c>
      <c r="M7" s="379"/>
      <c r="N7" s="379"/>
      <c r="O7" s="497" t="s">
        <v>351</v>
      </c>
      <c r="P7" s="488" t="s">
        <v>352</v>
      </c>
      <c r="Q7" s="260"/>
    </row>
    <row r="8" spans="1:17">
      <c r="A8" s="495"/>
      <c r="B8" s="498"/>
      <c r="C8" s="498"/>
      <c r="D8" s="498"/>
      <c r="E8" s="498"/>
      <c r="F8" s="498"/>
      <c r="G8" s="492"/>
      <c r="H8" s="492"/>
      <c r="I8" s="492"/>
      <c r="J8" s="492"/>
      <c r="K8" s="492"/>
      <c r="L8" s="380" t="s">
        <v>355</v>
      </c>
      <c r="M8" s="380" t="s">
        <v>502</v>
      </c>
      <c r="N8" s="380" t="s">
        <v>506</v>
      </c>
      <c r="O8" s="498"/>
      <c r="P8" s="489"/>
      <c r="Q8" s="261"/>
    </row>
    <row r="9" spans="1:17" ht="32.25" thickBot="1">
      <c r="A9" s="496"/>
      <c r="B9" s="499"/>
      <c r="C9" s="499"/>
      <c r="D9" s="499"/>
      <c r="E9" s="499"/>
      <c r="F9" s="499"/>
      <c r="G9" s="493"/>
      <c r="H9" s="493"/>
      <c r="I9" s="493"/>
      <c r="J9" s="493"/>
      <c r="K9" s="493"/>
      <c r="L9" s="381"/>
      <c r="M9" s="381" t="s">
        <v>505</v>
      </c>
      <c r="N9" s="381" t="s">
        <v>507</v>
      </c>
      <c r="O9" s="499"/>
      <c r="P9" s="490"/>
      <c r="Q9" s="262"/>
    </row>
    <row r="10" spans="1:17" ht="16.5"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10.25">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75">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94.5">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7.25">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78.75">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ht="31.5">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5"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7.25">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2.75">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2.75">
      <c r="A65" s="30"/>
      <c r="B65" s="30"/>
      <c r="L65"/>
      <c r="M65"/>
      <c r="N65"/>
    </row>
    <row r="66" spans="1:14" ht="12.75">
      <c r="A66" s="30"/>
      <c r="B66" s="30"/>
      <c r="L66"/>
      <c r="M66"/>
      <c r="N66"/>
    </row>
    <row r="67" spans="1:14" ht="18.75" thickBot="1">
      <c r="B67" s="438" t="s">
        <v>514</v>
      </c>
      <c r="C67" s="439"/>
      <c r="D67" s="439"/>
      <c r="E67" s="439"/>
      <c r="F67" s="439"/>
      <c r="G67" s="439"/>
      <c r="H67" s="451">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18" activePane="bottomRight" state="frozen"/>
      <selection activeCell="A9" sqref="A9"/>
      <selection pane="topRight" activeCell="A9" sqref="A9"/>
      <selection pane="bottomLeft" activeCell="A9" sqref="A9"/>
      <selection pane="bottomRight" activeCell="H46" sqref="H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9">
      <c r="A8" s="495"/>
      <c r="B8" s="498"/>
      <c r="C8" s="498"/>
      <c r="D8" s="498"/>
      <c r="E8" s="498"/>
      <c r="F8" s="498"/>
      <c r="G8" s="492"/>
      <c r="H8" s="492"/>
      <c r="I8" s="492"/>
      <c r="J8" s="492"/>
      <c r="K8" s="492"/>
      <c r="L8" s="498"/>
      <c r="M8" s="489"/>
      <c r="N8" s="261"/>
    </row>
    <row r="9" spans="1:19" ht="13.5" thickBot="1">
      <c r="A9" s="496"/>
      <c r="B9" s="499"/>
      <c r="C9" s="499"/>
      <c r="D9" s="499"/>
      <c r="E9" s="499"/>
      <c r="F9" s="499"/>
      <c r="G9" s="493"/>
      <c r="H9" s="493"/>
      <c r="I9" s="493"/>
      <c r="J9" s="493"/>
      <c r="K9" s="493"/>
      <c r="L9" s="499"/>
      <c r="M9" s="490"/>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110.25">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1.75">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75">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5"/>
      <c r="C18" s="278"/>
      <c r="D18" s="279"/>
      <c r="E18" s="279"/>
      <c r="F18" s="278"/>
      <c r="G18" s="280"/>
      <c r="H18" s="280"/>
      <c r="I18" s="281"/>
      <c r="J18" s="281"/>
      <c r="K18" s="281"/>
      <c r="L18" s="278"/>
      <c r="M18" s="282"/>
      <c r="N18" s="283"/>
    </row>
    <row r="19" spans="1:14" ht="15.75">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75" thickBot="1">
      <c r="B46" s="438" t="s">
        <v>514</v>
      </c>
      <c r="C46" s="439"/>
      <c r="D46" s="439"/>
      <c r="E46" s="439"/>
      <c r="F46" s="439"/>
      <c r="G46" s="439"/>
      <c r="H46" s="440">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4" t="s">
        <v>340</v>
      </c>
      <c r="B7" s="497" t="s">
        <v>341</v>
      </c>
      <c r="C7" s="497" t="s">
        <v>342</v>
      </c>
      <c r="D7" s="497" t="s">
        <v>343</v>
      </c>
      <c r="E7" s="497" t="s">
        <v>344</v>
      </c>
      <c r="F7" s="497" t="s">
        <v>345</v>
      </c>
      <c r="G7" s="491" t="s">
        <v>346</v>
      </c>
      <c r="H7" s="491" t="s">
        <v>347</v>
      </c>
      <c r="I7" s="491" t="s">
        <v>348</v>
      </c>
      <c r="J7" s="491" t="s">
        <v>349</v>
      </c>
      <c r="K7" s="491" t="s">
        <v>350</v>
      </c>
      <c r="L7" s="497" t="s">
        <v>351</v>
      </c>
      <c r="M7" s="488" t="s">
        <v>352</v>
      </c>
      <c r="N7" s="260"/>
    </row>
    <row r="8" spans="1:14">
      <c r="A8" s="495"/>
      <c r="B8" s="498"/>
      <c r="C8" s="498"/>
      <c r="D8" s="498"/>
      <c r="E8" s="498"/>
      <c r="F8" s="498"/>
      <c r="G8" s="492"/>
      <c r="H8" s="492"/>
      <c r="I8" s="492"/>
      <c r="J8" s="492"/>
      <c r="K8" s="492"/>
      <c r="L8" s="498"/>
      <c r="M8" s="489"/>
      <c r="N8" s="261"/>
    </row>
    <row r="9" spans="1:14" ht="13.5" thickBot="1">
      <c r="A9" s="496"/>
      <c r="B9" s="499"/>
      <c r="C9" s="499"/>
      <c r="D9" s="499"/>
      <c r="E9" s="499"/>
      <c r="F9" s="499"/>
      <c r="G9" s="493"/>
      <c r="H9" s="493"/>
      <c r="I9" s="493"/>
      <c r="J9" s="493"/>
      <c r="K9" s="493"/>
      <c r="L9" s="499"/>
      <c r="M9" s="490"/>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75">
      <c r="A15" s="277"/>
      <c r="B15" s="355"/>
      <c r="C15" s="278"/>
      <c r="D15" s="279"/>
      <c r="E15" s="279"/>
      <c r="F15" s="278"/>
      <c r="G15" s="280"/>
      <c r="H15" s="280"/>
      <c r="I15" s="281"/>
      <c r="J15" s="281"/>
      <c r="K15" s="281"/>
      <c r="L15" s="278"/>
      <c r="M15" s="282"/>
      <c r="N15" s="283"/>
    </row>
    <row r="16" spans="1:14" ht="15.75">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75">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75" thickBot="1">
      <c r="B43" s="438" t="s">
        <v>514</v>
      </c>
      <c r="C43" s="439"/>
      <c r="D43" s="439"/>
      <c r="E43" s="439"/>
      <c r="F43" s="439"/>
      <c r="G43" s="439"/>
      <c r="H43" s="440">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4">
        <v>19947.871999999999</v>
      </c>
      <c r="J45" s="20">
        <f>I45+10717.074</f>
        <v>30664.946</v>
      </c>
    </row>
    <row r="46" spans="1:79" ht="16.5"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4"/>
  <sheetViews>
    <sheetView tabSelected="1" topLeftCell="B1" zoomScale="90" zoomScaleNormal="90" zoomScaleSheetLayoutView="100" workbookViewId="0">
      <selection activeCell="E32" sqref="E32"/>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36740.346731712962</v>
      </c>
    </row>
    <row r="3" spans="1:74" ht="15.75">
      <c r="A3" s="178" t="s">
        <v>189</v>
      </c>
      <c r="G3" s="176"/>
      <c r="J3" s="177"/>
      <c r="O3" s="176"/>
      <c r="BV3" t="str">
        <f>Summary!A5</f>
        <v>Revision # 59</v>
      </c>
    </row>
    <row r="4" spans="1:74" ht="15.75">
      <c r="A4" s="174" t="s">
        <v>185</v>
      </c>
      <c r="J4" s="177" t="s">
        <v>125</v>
      </c>
      <c r="O4" s="98" t="s">
        <v>594</v>
      </c>
    </row>
    <row r="5" spans="1:74" ht="15.75">
      <c r="A5" s="178" t="s">
        <v>593</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07/31/00</v>
      </c>
      <c r="H9" s="182"/>
      <c r="I9" s="53" t="str">
        <f>+O4</f>
        <v xml:space="preserve"> As of 07/31/00</v>
      </c>
      <c r="J9" s="182"/>
      <c r="K9" s="90" t="str">
        <f>+O4</f>
        <v xml:space="preserve"> As of 07/31/00</v>
      </c>
      <c r="M9" s="28" t="s">
        <v>143</v>
      </c>
      <c r="O9" s="28" t="s">
        <v>46</v>
      </c>
    </row>
    <row r="10" spans="1:74">
      <c r="A10" s="180"/>
      <c r="C10" s="27"/>
      <c r="E10" s="180"/>
      <c r="G10" s="183"/>
      <c r="H10" s="182"/>
      <c r="I10" s="180"/>
      <c r="J10" s="182"/>
      <c r="K10" s="184"/>
      <c r="M10" s="180"/>
      <c r="O10" s="180"/>
    </row>
    <row r="11" spans="1:74">
      <c r="A11" s="185" t="s">
        <v>254</v>
      </c>
      <c r="C11" s="455">
        <v>608</v>
      </c>
      <c r="E11" s="187">
        <f>Wilton!R178/1000</f>
        <v>239675.46775000001</v>
      </c>
      <c r="F11" s="186"/>
      <c r="G11" s="188">
        <f>Wilton!BL178/1000</f>
        <v>262284.65916869201</v>
      </c>
      <c r="H11" s="182"/>
      <c r="I11" s="187">
        <f>K11-G11</f>
        <v>9947.101706178626</v>
      </c>
      <c r="J11" s="182"/>
      <c r="K11" s="189">
        <f>Wilton!BR178/1000</f>
        <v>272231.76087487064</v>
      </c>
      <c r="M11" s="187">
        <f>+E11-K11</f>
        <v>-32556.29312487063</v>
      </c>
      <c r="O11" s="190">
        <f>+G11/K11</f>
        <v>0.96346090671341345</v>
      </c>
    </row>
    <row r="12" spans="1:74">
      <c r="A12" s="191"/>
      <c r="C12" s="455"/>
      <c r="E12" s="192"/>
      <c r="F12" s="186"/>
      <c r="G12" s="193"/>
      <c r="H12" s="182"/>
      <c r="I12" s="192"/>
      <c r="J12" s="182"/>
      <c r="K12" s="194"/>
      <c r="M12" s="192"/>
      <c r="O12" s="195"/>
    </row>
    <row r="13" spans="1:74">
      <c r="A13" s="185" t="str">
        <f>Gleason!A3</f>
        <v>Gleason, TN</v>
      </c>
      <c r="C13" s="455">
        <v>509</v>
      </c>
      <c r="E13" s="187">
        <f>Gleason!R225/1000</f>
        <v>170575.01</v>
      </c>
      <c r="F13" s="186"/>
      <c r="G13" s="188">
        <f>Gleason!BN225/1000</f>
        <v>170264.59501366745</v>
      </c>
      <c r="H13" s="182"/>
      <c r="I13" s="187">
        <f>K13-G13</f>
        <v>7655.1330300000554</v>
      </c>
      <c r="J13" s="182"/>
      <c r="K13" s="189">
        <f>Gleason!BT225/1000</f>
        <v>177919.72804366751</v>
      </c>
      <c r="M13" s="187">
        <f>+E13-K13</f>
        <v>-7344.7180436674971</v>
      </c>
      <c r="O13" s="190">
        <f>+G13/K13</f>
        <v>0.95697423150219052</v>
      </c>
    </row>
    <row r="14" spans="1:74">
      <c r="A14" s="191"/>
      <c r="C14" s="455"/>
      <c r="E14" s="192"/>
      <c r="F14" s="186"/>
      <c r="G14" s="193"/>
      <c r="H14" s="182"/>
      <c r="I14" s="192"/>
      <c r="J14" s="182"/>
      <c r="K14" s="194"/>
      <c r="M14" s="192"/>
      <c r="O14" s="195"/>
    </row>
    <row r="15" spans="1:74">
      <c r="A15" s="185" t="s">
        <v>194</v>
      </c>
      <c r="C15" s="455">
        <v>470</v>
      </c>
      <c r="E15" s="187">
        <f>Wheatland!R176/1000</f>
        <v>158451.2481</v>
      </c>
      <c r="F15" s="186"/>
      <c r="G15" s="188">
        <f>Wheatland!BL176/1000</f>
        <v>153499.19176029522</v>
      </c>
      <c r="H15" s="182"/>
      <c r="I15" s="187">
        <f>K15-G15</f>
        <v>9516.5124699999578</v>
      </c>
      <c r="J15" s="182"/>
      <c r="K15" s="189">
        <f>Wheatland!BR176/1000</f>
        <v>163015.70423029517</v>
      </c>
      <c r="M15" s="187">
        <f>+E15-K15</f>
        <v>-4564.456130295177</v>
      </c>
      <c r="O15" s="190">
        <f>+G15/K15</f>
        <v>0.94162211233001325</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SUM(E11:E15)</f>
        <v>568701.72585000005</v>
      </c>
      <c r="F17" s="202"/>
      <c r="G17" s="203">
        <f>SUM(G11:G15)</f>
        <v>586048.44594265462</v>
      </c>
      <c r="H17" s="202"/>
      <c r="I17" s="201">
        <f>SUM(I11:I15)</f>
        <v>27118.747206178639</v>
      </c>
      <c r="J17" s="182"/>
      <c r="K17" s="204">
        <f>SUM(K11:K15)</f>
        <v>613167.19314883335</v>
      </c>
      <c r="L17" s="182"/>
      <c r="M17" s="201">
        <f>SUM(M10:M15)</f>
        <v>-44465.467298833304</v>
      </c>
      <c r="N17" s="182"/>
      <c r="O17" s="205">
        <f>+G17/K17</f>
        <v>0.95577267096285068</v>
      </c>
    </row>
    <row r="18" spans="1:29" ht="13.5" thickBot="1">
      <c r="A18" s="206" t="s">
        <v>50</v>
      </c>
      <c r="B18" s="200"/>
      <c r="C18" s="206"/>
      <c r="D18" s="182"/>
      <c r="E18" s="207">
        <f>E17/C17</f>
        <v>358.35017381852555</v>
      </c>
      <c r="F18" s="202"/>
      <c r="G18" s="208"/>
      <c r="H18" s="209"/>
      <c r="I18" s="210"/>
      <c r="J18" s="211"/>
      <c r="K18" s="212">
        <f>+K17/C17</f>
        <v>386.36874174469648</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07/31/00</v>
      </c>
      <c r="H22" s="182"/>
      <c r="I22" s="53" t="str">
        <f>I9</f>
        <v xml:space="preserve"> As of 07/31/00</v>
      </c>
      <c r="J22" s="182"/>
      <c r="K22" s="90" t="str">
        <f>K9</f>
        <v xml:space="preserve"> As of 07/31/00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07/31/00</v>
      </c>
      <c r="H35" s="182"/>
      <c r="I35" s="53" t="str">
        <f>O4</f>
        <v xml:space="preserve"> As of 07/31/00</v>
      </c>
      <c r="J35" s="182"/>
      <c r="K35" s="90" t="str">
        <f>O4</f>
        <v xml:space="preserve"> As of 07/31/00</v>
      </c>
    </row>
    <row r="36" spans="1:29">
      <c r="A36" s="180"/>
      <c r="E36" s="180"/>
      <c r="G36" s="183"/>
      <c r="H36" s="182"/>
      <c r="I36" s="180"/>
      <c r="J36" s="182"/>
      <c r="K36" s="184"/>
    </row>
    <row r="37" spans="1:29">
      <c r="A37" s="185" t="s">
        <v>196</v>
      </c>
      <c r="E37" s="187"/>
      <c r="F37" s="186"/>
      <c r="G37" s="188">
        <f>Wilton!BL196/1000</f>
        <v>314.52427</v>
      </c>
      <c r="H37" s="182"/>
      <c r="I37" s="187"/>
      <c r="J37" s="182"/>
      <c r="K37" s="189">
        <f>+I37+G37</f>
        <v>314.52427</v>
      </c>
    </row>
    <row r="38" spans="1:29">
      <c r="A38" s="191"/>
      <c r="E38" s="192"/>
      <c r="F38" s="186"/>
      <c r="G38" s="193"/>
      <c r="H38" s="182"/>
      <c r="I38" s="192"/>
      <c r="J38" s="182"/>
      <c r="K38" s="194"/>
    </row>
    <row r="39" spans="1:29">
      <c r="A39" s="185" t="s">
        <v>293</v>
      </c>
      <c r="E39" s="187">
        <v>1513</v>
      </c>
      <c r="F39" s="186"/>
      <c r="G39" s="188">
        <f>'Calvert City'!BN205/1000</f>
        <v>1407.0854433333327</v>
      </c>
      <c r="H39" s="182"/>
      <c r="I39" s="187">
        <f>E39-G39</f>
        <v>105.91455666666729</v>
      </c>
      <c r="J39" s="182"/>
      <c r="K39" s="189">
        <f>+I39+G39</f>
        <v>1513</v>
      </c>
    </row>
    <row r="40" spans="1:29">
      <c r="A40" s="191"/>
      <c r="E40" s="192"/>
      <c r="F40" s="186"/>
      <c r="G40" s="193"/>
      <c r="H40" s="182"/>
      <c r="I40" s="192"/>
      <c r="J40" s="182"/>
      <c r="K40" s="194"/>
    </row>
    <row r="41" spans="1:29">
      <c r="A41" s="185" t="s">
        <v>199</v>
      </c>
      <c r="E41" s="187"/>
      <c r="F41" s="186"/>
      <c r="G41" s="188">
        <f>Wheatland!BL194/1000</f>
        <v>15.1</v>
      </c>
      <c r="H41" s="182"/>
      <c r="I41" s="187"/>
      <c r="J41" s="182"/>
      <c r="K41" s="189">
        <f>+I41+G41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SUM(G37:G41)</f>
        <v>1736.7097133333327</v>
      </c>
      <c r="H43" s="209"/>
      <c r="I43" s="210">
        <f>SUM(I37:I41)</f>
        <v>105.91455666666729</v>
      </c>
      <c r="J43" s="211"/>
      <c r="K43" s="212">
        <f>SUM(K37:K41)</f>
        <v>1842.6242699999998</v>
      </c>
      <c r="L43" s="182"/>
    </row>
    <row r="44" spans="1:29" ht="13.5" thickBot="1"/>
    <row r="45" spans="1:29" ht="13.5" thickBot="1">
      <c r="A45" s="486" t="s">
        <v>205</v>
      </c>
      <c r="B45" s="487"/>
      <c r="C45" s="487"/>
      <c r="D45" s="487"/>
      <c r="E45" s="487"/>
      <c r="F45" s="487"/>
      <c r="G45" s="487"/>
      <c r="H45" s="487"/>
      <c r="I45" s="487"/>
      <c r="J45" s="487"/>
      <c r="K45" s="487"/>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6" t="s">
        <v>142</v>
      </c>
      <c r="B54" s="487"/>
      <c r="C54" s="487"/>
      <c r="D54" s="487"/>
      <c r="E54" s="487"/>
      <c r="F54" s="487"/>
      <c r="G54" s="487"/>
      <c r="H54" s="487"/>
      <c r="I54" s="487"/>
      <c r="J54" s="487"/>
      <c r="K54" s="487"/>
      <c r="L54" s="163"/>
      <c r="M54" s="163"/>
      <c r="N54" s="163"/>
      <c r="O54" s="164"/>
    </row>
    <row r="56" spans="1:15">
      <c r="J56" s="217"/>
    </row>
    <row r="57" spans="1:15">
      <c r="A57" s="225" t="s">
        <v>254</v>
      </c>
      <c r="C57" s="226">
        <f>Wilton!BT161/1000</f>
        <v>-207.05902000000003</v>
      </c>
      <c r="E57" s="217" t="s">
        <v>279</v>
      </c>
      <c r="F57" s="217"/>
      <c r="G57" s="217"/>
      <c r="H57" s="217"/>
      <c r="I57" s="217"/>
      <c r="J57" s="217"/>
    </row>
    <row r="58" spans="1:15">
      <c r="A58" s="182"/>
      <c r="C58" s="226">
        <f>Wilton!BT89/1000</f>
        <v>-26168.616999999998</v>
      </c>
      <c r="E58" s="175" t="s">
        <v>415</v>
      </c>
    </row>
    <row r="59" spans="1:15">
      <c r="A59" s="182"/>
      <c r="C59" s="226">
        <f>Wilton!BT12/1000</f>
        <v>-2024.0004399999975</v>
      </c>
      <c r="E59" s="175" t="s">
        <v>322</v>
      </c>
    </row>
    <row r="60" spans="1:15">
      <c r="A60" s="182"/>
      <c r="C60" s="226">
        <f>Wilton!BT15/1000</f>
        <v>-464.69799999999998</v>
      </c>
      <c r="E60" s="175" t="s">
        <v>325</v>
      </c>
    </row>
    <row r="61" spans="1:15">
      <c r="A61" s="182"/>
      <c r="C61" s="226">
        <f>Wilton!BT143/1000</f>
        <v>-7400</v>
      </c>
      <c r="E61" s="175" t="s">
        <v>323</v>
      </c>
    </row>
    <row r="62" spans="1:15">
      <c r="A62" s="182"/>
      <c r="C62" s="226">
        <f>(Wilton!BT132+Wilton!BT99+Wilton!BT108)/1000</f>
        <v>-199.7436133333334</v>
      </c>
      <c r="E62" s="175" t="s">
        <v>443</v>
      </c>
    </row>
    <row r="63" spans="1:15">
      <c r="A63" s="182"/>
      <c r="C63" s="226">
        <f>Wilton!BT141/1000</f>
        <v>-200</v>
      </c>
      <c r="E63" s="175" t="s">
        <v>513</v>
      </c>
    </row>
    <row r="64" spans="1:15">
      <c r="A64" s="182"/>
      <c r="C64" s="226">
        <f>Wilton!BT171/1000</f>
        <v>1785.2035684626587</v>
      </c>
      <c r="E64" s="175" t="s">
        <v>512</v>
      </c>
    </row>
    <row r="65" spans="1:12">
      <c r="A65" s="182"/>
      <c r="C65" s="226">
        <f>Wilton!BT153/1000</f>
        <v>90.305000000000007</v>
      </c>
      <c r="E65" s="175" t="s">
        <v>573</v>
      </c>
    </row>
    <row r="66" spans="1:12">
      <c r="A66" s="182"/>
      <c r="C66" s="226">
        <f>(Wilton!BT156+Wilton!BT157+Wilton!BT158+Wilton!BT159)/1000</f>
        <v>-745.01578000000006</v>
      </c>
      <c r="E66" s="175" t="s">
        <v>527</v>
      </c>
    </row>
    <row r="67" spans="1:12">
      <c r="A67" s="182"/>
      <c r="C67" s="226">
        <f>-Wilton!BR160/1000</f>
        <v>-191.01289000000003</v>
      </c>
      <c r="E67" s="175" t="s">
        <v>440</v>
      </c>
    </row>
    <row r="68" spans="1:12">
      <c r="A68" s="182"/>
      <c r="C68" s="226">
        <f>Wilton!BT147/1000</f>
        <v>-353.46850000000001</v>
      </c>
      <c r="E68" s="175" t="s">
        <v>563</v>
      </c>
    </row>
    <row r="69" spans="1:12">
      <c r="A69" s="182"/>
      <c r="C69" s="226">
        <f>Wilton!BT169/1000</f>
        <v>-368.28674000000001</v>
      </c>
      <c r="E69" s="175" t="s">
        <v>449</v>
      </c>
    </row>
    <row r="70" spans="1:12">
      <c r="A70" s="182"/>
      <c r="C70" s="313">
        <v>4408.0720000000001</v>
      </c>
      <c r="E70" s="182" t="s">
        <v>324</v>
      </c>
      <c r="F70" s="182"/>
      <c r="G70" s="182"/>
      <c r="H70" s="182"/>
      <c r="I70" s="182"/>
    </row>
    <row r="71" spans="1:12">
      <c r="A71" s="182"/>
      <c r="C71" s="313">
        <f>Wilton!BT151/1000</f>
        <v>-121.30825</v>
      </c>
      <c r="E71" s="182" t="s">
        <v>437</v>
      </c>
      <c r="F71" s="182"/>
      <c r="G71" s="182"/>
      <c r="H71" s="182"/>
      <c r="I71" s="182"/>
    </row>
    <row r="72" spans="1:12">
      <c r="A72" s="182"/>
      <c r="C72" s="245">
        <f>Wilton!BT121/1000</f>
        <v>-396.66321000000005</v>
      </c>
      <c r="D72" s="246"/>
      <c r="E72" s="246" t="s">
        <v>442</v>
      </c>
      <c r="F72" s="246"/>
      <c r="G72" s="246"/>
      <c r="H72" s="246"/>
      <c r="I72" s="246"/>
      <c r="J72" s="246"/>
      <c r="K72" s="246"/>
    </row>
    <row r="73" spans="1:12">
      <c r="A73" s="182"/>
      <c r="C73" s="479">
        <f>SUM(C57:C72)</f>
        <v>-32556.292874870665</v>
      </c>
      <c r="D73" s="480"/>
      <c r="E73" s="481" t="s">
        <v>417</v>
      </c>
      <c r="F73" s="480"/>
      <c r="G73" s="480"/>
      <c r="H73" s="480"/>
      <c r="I73" s="480"/>
      <c r="J73" s="480"/>
      <c r="K73" s="480"/>
      <c r="L73" s="182"/>
    </row>
    <row r="74" spans="1:12">
      <c r="A74" s="182"/>
      <c r="C74" s="452"/>
      <c r="D74" s="182"/>
      <c r="E74" s="424"/>
      <c r="F74" s="182"/>
      <c r="G74" s="182"/>
      <c r="H74" s="182"/>
      <c r="I74" s="182"/>
      <c r="J74" s="182"/>
      <c r="K74" s="182"/>
      <c r="L74" s="182"/>
    </row>
    <row r="75" spans="1:12">
      <c r="A75" s="182"/>
      <c r="C75" s="453"/>
    </row>
    <row r="76" spans="1:12">
      <c r="A76" s="182"/>
      <c r="C76" s="226"/>
    </row>
    <row r="77" spans="1:12">
      <c r="A77" s="225" t="s">
        <v>294</v>
      </c>
      <c r="C77" s="226">
        <f>Gleason!BV202/1000</f>
        <v>-32.203279999999999</v>
      </c>
      <c r="E77" s="217" t="s">
        <v>279</v>
      </c>
      <c r="F77" s="217"/>
      <c r="G77" s="217"/>
      <c r="H77" s="217"/>
      <c r="I77" s="217"/>
    </row>
    <row r="78" spans="1:12">
      <c r="A78" s="225"/>
      <c r="C78" s="313">
        <f>Gleason!BV97/1000</f>
        <v>-4993.6000000000004</v>
      </c>
      <c r="D78" s="182"/>
      <c r="E78" s="175" t="s">
        <v>415</v>
      </c>
      <c r="F78" s="215"/>
      <c r="G78" s="215"/>
      <c r="H78" s="215"/>
      <c r="I78" s="215"/>
      <c r="J78" s="182"/>
      <c r="K78" s="182"/>
    </row>
    <row r="79" spans="1:12">
      <c r="A79" s="225"/>
      <c r="C79" s="313">
        <f>Gleason!BV16/1000</f>
        <v>-3392.7400499999972</v>
      </c>
      <c r="E79" s="175" t="s">
        <v>322</v>
      </c>
      <c r="F79" s="215"/>
      <c r="G79" s="215"/>
      <c r="H79" s="215"/>
      <c r="I79" s="215"/>
      <c r="J79" s="182"/>
      <c r="K79" s="182"/>
    </row>
    <row r="80" spans="1:12">
      <c r="A80" s="225"/>
      <c r="C80" s="313">
        <f>Gleason!BV35/1000</f>
        <v>-579.65</v>
      </c>
      <c r="E80" s="175" t="s">
        <v>482</v>
      </c>
      <c r="F80" s="215"/>
      <c r="G80" s="215"/>
      <c r="H80" s="215"/>
      <c r="I80" s="215"/>
      <c r="J80" s="182"/>
      <c r="K80" s="182"/>
    </row>
    <row r="81" spans="1:15">
      <c r="A81" s="225"/>
      <c r="C81" s="313">
        <f>Gleason!BV182/1000</f>
        <v>-1802.23153</v>
      </c>
      <c r="E81" s="175" t="s">
        <v>445</v>
      </c>
      <c r="F81" s="215"/>
      <c r="G81" s="215"/>
      <c r="H81" s="215"/>
      <c r="I81" s="215"/>
      <c r="J81" s="182"/>
      <c r="K81" s="182"/>
    </row>
    <row r="82" spans="1:15">
      <c r="A82" s="225"/>
      <c r="C82" s="313">
        <f>Gleason!BV201/1000</f>
        <v>-191.01290000000003</v>
      </c>
      <c r="E82" s="175" t="s">
        <v>440</v>
      </c>
      <c r="F82" s="215"/>
      <c r="G82" s="215"/>
      <c r="H82" s="215"/>
      <c r="I82" s="215"/>
      <c r="J82" s="182"/>
      <c r="K82" s="182"/>
    </row>
    <row r="83" spans="1:15">
      <c r="A83" s="225"/>
      <c r="C83" s="313">
        <f>Gleason!BV211/1000</f>
        <v>675.50984633251471</v>
      </c>
      <c r="E83" s="175" t="s">
        <v>512</v>
      </c>
      <c r="F83" s="215"/>
      <c r="G83" s="215"/>
      <c r="H83" s="215"/>
      <c r="I83" s="215"/>
      <c r="J83" s="182"/>
      <c r="K83" s="182"/>
    </row>
    <row r="84" spans="1:15">
      <c r="A84" s="225"/>
      <c r="C84" s="313">
        <f>Gleason!BV209/1000</f>
        <v>-252.20846000000003</v>
      </c>
      <c r="E84" s="175" t="s">
        <v>450</v>
      </c>
      <c r="F84" s="215"/>
      <c r="G84" s="215"/>
      <c r="H84" s="215"/>
      <c r="I84" s="215"/>
      <c r="J84" s="182"/>
      <c r="K84" s="182"/>
    </row>
    <row r="85" spans="1:15">
      <c r="A85" s="225"/>
      <c r="C85" s="313">
        <f>Gleason!BV149/1000</f>
        <v>-59.51</v>
      </c>
      <c r="E85" s="175" t="s">
        <v>483</v>
      </c>
      <c r="F85" s="215"/>
      <c r="G85" s="215"/>
      <c r="H85" s="215"/>
      <c r="I85" s="215"/>
      <c r="J85" s="182"/>
      <c r="K85" s="182"/>
    </row>
    <row r="86" spans="1:15">
      <c r="A86" s="225"/>
      <c r="C86" s="313">
        <f>Gleason!BV159/1000</f>
        <v>-485.34026000000011</v>
      </c>
      <c r="E86" s="175" t="s">
        <v>484</v>
      </c>
      <c r="F86" s="215"/>
      <c r="G86" s="215"/>
      <c r="H86" s="215"/>
      <c r="I86" s="215"/>
      <c r="J86" s="182"/>
      <c r="K86" s="182"/>
    </row>
    <row r="87" spans="1:15">
      <c r="A87" s="225"/>
      <c r="C87" s="313">
        <f>Gleason!BV190/1000</f>
        <v>-1190.8230000000001</v>
      </c>
      <c r="E87" s="175" t="s">
        <v>565</v>
      </c>
      <c r="F87" s="215"/>
      <c r="G87" s="215"/>
      <c r="H87" s="215"/>
      <c r="I87" s="215"/>
      <c r="J87" s="182"/>
      <c r="K87" s="182"/>
    </row>
    <row r="88" spans="1:15">
      <c r="A88" s="225"/>
      <c r="C88" s="313">
        <f>Gleason!BV136/1000</f>
        <v>-100.98434</v>
      </c>
      <c r="E88" s="175" t="s">
        <v>564</v>
      </c>
      <c r="F88" s="215"/>
      <c r="G88" s="215"/>
      <c r="H88" s="215"/>
      <c r="I88" s="215"/>
      <c r="J88" s="182"/>
      <c r="K88" s="182"/>
    </row>
    <row r="89" spans="1:15">
      <c r="A89" s="225"/>
      <c r="C89" s="313">
        <f>Gleason!BV194/1000</f>
        <v>87.884649999999993</v>
      </c>
      <c r="E89" s="175" t="s">
        <v>573</v>
      </c>
      <c r="F89" s="215"/>
      <c r="G89" s="215"/>
      <c r="H89" s="215"/>
      <c r="I89" s="215"/>
      <c r="J89" s="182"/>
      <c r="K89" s="182"/>
    </row>
    <row r="90" spans="1:15">
      <c r="A90" s="225"/>
      <c r="C90" s="313">
        <f>Gleason!BV200/1000</f>
        <v>-452.30195999999995</v>
      </c>
      <c r="E90" s="175" t="s">
        <v>527</v>
      </c>
      <c r="F90" s="215"/>
      <c r="G90" s="215"/>
      <c r="H90" s="215"/>
      <c r="I90" s="215"/>
      <c r="J90" s="182"/>
      <c r="K90" s="182"/>
    </row>
    <row r="91" spans="1:15">
      <c r="A91" s="225"/>
      <c r="C91" s="313">
        <f>Gleason!BV215/1000</f>
        <v>5423.4979999999996</v>
      </c>
      <c r="D91" s="182"/>
      <c r="E91" s="182" t="s">
        <v>324</v>
      </c>
      <c r="F91" s="215"/>
      <c r="G91" s="215"/>
      <c r="H91" s="215"/>
      <c r="I91" s="215"/>
      <c r="J91" s="182"/>
      <c r="K91" s="182"/>
    </row>
    <row r="92" spans="1:15" s="30" customFormat="1">
      <c r="A92" s="225"/>
      <c r="B92" s="182"/>
      <c r="C92" s="245">
        <f>Gleason!BV105/1000+1</f>
        <v>1</v>
      </c>
      <c r="D92" s="246"/>
      <c r="E92" s="366" t="s">
        <v>446</v>
      </c>
      <c r="F92" s="312"/>
      <c r="G92" s="312"/>
      <c r="H92" s="312"/>
      <c r="I92" s="312"/>
      <c r="J92" s="246"/>
      <c r="K92" s="246"/>
      <c r="L92" s="182"/>
      <c r="M92" s="182"/>
      <c r="N92" s="182"/>
      <c r="O92" s="182"/>
    </row>
    <row r="93" spans="1:15">
      <c r="A93" s="225"/>
      <c r="C93" s="452">
        <f>SUM(C77:C92)</f>
        <v>-7344.7132836674846</v>
      </c>
      <c r="D93" s="182"/>
      <c r="E93" s="320" t="s">
        <v>414</v>
      </c>
      <c r="F93" s="215"/>
      <c r="G93" s="215"/>
      <c r="H93" s="215"/>
      <c r="I93" s="215"/>
      <c r="J93" s="182"/>
      <c r="K93" s="182"/>
    </row>
    <row r="94" spans="1:15">
      <c r="A94" s="182"/>
      <c r="C94" s="226"/>
      <c r="E94" s="217"/>
      <c r="F94" s="217"/>
      <c r="G94" s="217"/>
      <c r="H94" s="217"/>
      <c r="I94" s="217"/>
    </row>
    <row r="95" spans="1:15">
      <c r="A95" s="182"/>
      <c r="C95" s="226"/>
      <c r="E95" s="217"/>
      <c r="F95" s="217"/>
      <c r="G95" s="217"/>
      <c r="H95" s="217"/>
      <c r="I95" s="217"/>
    </row>
    <row r="96" spans="1:15">
      <c r="A96" s="225" t="s">
        <v>194</v>
      </c>
      <c r="C96" s="226">
        <f>Wheatland!BT159/1000</f>
        <v>-168.35607999999999</v>
      </c>
      <c r="E96" s="217" t="s">
        <v>279</v>
      </c>
    </row>
    <row r="97" spans="1:15">
      <c r="C97" s="226">
        <f>Wheatland!BT91/1000</f>
        <v>-5550.8</v>
      </c>
      <c r="E97" s="175" t="s">
        <v>416</v>
      </c>
    </row>
    <row r="98" spans="1:15">
      <c r="A98" s="229"/>
      <c r="B98" s="230"/>
      <c r="C98" s="226">
        <f>Wheatland!BT12/1000</f>
        <v>-966.48900000000003</v>
      </c>
      <c r="D98" s="230"/>
      <c r="E98" s="175" t="s">
        <v>322</v>
      </c>
      <c r="F98" s="230"/>
      <c r="G98" s="230"/>
      <c r="H98" s="230"/>
      <c r="I98" s="230"/>
      <c r="J98" s="230"/>
      <c r="K98" s="230"/>
      <c r="L98" s="230"/>
      <c r="M98" s="230"/>
      <c r="N98" s="230"/>
    </row>
    <row r="99" spans="1:15">
      <c r="C99" s="226">
        <f>Wheatland!BT32/1000</f>
        <v>-428.48060000000055</v>
      </c>
      <c r="E99" s="175" t="s">
        <v>325</v>
      </c>
    </row>
    <row r="100" spans="1:15">
      <c r="C100" s="226">
        <f>Wheatland!BT130/1000</f>
        <v>-1142.8025700000001</v>
      </c>
      <c r="E100" s="175" t="s">
        <v>403</v>
      </c>
    </row>
    <row r="101" spans="1:15">
      <c r="C101" s="226">
        <f>Wheatland!BT135/1000</f>
        <v>-11.01153999999992</v>
      </c>
      <c r="E101" s="175" t="s">
        <v>596</v>
      </c>
    </row>
    <row r="102" spans="1:15">
      <c r="C102" s="226">
        <f>Wheatland!BT157/1000</f>
        <v>-234.20791999999992</v>
      </c>
      <c r="E102" s="175" t="s">
        <v>527</v>
      </c>
    </row>
    <row r="103" spans="1:15">
      <c r="C103" s="226">
        <f>Wheatland!BT158/1000</f>
        <v>-195.04080999999999</v>
      </c>
      <c r="E103" s="175" t="s">
        <v>451</v>
      </c>
    </row>
    <row r="104" spans="1:15">
      <c r="C104" s="226">
        <f>Wheatland!BT151/1000</f>
        <v>84.56859</v>
      </c>
      <c r="E104" s="175" t="s">
        <v>573</v>
      </c>
    </row>
    <row r="105" spans="1:15">
      <c r="C105" s="226">
        <f>Wheatland!BT167/1000</f>
        <v>-301.67212999999998</v>
      </c>
      <c r="E105" s="175" t="s">
        <v>450</v>
      </c>
    </row>
    <row r="106" spans="1:15">
      <c r="C106" s="226">
        <f>Wheatland!BT169/1000</f>
        <v>1025.683929704817</v>
      </c>
      <c r="E106" s="175" t="s">
        <v>488</v>
      </c>
    </row>
    <row r="107" spans="1:15">
      <c r="A107" s="229"/>
      <c r="B107" s="230"/>
      <c r="C107" s="245">
        <v>3324.1521000000002</v>
      </c>
      <c r="D107" s="425"/>
      <c r="E107" s="246" t="s">
        <v>324</v>
      </c>
      <c r="F107" s="425"/>
      <c r="G107" s="425"/>
      <c r="H107" s="425"/>
      <c r="I107" s="425"/>
      <c r="J107" s="424"/>
      <c r="K107" s="424"/>
      <c r="L107" s="230"/>
      <c r="M107" s="230"/>
    </row>
    <row r="108" spans="1:15" ht="14.25" customHeight="1">
      <c r="C108" s="454">
        <f>SUM(C96:C107)</f>
        <v>-4564.4560302951841</v>
      </c>
      <c r="D108" s="182"/>
      <c r="E108" s="424" t="s">
        <v>417</v>
      </c>
      <c r="F108" s="182"/>
      <c r="G108" s="182"/>
      <c r="H108" s="182"/>
      <c r="I108" s="182"/>
      <c r="J108" s="182"/>
      <c r="K108" s="182"/>
    </row>
    <row r="110" spans="1:15">
      <c r="C110" s="226">
        <f>Wheatland!BR87/1000</f>
        <v>0</v>
      </c>
      <c r="E110" s="175" t="s">
        <v>528</v>
      </c>
    </row>
    <row r="111" spans="1:15" ht="13.5" thickBot="1">
      <c r="A111"/>
      <c r="B111"/>
      <c r="C111" s="319">
        <f>C108+C110</f>
        <v>-4564.4560302951841</v>
      </c>
      <c r="D111" s="314"/>
      <c r="E111" s="315" t="s">
        <v>417</v>
      </c>
      <c r="F111" s="314"/>
      <c r="G111" s="316"/>
      <c r="H111" s="317"/>
      <c r="I111" s="318"/>
      <c r="J111" s="314"/>
      <c r="K111" s="314"/>
      <c r="L111"/>
      <c r="M111"/>
      <c r="N111"/>
      <c r="O111"/>
    </row>
    <row r="112" spans="1:15" ht="13.5" thickTop="1">
      <c r="A112"/>
      <c r="B112"/>
      <c r="C112"/>
      <c r="D112"/>
      <c r="E112"/>
      <c r="F112"/>
      <c r="G112"/>
      <c r="H112"/>
      <c r="I112"/>
      <c r="J112"/>
      <c r="K112"/>
      <c r="L112"/>
      <c r="M112"/>
      <c r="N112"/>
      <c r="O112"/>
    </row>
    <row r="113" spans="1:3">
      <c r="B113" s="26"/>
      <c r="C113" s="177"/>
    </row>
    <row r="114" spans="1:3">
      <c r="A114" s="218" t="str">
        <f ca="1">CELL("FILENAME")</f>
        <v>O:\Fin_Ops\Engysvc\PowerPlants\2000 Plants\Weekly Report\[2000 Weekly Report - 0731xls.xls]Wheatland</v>
      </c>
      <c r="B114" s="177"/>
      <c r="C114" s="177"/>
    </row>
  </sheetData>
  <mergeCells count="2">
    <mergeCell ref="A54:K54"/>
    <mergeCell ref="A45:K45"/>
  </mergeCells>
  <printOptions horizontalCentered="1"/>
  <pageMargins left="0.25" right="0.25" top="0.5" bottom="0.34" header="0.5" footer="0.5"/>
  <pageSetup scale="43"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6"/>
  <sheetViews>
    <sheetView zoomScale="80" zoomScaleNormal="66" workbookViewId="0">
      <pane xSplit="19" ySplit="8" topLeftCell="BD177" activePane="bottomRight" state="frozen"/>
      <selection activeCell="K13" sqref="K13:K16"/>
      <selection pane="topRight" activeCell="K13" sqref="K13:K16"/>
      <selection pane="bottomLeft" activeCell="K13" sqref="K13:K16"/>
      <selection pane="bottomRight" activeCell="BD1" sqref="BD1:BF6553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customWidth="1"/>
    <col min="18" max="18" width="21.28515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11.7109375" style="6" hidden="1" customWidth="1"/>
    <col min="47" max="47" width="6.42578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hidden="1" customWidth="1"/>
    <col min="58" max="58" width="17.85546875" style="6" hidden="1" customWidth="1"/>
    <col min="59" max="59" width="0.85546875" hidden="1" customWidth="1"/>
    <col min="60" max="60" width="17.85546875" style="6" hidden="1" customWidth="1"/>
    <col min="61" max="61" width="0.85546875" hidden="1" customWidth="1"/>
    <col min="62" max="62" width="17.28515625" style="65" hidden="1" customWidth="1"/>
    <col min="63" max="63" width="2.140625" hidden="1" customWidth="1"/>
    <col min="64" max="64" width="20.85546875" style="6" customWidth="1"/>
    <col min="65" max="65" width="1.5703125" customWidth="1"/>
    <col min="66" max="66" width="19.140625" style="65" customWidth="1"/>
    <col min="67" max="67" width="0.85546875"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t="s">
        <v>595</v>
      </c>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c r="BF1" s="68"/>
      <c r="BG1"/>
      <c r="BH1" s="68"/>
      <c r="BI1"/>
      <c r="BJ1" s="81"/>
      <c r="BK1"/>
      <c r="BL1" s="78"/>
      <c r="BM1"/>
      <c r="BN1" s="81"/>
      <c r="BO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c r="BF2" s="68"/>
      <c r="BG2"/>
      <c r="BH2" s="68"/>
      <c r="BI2"/>
      <c r="BJ2" s="81"/>
      <c r="BK2"/>
      <c r="BL2" s="68"/>
      <c r="BM2"/>
      <c r="BN2" s="81"/>
      <c r="BO2"/>
      <c r="BP2" s="68"/>
      <c r="BQ2" s="68"/>
      <c r="BR2" s="68"/>
      <c r="BS2" s="68"/>
      <c r="BT2" s="106" t="str">
        <f ca="1">CELL("filename")</f>
        <v>O:\Fin_Ops\Engysvc\PowerPlants\2000 Plants\Weekly Report\[2000 Weekly Report - 0731xls.xls]Wheatland</v>
      </c>
    </row>
    <row r="3" spans="1:74" s="18" customFormat="1" ht="15.75">
      <c r="A3" s="99" t="s">
        <v>254</v>
      </c>
      <c r="B3" s="3"/>
      <c r="C3" s="119"/>
      <c r="D3" s="122"/>
      <c r="E3" s="123"/>
      <c r="F3" s="122"/>
      <c r="G3" s="123"/>
      <c r="H3" s="122"/>
      <c r="I3" s="123"/>
      <c r="J3" s="123"/>
      <c r="K3" s="122"/>
      <c r="L3" s="137"/>
      <c r="M3" s="122"/>
      <c r="N3" s="125"/>
      <c r="O3" s="122"/>
      <c r="P3" s="126"/>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c r="BF3" s="68"/>
      <c r="BG3"/>
      <c r="BH3" s="68"/>
      <c r="BI3"/>
      <c r="BJ3" s="81"/>
      <c r="BK3"/>
      <c r="BL3" s="23"/>
      <c r="BM3"/>
      <c r="BN3" s="81"/>
      <c r="BO3"/>
      <c r="BP3" s="23">
        <f ca="1">NOW()</f>
        <v>36740.346731712962</v>
      </c>
      <c r="BR3" s="23"/>
      <c r="BT3" s="78" t="str">
        <f>Summary!A5</f>
        <v>Revision # 59</v>
      </c>
      <c r="BV3" s="18" t="str">
        <f>Summary!A5</f>
        <v>Revision # 59</v>
      </c>
    </row>
    <row r="4" spans="1:74" s="18" customFormat="1" ht="15.75">
      <c r="A4" s="94"/>
      <c r="B4" s="19">
        <f>Summary!C11</f>
        <v>608</v>
      </c>
      <c r="C4"/>
      <c r="G4" s="67"/>
      <c r="J4" s="67"/>
      <c r="L4" s="74"/>
      <c r="N4" s="69"/>
      <c r="O4" s="129"/>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c r="BF4" s="82" t="s">
        <v>122</v>
      </c>
      <c r="BG4"/>
      <c r="BH4" s="82" t="s">
        <v>122</v>
      </c>
      <c r="BI4"/>
      <c r="BJ4" s="82" t="s">
        <v>122</v>
      </c>
      <c r="BK4"/>
      <c r="BL4" s="71"/>
      <c r="BM4"/>
      <c r="BN4" s="70" t="s">
        <v>129</v>
      </c>
      <c r="BO4"/>
      <c r="BP4" s="71"/>
      <c r="BR4" s="71"/>
      <c r="BT4" s="71"/>
    </row>
    <row r="5" spans="1:74" s="18" customFormat="1" ht="15.75">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c r="BF5" s="82" t="s">
        <v>123</v>
      </c>
      <c r="BG5"/>
      <c r="BH5" s="82" t="s">
        <v>123</v>
      </c>
      <c r="BI5"/>
      <c r="BJ5" s="82" t="s">
        <v>123</v>
      </c>
      <c r="BK5"/>
      <c r="BL5" s="71" t="s">
        <v>44</v>
      </c>
      <c r="BM5"/>
      <c r="BN5" s="70" t="s">
        <v>130</v>
      </c>
      <c r="BO5"/>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c r="BF6" s="83">
        <v>36738</v>
      </c>
      <c r="BG6"/>
      <c r="BH6" s="83">
        <v>36769</v>
      </c>
      <c r="BI6"/>
      <c r="BJ6" s="83">
        <v>36799</v>
      </c>
      <c r="BK6"/>
      <c r="BL6" s="75" t="s">
        <v>126</v>
      </c>
      <c r="BM6"/>
      <c r="BN6" s="73" t="s">
        <v>131</v>
      </c>
      <c r="BO6"/>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c r="AJ7" s="82" t="str">
        <f>+Summary!$O$4</f>
        <v xml:space="preserve"> As of 07/31/00</v>
      </c>
      <c r="AK7"/>
      <c r="AL7" s="82" t="str">
        <f>+Summary!$O$4</f>
        <v xml:space="preserve"> As of 07/31/00</v>
      </c>
      <c r="AM7"/>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82"/>
      <c r="AV7" s="82" t="str">
        <f>+Summary!$O$4</f>
        <v xml:space="preserve"> As of 07/31/00</v>
      </c>
      <c r="AW7" s="82"/>
      <c r="AX7" s="82" t="str">
        <f>+Summary!$O$4</f>
        <v xml:space="preserve"> As of 07/31/00</v>
      </c>
      <c r="AY7" s="82"/>
      <c r="AZ7" s="82"/>
      <c r="BA7" s="82"/>
      <c r="BB7" s="82"/>
      <c r="BC7" s="82"/>
      <c r="BD7" s="82" t="str">
        <f>+Summary!$O$4</f>
        <v xml:space="preserve"> As of 07/31/00</v>
      </c>
      <c r="BE7"/>
      <c r="BF7" s="82" t="str">
        <f>+Summary!$O$4</f>
        <v xml:space="preserve"> As of 07/31/00</v>
      </c>
      <c r="BG7"/>
      <c r="BH7" s="82" t="str">
        <f>+Summary!$O$4</f>
        <v xml:space="preserve"> As of 07/31/00</v>
      </c>
      <c r="BI7"/>
      <c r="BJ7" s="82" t="str">
        <f>+Summary!$O$4</f>
        <v xml:space="preserve"> As of 07/31/00</v>
      </c>
      <c r="BK7"/>
      <c r="BL7" s="71" t="str">
        <f>Summary!O4</f>
        <v xml:space="preserve"> As of 07/31/00</v>
      </c>
      <c r="BM7"/>
      <c r="BN7" s="64" t="str">
        <f>+Summary!$O$4</f>
        <v xml:space="preserve"> As of 07/31/00</v>
      </c>
      <c r="BO7"/>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F8" s="22"/>
      <c r="BH8" s="22"/>
      <c r="BJ8" s="22"/>
      <c r="BN8" s="22"/>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L9" s="6">
        <f>SUM(T9:BK9)</f>
        <v>142064940.44</v>
      </c>
      <c r="BN9" s="6">
        <f>142064940-R9-192000</f>
        <v>1832000</v>
      </c>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L10" s="6">
        <f>SUM(T10:BK10)</f>
        <v>0</v>
      </c>
      <c r="BN10" s="6">
        <v>0</v>
      </c>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F11" s="12"/>
      <c r="BH11" s="12"/>
      <c r="BJ11" s="12"/>
      <c r="BL11" s="12"/>
      <c r="BN11" s="12"/>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F12" s="101">
        <f>SUM(BF9:BF11)</f>
        <v>0</v>
      </c>
      <c r="BH12" s="101">
        <f>SUM(BH9:BH11)</f>
        <v>0</v>
      </c>
      <c r="BJ12" s="101">
        <f>SUM(BJ9:BJ11)</f>
        <v>0</v>
      </c>
      <c r="BL12" s="101">
        <f>SUM(BL9:BL11)</f>
        <v>142064940.44</v>
      </c>
      <c r="BN12" s="101">
        <f>SUM(BN9:BN11)</f>
        <v>1832000</v>
      </c>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N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L14" s="6">
        <f>SUM(T14:BK14)</f>
        <v>0</v>
      </c>
      <c r="BN14" s="6">
        <v>0</v>
      </c>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590954.80000000005</v>
      </c>
      <c r="BD15" s="6">
        <v>0</v>
      </c>
      <c r="BF15" s="6">
        <v>0</v>
      </c>
      <c r="BH15" s="6">
        <v>0</v>
      </c>
      <c r="BJ15" s="6">
        <v>0</v>
      </c>
      <c r="BL15" s="6">
        <f>SUM(T15:BK15)</f>
        <v>6342648</v>
      </c>
      <c r="BN15" s="6">
        <f>5916048-5878600+220650+206600</f>
        <v>464698</v>
      </c>
      <c r="BP15" s="6">
        <f t="shared" ref="BP15:BP30" si="1">IF(+R15-BL15+BN15&gt;0,R15-BL15+BN15,0)</f>
        <v>650</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N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N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N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N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N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L21" s="6">
        <f t="shared" ref="BL21:BL29" si="4">SUM(T21:BK21)</f>
        <v>0</v>
      </c>
      <c r="BN21" s="6">
        <v>0</v>
      </c>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L22" s="6">
        <f t="shared" si="4"/>
        <v>0</v>
      </c>
      <c r="BN22" s="6">
        <v>0</v>
      </c>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L23" s="6">
        <f t="shared" si="4"/>
        <v>0</v>
      </c>
      <c r="BN23" s="6">
        <v>0</v>
      </c>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L24" s="6">
        <f t="shared" si="4"/>
        <v>0</v>
      </c>
      <c r="BN24" s="6">
        <v>0</v>
      </c>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L25" s="6">
        <f t="shared" si="4"/>
        <v>0</v>
      </c>
      <c r="BN25" s="6">
        <v>0</v>
      </c>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L26" s="6">
        <f t="shared" si="4"/>
        <v>0</v>
      </c>
      <c r="BN26" s="6">
        <v>0</v>
      </c>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L27" s="6">
        <f t="shared" si="4"/>
        <v>0</v>
      </c>
      <c r="BN27" s="6">
        <v>0</v>
      </c>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c r="BF28" s="12">
        <v>0</v>
      </c>
      <c r="BG28"/>
      <c r="BH28" s="12">
        <v>0</v>
      </c>
      <c r="BI28"/>
      <c r="BJ28" s="12">
        <v>0</v>
      </c>
      <c r="BK28"/>
      <c r="BL28" s="12">
        <f t="shared" si="4"/>
        <v>0</v>
      </c>
      <c r="BM28"/>
      <c r="BN28" s="12">
        <v>0</v>
      </c>
      <c r="BO28"/>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F29" s="12">
        <v>0</v>
      </c>
      <c r="BH29" s="12">
        <v>0</v>
      </c>
      <c r="BJ29" s="12">
        <v>0</v>
      </c>
      <c r="BL29" s="12">
        <f t="shared" si="4"/>
        <v>0</v>
      </c>
      <c r="BN29" s="12">
        <v>0</v>
      </c>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F30" s="12"/>
      <c r="BH30" s="12"/>
      <c r="BJ30" s="12"/>
      <c r="BL30" s="12"/>
      <c r="BN30" s="12"/>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590954.80000000005</v>
      </c>
      <c r="BC31" s="12"/>
      <c r="BD31" s="101">
        <f>SUM(BD14:BD30)</f>
        <v>0</v>
      </c>
      <c r="BF31" s="101">
        <f>SUM(BF14:BF30)</f>
        <v>0</v>
      </c>
      <c r="BH31" s="101">
        <f>SUM(BH14:BH30)</f>
        <v>0</v>
      </c>
      <c r="BJ31" s="101">
        <f>SUM(BJ14:BJ30)</f>
        <v>0</v>
      </c>
      <c r="BL31" s="101">
        <f>SUM(BL14:BL30)</f>
        <v>6342648</v>
      </c>
      <c r="BN31" s="101">
        <f>SUM(BN14:BN30)</f>
        <v>464698</v>
      </c>
      <c r="BP31" s="101">
        <f>SUM(BP14:BP30)</f>
        <v>650</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F32" s="12"/>
      <c r="BH32" s="12"/>
      <c r="BJ32" s="12"/>
      <c r="BL32" s="12"/>
      <c r="BN32" s="12"/>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590954.80000000005</v>
      </c>
      <c r="BC33" s="115"/>
      <c r="BD33" s="115">
        <f>+BD31+BD12</f>
        <v>0</v>
      </c>
      <c r="BE33"/>
      <c r="BF33" s="115">
        <f>+BF31+BF12</f>
        <v>0</v>
      </c>
      <c r="BG33"/>
      <c r="BH33" s="115">
        <f>+BH31+BH12</f>
        <v>0</v>
      </c>
      <c r="BI33"/>
      <c r="BJ33" s="115">
        <f>+BJ31+BJ12</f>
        <v>0</v>
      </c>
      <c r="BK33"/>
      <c r="BL33" s="115">
        <f>+BL31+BL12</f>
        <v>148407588.44</v>
      </c>
      <c r="BM33"/>
      <c r="BN33" s="115">
        <f>+BN31+BN12</f>
        <v>2296698</v>
      </c>
      <c r="BO33"/>
      <c r="BP33" s="115">
        <f>+BP31+BP12</f>
        <v>192650</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N34" s="6"/>
      <c r="BU34" s="6"/>
    </row>
    <row r="35" spans="1:73">
      <c r="A35" s="57"/>
      <c r="B35" s="17"/>
      <c r="C35"/>
      <c r="D35"/>
      <c r="E35"/>
      <c r="F35"/>
      <c r="G35"/>
      <c r="H35"/>
      <c r="I35"/>
      <c r="J35" s="49"/>
      <c r="K35"/>
      <c r="L35" s="134"/>
      <c r="M35" s="6"/>
      <c r="O35" s="6"/>
      <c r="Q35" s="6"/>
      <c r="S35" s="6"/>
      <c r="T35" s="6"/>
      <c r="U35" s="6"/>
      <c r="V35" s="6"/>
      <c r="X35" s="6"/>
      <c r="Z35" s="6"/>
      <c r="AB35" s="6"/>
      <c r="AD35" s="6"/>
      <c r="AI35"/>
      <c r="BJ35" s="6"/>
      <c r="BN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N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N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N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D39" s="6">
        <f>4403017-612777</f>
        <v>3790240</v>
      </c>
      <c r="BF39" s="6">
        <f>5049977-4403017</f>
        <v>646960</v>
      </c>
      <c r="BJ39" s="6"/>
      <c r="BL39" s="6">
        <f t="shared" ref="BL39:BL45" si="5">SUM(T39:BK39)</f>
        <v>5049977</v>
      </c>
      <c r="BN39" s="6">
        <f>5029611-R39</f>
        <v>3490646</v>
      </c>
      <c r="BP39" s="6">
        <f t="shared" ref="BP39:BP45" si="6">IF(+R39-BL39+BN39&gt;0,R39-BL39+BN39,0)</f>
        <v>0</v>
      </c>
      <c r="BR39" s="6">
        <f t="shared" ref="BR39:BR45" si="7">+BL39+BP39</f>
        <v>5049977</v>
      </c>
      <c r="BT39" s="6">
        <f>+R39-BR39</f>
        <v>-3511012</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D40" s="6">
        <f>4049893-1413373</f>
        <v>2636520</v>
      </c>
      <c r="BF40" s="6">
        <f>4206988-4049893</f>
        <v>157095</v>
      </c>
      <c r="BJ40" s="6"/>
      <c r="BL40" s="6">
        <f t="shared" si="5"/>
        <v>4206988</v>
      </c>
      <c r="BN40" s="6">
        <f>4508946-R40</f>
        <v>2791564</v>
      </c>
      <c r="BP40" s="6">
        <f t="shared" si="6"/>
        <v>301958</v>
      </c>
      <c r="BR40" s="6">
        <f t="shared" si="7"/>
        <v>4508946</v>
      </c>
      <c r="BT40" s="6">
        <f t="shared" ref="BT40:BT45" si="8">+R40-BR40</f>
        <v>-2791564</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D41" s="6">
        <f>4196537-1663132</f>
        <v>2533405</v>
      </c>
      <c r="BF41" s="6">
        <f>4466169-4196537</f>
        <v>269632</v>
      </c>
      <c r="BJ41" s="6"/>
      <c r="BL41" s="6">
        <f t="shared" si="5"/>
        <v>4466169</v>
      </c>
      <c r="BN41" s="6">
        <f>5191889-R41</f>
        <v>-9370490</v>
      </c>
      <c r="BP41" s="6">
        <f t="shared" si="6"/>
        <v>725720</v>
      </c>
      <c r="BR41" s="6">
        <f t="shared" si="7"/>
        <v>5191889</v>
      </c>
      <c r="BT41" s="6">
        <f t="shared" si="8"/>
        <v>9370490</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f>1097978-631966</f>
        <v>466012</v>
      </c>
      <c r="BF42" s="6">
        <f>1174200-1097978</f>
        <v>76222</v>
      </c>
      <c r="BH42" s="6">
        <v>0</v>
      </c>
      <c r="BJ42" s="6">
        <v>0</v>
      </c>
      <c r="BL42" s="6">
        <f t="shared" si="5"/>
        <v>1174200</v>
      </c>
      <c r="BN42" s="6">
        <f>1113548-R42</f>
        <v>734860</v>
      </c>
      <c r="BP42" s="6">
        <f t="shared" si="6"/>
        <v>0</v>
      </c>
      <c r="BR42" s="6">
        <f t="shared" si="7"/>
        <v>1174200</v>
      </c>
      <c r="BT42" s="6">
        <f t="shared" si="8"/>
        <v>-795512</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f>62870-34087</f>
        <v>28783</v>
      </c>
      <c r="BF43" s="6">
        <v>0</v>
      </c>
      <c r="BH43" s="6">
        <v>0</v>
      </c>
      <c r="BJ43" s="6">
        <v>0</v>
      </c>
      <c r="BL43" s="6">
        <f t="shared" si="5"/>
        <v>62870</v>
      </c>
      <c r="BN43" s="6">
        <f>94000-R43</f>
        <v>-56000</v>
      </c>
      <c r="BP43" s="6">
        <f t="shared" si="6"/>
        <v>31130</v>
      </c>
      <c r="BR43" s="6">
        <f t="shared" si="7"/>
        <v>94000</v>
      </c>
      <c r="BT43" s="6">
        <f t="shared" si="8"/>
        <v>56000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L44" s="6">
        <f t="shared" si="5"/>
        <v>0</v>
      </c>
      <c r="BN44" s="6">
        <f>49938-104121</f>
        <v>-54183</v>
      </c>
      <c r="BP44" s="6">
        <f t="shared" si="6"/>
        <v>49938</v>
      </c>
      <c r="BR44" s="6">
        <f t="shared" si="7"/>
        <v>49938</v>
      </c>
      <c r="BT44" s="6">
        <f t="shared" si="8"/>
        <v>54183</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147037</v>
      </c>
      <c r="BH45" s="6">
        <v>0</v>
      </c>
      <c r="BJ45" s="6">
        <v>0</v>
      </c>
      <c r="BL45" s="6">
        <f t="shared" si="5"/>
        <v>147037</v>
      </c>
      <c r="BN45" s="6">
        <f>551250-R45</f>
        <v>387025</v>
      </c>
      <c r="BP45" s="6">
        <f t="shared" si="6"/>
        <v>404213</v>
      </c>
      <c r="BR45" s="6">
        <f t="shared" si="7"/>
        <v>551250</v>
      </c>
      <c r="BT45" s="6">
        <f t="shared" si="8"/>
        <v>-387025</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c r="BD46" s="9">
        <f t="shared" si="10"/>
        <v>9454960</v>
      </c>
      <c r="BE46"/>
      <c r="BF46" s="9">
        <f t="shared" si="10"/>
        <v>1296946</v>
      </c>
      <c r="BG46"/>
      <c r="BH46" s="9">
        <f t="shared" si="10"/>
        <v>0</v>
      </c>
      <c r="BI46"/>
      <c r="BJ46" s="9">
        <f t="shared" si="10"/>
        <v>0</v>
      </c>
      <c r="BK46"/>
      <c r="BL46" s="9">
        <f t="shared" si="10"/>
        <v>15107241</v>
      </c>
      <c r="BM46"/>
      <c r="BN46" s="9">
        <f t="shared" si="10"/>
        <v>-2076578</v>
      </c>
      <c r="BO46"/>
      <c r="BP46" s="9">
        <f t="shared" si="10"/>
        <v>1512959</v>
      </c>
      <c r="BQ46" s="9">
        <f t="shared" si="10"/>
        <v>0</v>
      </c>
      <c r="BR46" s="9">
        <f t="shared" si="10"/>
        <v>16620200</v>
      </c>
      <c r="BS46" s="9">
        <f t="shared" si="10"/>
        <v>0</v>
      </c>
      <c r="BT46" s="9">
        <f t="shared" si="10"/>
        <v>1995560</v>
      </c>
      <c r="BU46" s="9"/>
    </row>
    <row r="47" spans="1:73">
      <c r="A47" s="57"/>
      <c r="B47" s="234"/>
      <c r="C47"/>
      <c r="D47"/>
      <c r="E47"/>
      <c r="F47"/>
      <c r="G47"/>
      <c r="H47"/>
      <c r="I47"/>
      <c r="J47" s="49"/>
      <c r="K47"/>
      <c r="L47" s="134"/>
      <c r="M47" s="6"/>
      <c r="O47" s="6"/>
      <c r="Q47" s="6"/>
      <c r="S47" s="6"/>
      <c r="T47" s="6"/>
      <c r="U47" s="6"/>
      <c r="V47" s="6"/>
      <c r="X47" s="6"/>
      <c r="Z47" s="6"/>
      <c r="AB47" s="6"/>
      <c r="AD47" s="6"/>
      <c r="AI47"/>
      <c r="BJ47" s="6"/>
      <c r="BN47" s="6"/>
      <c r="BU47" s="6"/>
    </row>
    <row r="48" spans="1:73">
      <c r="B48" s="21" t="s">
        <v>301</v>
      </c>
      <c r="C48"/>
      <c r="D48"/>
      <c r="E48"/>
      <c r="F48"/>
      <c r="G48"/>
      <c r="H48"/>
      <c r="I48"/>
      <c r="J48" s="49"/>
      <c r="K48"/>
      <c r="L48" s="134"/>
      <c r="M48" s="6"/>
      <c r="O48" s="6"/>
      <c r="Q48" s="6"/>
      <c r="S48" s="6"/>
      <c r="T48" s="6"/>
      <c r="U48" s="6"/>
      <c r="V48" s="6"/>
      <c r="X48" s="6"/>
      <c r="Z48" s="6"/>
      <c r="AB48" s="6"/>
      <c r="AD48" s="6"/>
      <c r="AI48"/>
      <c r="BJ48" s="6"/>
      <c r="BN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D49" s="6">
        <f>476088-347139</f>
        <v>128949</v>
      </c>
      <c r="BF49" s="6">
        <f>476183-476088</f>
        <v>95</v>
      </c>
      <c r="BJ49" s="6"/>
      <c r="BL49" s="6">
        <f>SUM(T49:BK49)</f>
        <v>476183</v>
      </c>
      <c r="BN49" s="6">
        <f>499073-R49</f>
        <v>88769</v>
      </c>
      <c r="BP49" s="6">
        <f>IF(+R49-BL49+BN49&gt;0,R49-BL49+BN49,0)</f>
        <v>22890</v>
      </c>
      <c r="BR49" s="6">
        <f>+BL49+BP49</f>
        <v>499073</v>
      </c>
      <c r="BT49" s="6">
        <f>+R49-BR49</f>
        <v>-88769</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D50" s="6">
        <f>4647003-2851195</f>
        <v>1795808</v>
      </c>
      <c r="BF50" s="6">
        <f>4924228-4647003</f>
        <v>277225</v>
      </c>
      <c r="BJ50" s="6"/>
      <c r="BL50" s="6">
        <f>SUM(T50:BK50)</f>
        <v>4924228</v>
      </c>
      <c r="BN50" s="6">
        <f>5736890-R50</f>
        <v>749780</v>
      </c>
      <c r="BP50" s="6">
        <f>IF(+R50-BL50+BN50&gt;0,R50-BL50+BN50,0)</f>
        <v>812662</v>
      </c>
      <c r="BR50" s="6">
        <f>+BL50+BP50</f>
        <v>5736890</v>
      </c>
      <c r="BT50" s="6">
        <f>+R50-BR50</f>
        <v>-749780</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D51" s="6">
        <f>838499-524003</f>
        <v>314496</v>
      </c>
      <c r="BF51" s="6">
        <f>846743-838499</f>
        <v>8244</v>
      </c>
      <c r="BJ51" s="6"/>
      <c r="BL51" s="6">
        <f>SUM(T51:BK51)</f>
        <v>846743</v>
      </c>
      <c r="BN51" s="6">
        <f>908711-R51</f>
        <v>122048</v>
      </c>
      <c r="BP51" s="6">
        <f>IF(+R51-BL51+BN51&gt;0,R51-BL51+BN51,0)</f>
        <v>61968</v>
      </c>
      <c r="BR51" s="6">
        <f>+BL51+BP51</f>
        <v>908711</v>
      </c>
      <c r="BT51" s="6">
        <f>+R51-BR51</f>
        <v>-122048</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D52" s="6">
        <f>818547-744472</f>
        <v>74075</v>
      </c>
      <c r="BF52" s="6">
        <f>828809-818547</f>
        <v>10262</v>
      </c>
      <c r="BJ52" s="6"/>
      <c r="BL52" s="6">
        <f>SUM(T52:BK52)</f>
        <v>828809</v>
      </c>
      <c r="BN52" s="6">
        <f>843063-R52</f>
        <v>188563</v>
      </c>
      <c r="BP52" s="6">
        <f>IF(+R52-BL52+BN52&gt;0,R52-BL52+BN52,0)</f>
        <v>14254</v>
      </c>
      <c r="BR52" s="6">
        <f>+BL52+BP52</f>
        <v>843063</v>
      </c>
      <c r="BT52" s="6">
        <f>+R52-BR52</f>
        <v>-188563</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c r="BD53" s="9">
        <f t="shared" si="12"/>
        <v>2313328</v>
      </c>
      <c r="BE53"/>
      <c r="BF53" s="9">
        <f t="shared" si="12"/>
        <v>295826</v>
      </c>
      <c r="BG53"/>
      <c r="BH53" s="9">
        <f t="shared" si="12"/>
        <v>0</v>
      </c>
      <c r="BI53"/>
      <c r="BJ53" s="9">
        <f t="shared" si="12"/>
        <v>0</v>
      </c>
      <c r="BK53"/>
      <c r="BL53" s="9">
        <f t="shared" si="12"/>
        <v>7075963</v>
      </c>
      <c r="BM53"/>
      <c r="BN53" s="9">
        <f t="shared" si="12"/>
        <v>1149160</v>
      </c>
      <c r="BO53"/>
      <c r="BP53" s="9">
        <f t="shared" si="12"/>
        <v>911774</v>
      </c>
      <c r="BQ53" s="9">
        <f t="shared" si="12"/>
        <v>0</v>
      </c>
      <c r="BR53" s="9">
        <f t="shared" si="12"/>
        <v>7987737</v>
      </c>
      <c r="BS53" s="9">
        <f t="shared" si="12"/>
        <v>0</v>
      </c>
      <c r="BT53" s="9">
        <f t="shared" si="12"/>
        <v>-1149160</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c r="BF54" s="9"/>
      <c r="BG54"/>
      <c r="BH54" s="9"/>
      <c r="BI54"/>
      <c r="BJ54" s="9"/>
      <c r="BK54"/>
      <c r="BL54" s="9"/>
      <c r="BM54"/>
      <c r="BN54" s="9"/>
      <c r="BO54"/>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c r="BF55" s="9"/>
      <c r="BG55"/>
      <c r="BH55" s="9"/>
      <c r="BI55"/>
      <c r="BJ55" s="9"/>
      <c r="BK55"/>
      <c r="BL55" s="9"/>
      <c r="BM55"/>
      <c r="BN55" s="9"/>
      <c r="BO55"/>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6">
        <f>501323+788483-979068</f>
        <v>310738</v>
      </c>
      <c r="BE56"/>
      <c r="BF56" s="9">
        <f>501323+1019332-1289806</f>
        <v>230849</v>
      </c>
      <c r="BG56"/>
      <c r="BH56" s="9"/>
      <c r="BI56"/>
      <c r="BJ56" s="9"/>
      <c r="BK56"/>
      <c r="BL56" s="6">
        <f t="shared" ref="BL56:BL79" si="13">SUM(T56:BK56)</f>
        <v>1520655</v>
      </c>
      <c r="BM56"/>
      <c r="BN56" s="6">
        <f>1151288+577765-R56</f>
        <v>-603945</v>
      </c>
      <c r="BO56"/>
      <c r="BP56" s="6">
        <f>IF(+R56-BL56+BN56&gt;0,R56-BL56+BN56,0)</f>
        <v>208398</v>
      </c>
      <c r="BQ56" s="6"/>
      <c r="BR56" s="6">
        <f>+BL56+BP56</f>
        <v>1729053</v>
      </c>
      <c r="BS56" s="6"/>
      <c r="BT56" s="6">
        <f>+R56-BR56</f>
        <v>603945</v>
      </c>
      <c r="BU56" s="9"/>
    </row>
    <row r="57" spans="1:73" s="21" customFormat="1">
      <c r="B57" s="238" t="s">
        <v>486</v>
      </c>
      <c r="J57" s="8"/>
      <c r="L57" s="143"/>
      <c r="M57" s="9"/>
      <c r="N57" s="9"/>
      <c r="O57" s="9"/>
      <c r="P57" s="9"/>
      <c r="Q57" s="9"/>
      <c r="R57" s="235">
        <v>0</v>
      </c>
      <c r="S57" s="9"/>
      <c r="T57" s="9"/>
      <c r="U57" s="9"/>
      <c r="V57" s="9"/>
      <c r="W57" s="9"/>
      <c r="X57" s="9"/>
      <c r="Y57" s="9"/>
      <c r="Z57" s="9"/>
      <c r="AA57" s="9"/>
      <c r="AB57" s="9"/>
      <c r="AC57" s="9"/>
      <c r="AD57" s="9"/>
      <c r="AE57" s="9"/>
      <c r="AF57" s="9"/>
      <c r="AG57" s="9"/>
      <c r="AH57" s="9"/>
      <c r="AJ57" s="9"/>
      <c r="AL57" s="9"/>
      <c r="AN57" s="9"/>
      <c r="AO57" s="9"/>
      <c r="AP57" s="9"/>
      <c r="AQ57" s="9"/>
      <c r="AR57" s="6"/>
      <c r="AS57" s="9"/>
      <c r="AT57" s="6"/>
      <c r="AU57" s="9"/>
      <c r="AV57" s="9"/>
      <c r="AW57" s="9"/>
      <c r="AX57" s="6"/>
      <c r="AY57" s="9"/>
      <c r="AZ57" s="9"/>
      <c r="BA57" s="9"/>
      <c r="BB57" s="9"/>
      <c r="BC57" s="9"/>
      <c r="BD57" s="6">
        <v>66938</v>
      </c>
      <c r="BE57"/>
      <c r="BF57" s="9">
        <f>84897-66938</f>
        <v>17959</v>
      </c>
      <c r="BG57"/>
      <c r="BH57" s="9"/>
      <c r="BI57"/>
      <c r="BJ57" s="9"/>
      <c r="BK57"/>
      <c r="BL57" s="6">
        <f t="shared" si="13"/>
        <v>84897</v>
      </c>
      <c r="BM57"/>
      <c r="BN57" s="6">
        <f>150482</f>
        <v>150482</v>
      </c>
      <c r="BO57"/>
      <c r="BP57" s="6">
        <f>IF(+R57-BL57+BN57&gt;0,R57-BL57+BN57,0)</f>
        <v>65585</v>
      </c>
      <c r="BQ57" s="6"/>
      <c r="BR57" s="6">
        <f>+BL57+BP57</f>
        <v>150482</v>
      </c>
      <c r="BS57" s="6"/>
      <c r="BT57" s="6">
        <f>+R57-BR57</f>
        <v>-150482</v>
      </c>
      <c r="BU57" s="9"/>
    </row>
    <row r="58" spans="1:73" s="21" customFormat="1">
      <c r="B58" s="238" t="s">
        <v>304</v>
      </c>
      <c r="J58" s="8"/>
      <c r="L58" s="143"/>
      <c r="M58" s="9"/>
      <c r="N58" s="9"/>
      <c r="O58" s="9"/>
      <c r="P58" s="9"/>
      <c r="Q58" s="9"/>
      <c r="R58" s="235">
        <v>497417</v>
      </c>
      <c r="S58" s="9"/>
      <c r="T58" s="9"/>
      <c r="U58" s="9"/>
      <c r="V58" s="9"/>
      <c r="W58" s="9"/>
      <c r="X58" s="9"/>
      <c r="Y58" s="9"/>
      <c r="Z58" s="9"/>
      <c r="AA58" s="9"/>
      <c r="AB58" s="9"/>
      <c r="AC58" s="9"/>
      <c r="AD58" s="9"/>
      <c r="AE58" s="9"/>
      <c r="AF58" s="9"/>
      <c r="AG58" s="9"/>
      <c r="AH58" s="9"/>
      <c r="AJ58" s="9"/>
      <c r="AL58" s="9"/>
      <c r="AN58" s="9"/>
      <c r="AO58" s="9"/>
      <c r="AP58" s="9"/>
      <c r="AQ58" s="9"/>
      <c r="AR58" s="6">
        <v>133215</v>
      </c>
      <c r="AS58" s="9"/>
      <c r="AT58" s="6">
        <f>261726-133215</f>
        <v>128511</v>
      </c>
      <c r="AU58" s="9"/>
      <c r="AV58" s="9"/>
      <c r="AW58" s="9"/>
      <c r="AX58" s="6">
        <f>1322243-261726</f>
        <v>1060517</v>
      </c>
      <c r="AY58" s="9"/>
      <c r="AZ58" s="9"/>
      <c r="BA58" s="9"/>
      <c r="BB58" s="9"/>
      <c r="BC58" s="9"/>
      <c r="BD58" s="6">
        <f>425284-1322243</f>
        <v>-896959</v>
      </c>
      <c r="BE58"/>
      <c r="BF58" s="9">
        <f>446090-425284</f>
        <v>20806</v>
      </c>
      <c r="BG58"/>
      <c r="BH58" s="9"/>
      <c r="BI58"/>
      <c r="BJ58" s="9"/>
      <c r="BK58"/>
      <c r="BL58" s="6">
        <f>SUM(T58:BK58)</f>
        <v>446090</v>
      </c>
      <c r="BM58"/>
      <c r="BN58" s="6">
        <f>460249-R58</f>
        <v>-37168</v>
      </c>
      <c r="BO58"/>
      <c r="BP58" s="6">
        <f>IF(+R58-BL58+BN58&gt;0,R58-BL58+BN58,0)</f>
        <v>14159</v>
      </c>
      <c r="BQ58" s="6"/>
      <c r="BR58" s="6">
        <f>+BL58+BP58</f>
        <v>460249</v>
      </c>
      <c r="BS58" s="6"/>
      <c r="BT58" s="6">
        <f>+R58-BR58</f>
        <v>37168</v>
      </c>
      <c r="BU58" s="9"/>
    </row>
    <row r="59" spans="1:73" s="21" customFormat="1">
      <c r="B59" s="238" t="s">
        <v>539</v>
      </c>
      <c r="J59" s="8"/>
      <c r="L59" s="143"/>
      <c r="M59" s="9"/>
      <c r="N59" s="9"/>
      <c r="O59" s="9"/>
      <c r="P59" s="9"/>
      <c r="Q59" s="9"/>
      <c r="R59" s="235">
        <v>834305</v>
      </c>
      <c r="S59" s="9"/>
      <c r="T59" s="9"/>
      <c r="U59" s="9"/>
      <c r="V59" s="9"/>
      <c r="W59" s="9"/>
      <c r="X59" s="9"/>
      <c r="Y59" s="9"/>
      <c r="Z59" s="9"/>
      <c r="AA59" s="9"/>
      <c r="AB59" s="9"/>
      <c r="AC59" s="9"/>
      <c r="AD59" s="9"/>
      <c r="AE59" s="9"/>
      <c r="AF59" s="9"/>
      <c r="AG59" s="9"/>
      <c r="AH59" s="9"/>
      <c r="AJ59" s="9"/>
      <c r="AL59" s="9"/>
      <c r="AN59" s="9"/>
      <c r="AO59" s="9"/>
      <c r="AP59" s="9"/>
      <c r="AQ59" s="9"/>
      <c r="AR59" s="6">
        <v>725</v>
      </c>
      <c r="AS59" s="9"/>
      <c r="AT59" s="6">
        <v>936926</v>
      </c>
      <c r="AU59" s="9"/>
      <c r="AV59" s="9"/>
      <c r="AW59" s="9"/>
      <c r="AX59" s="6">
        <f>1423431-937651</f>
        <v>485780</v>
      </c>
      <c r="AY59" s="9"/>
      <c r="AZ59" s="9"/>
      <c r="BA59" s="9"/>
      <c r="BB59" s="9"/>
      <c r="BC59" s="9"/>
      <c r="BD59" s="6">
        <f>2311396-1423431</f>
        <v>887965</v>
      </c>
      <c r="BE59"/>
      <c r="BF59" s="9">
        <f>2348535-2311396</f>
        <v>37139</v>
      </c>
      <c r="BG59"/>
      <c r="BH59" s="9"/>
      <c r="BI59"/>
      <c r="BJ59" s="9"/>
      <c r="BK59"/>
      <c r="BL59" s="6">
        <f>SUM(T59:BK59)</f>
        <v>2348535</v>
      </c>
      <c r="BM59"/>
      <c r="BN59" s="6">
        <f>2425421-R59</f>
        <v>1591116</v>
      </c>
      <c r="BO59"/>
      <c r="BP59" s="6">
        <f>IF(+R59-BL59+BN59&gt;0,R59-BL59+BN59,0)</f>
        <v>76886</v>
      </c>
      <c r="BQ59" s="6"/>
      <c r="BR59" s="6">
        <f>+BL59+BP59</f>
        <v>2425421</v>
      </c>
      <c r="BS59" s="6"/>
      <c r="BT59" s="6">
        <f>+R59-BR59</f>
        <v>-1591116</v>
      </c>
      <c r="BU59" s="9"/>
    </row>
    <row r="60" spans="1:73" s="21" customFormat="1">
      <c r="B60" s="238" t="s">
        <v>540</v>
      </c>
      <c r="J60" s="8"/>
      <c r="L60" s="143"/>
      <c r="M60" s="9"/>
      <c r="N60" s="9"/>
      <c r="O60" s="9"/>
      <c r="P60" s="9"/>
      <c r="Q60" s="9"/>
      <c r="R60" s="235">
        <v>718539</v>
      </c>
      <c r="S60" s="9"/>
      <c r="T60" s="9"/>
      <c r="U60" s="9"/>
      <c r="V60" s="9"/>
      <c r="W60" s="9"/>
      <c r="X60" s="9"/>
      <c r="Y60" s="9"/>
      <c r="Z60" s="9"/>
      <c r="AA60" s="9"/>
      <c r="AB60" s="9"/>
      <c r="AC60" s="9"/>
      <c r="AD60" s="9"/>
      <c r="AE60" s="9"/>
      <c r="AF60" s="9"/>
      <c r="AG60" s="9"/>
      <c r="AH60" s="9"/>
      <c r="AJ60" s="9"/>
      <c r="AL60" s="9"/>
      <c r="AN60" s="9"/>
      <c r="AO60" s="9"/>
      <c r="AP60" s="9"/>
      <c r="AQ60" s="9"/>
      <c r="AR60" s="6">
        <v>6350</v>
      </c>
      <c r="AS60" s="9"/>
      <c r="AT60" s="6">
        <f>561632-6350</f>
        <v>555282</v>
      </c>
      <c r="AU60" s="9"/>
      <c r="AV60" s="9"/>
      <c r="AW60" s="9"/>
      <c r="AX60" s="6">
        <f>1006302-561632</f>
        <v>444670</v>
      </c>
      <c r="AY60" s="9"/>
      <c r="AZ60" s="9"/>
      <c r="BA60" s="9"/>
      <c r="BB60" s="9"/>
      <c r="BC60" s="9"/>
      <c r="BD60" s="6">
        <f>1323463-1006302</f>
        <v>317161</v>
      </c>
      <c r="BE60"/>
      <c r="BF60" s="9">
        <f>1329939-1323463</f>
        <v>6476</v>
      </c>
      <c r="BG60"/>
      <c r="BH60" s="9"/>
      <c r="BI60"/>
      <c r="BJ60" s="9"/>
      <c r="BK60"/>
      <c r="BL60" s="6">
        <f t="shared" si="13"/>
        <v>1329939</v>
      </c>
      <c r="BM60"/>
      <c r="BN60" s="6">
        <f>1329155-R60</f>
        <v>610616</v>
      </c>
      <c r="BO60"/>
      <c r="BP60" s="6">
        <f t="shared" ref="BP60:BP77" si="14">IF(+R60-BL60+BN60&gt;0,R60-BL60+BN60,0)</f>
        <v>0</v>
      </c>
      <c r="BQ60" s="6"/>
      <c r="BR60" s="6">
        <f t="shared" ref="BR60:BR77" si="15">+BL60+BP60</f>
        <v>1329939</v>
      </c>
      <c r="BS60" s="6"/>
      <c r="BT60" s="6">
        <f t="shared" ref="BT60:BT79" si="16">+R60-BR60</f>
        <v>-611400</v>
      </c>
      <c r="BU60" s="9"/>
    </row>
    <row r="61" spans="1:73" s="21" customFormat="1">
      <c r="B61" s="238" t="s">
        <v>305</v>
      </c>
      <c r="J61" s="8"/>
      <c r="L61" s="143"/>
      <c r="M61" s="9"/>
      <c r="N61" s="9"/>
      <c r="O61" s="9"/>
      <c r="P61" s="9"/>
      <c r="Q61" s="9"/>
      <c r="R61" s="235">
        <v>453000</v>
      </c>
      <c r="S61" s="9"/>
      <c r="T61" s="9"/>
      <c r="U61" s="9"/>
      <c r="V61" s="9"/>
      <c r="W61" s="9"/>
      <c r="X61" s="9"/>
      <c r="Y61" s="9"/>
      <c r="Z61" s="9"/>
      <c r="AA61" s="9"/>
      <c r="AB61" s="9"/>
      <c r="AC61" s="9"/>
      <c r="AD61" s="9"/>
      <c r="AE61" s="9"/>
      <c r="AF61" s="9"/>
      <c r="AG61" s="9"/>
      <c r="AH61" s="9"/>
      <c r="AJ61" s="9"/>
      <c r="AL61" s="9"/>
      <c r="AN61" s="9"/>
      <c r="AO61" s="9"/>
      <c r="AP61" s="9"/>
      <c r="AQ61" s="9"/>
      <c r="AR61" s="6">
        <v>103285</v>
      </c>
      <c r="AS61" s="9"/>
      <c r="AT61" s="6">
        <f>168329-103285</f>
        <v>65044</v>
      </c>
      <c r="AU61" s="9"/>
      <c r="AV61" s="9"/>
      <c r="AW61" s="9"/>
      <c r="AX61" s="6">
        <f>234316-168329</f>
        <v>65987</v>
      </c>
      <c r="AY61" s="9"/>
      <c r="AZ61" s="9"/>
      <c r="BA61" s="9"/>
      <c r="BB61" s="9"/>
      <c r="BC61" s="9"/>
      <c r="BD61" s="6">
        <f>262512-234316</f>
        <v>28196</v>
      </c>
      <c r="BE61"/>
      <c r="BF61" s="9">
        <v>0</v>
      </c>
      <c r="BG61"/>
      <c r="BH61" s="9"/>
      <c r="BI61"/>
      <c r="BJ61" s="9"/>
      <c r="BK61"/>
      <c r="BL61" s="6">
        <f>SUM(T61:BK61)</f>
        <v>262512</v>
      </c>
      <c r="BM61"/>
      <c r="BN61" s="6">
        <f>281819-R61</f>
        <v>-171181</v>
      </c>
      <c r="BO61"/>
      <c r="BP61" s="6">
        <f>IF(+R61-BL61+BN61&gt;0,R61-BL61+BN61,0)</f>
        <v>19307</v>
      </c>
      <c r="BQ61" s="6"/>
      <c r="BR61" s="6">
        <f>+BL61+BP61</f>
        <v>281819</v>
      </c>
      <c r="BS61" s="6"/>
      <c r="BT61" s="6">
        <f>+R61-BR61</f>
        <v>171181</v>
      </c>
      <c r="BU61" s="9"/>
    </row>
    <row r="62" spans="1:73" s="21" customFormat="1">
      <c r="B62" s="238" t="s">
        <v>546</v>
      </c>
      <c r="J62" s="8"/>
      <c r="L62" s="143"/>
      <c r="M62" s="9"/>
      <c r="N62" s="9"/>
      <c r="O62" s="9"/>
      <c r="P62" s="9"/>
      <c r="Q62" s="9"/>
      <c r="R62" s="235">
        <v>2265021</v>
      </c>
      <c r="S62" s="9"/>
      <c r="T62" s="9"/>
      <c r="U62" s="9"/>
      <c r="V62" s="9"/>
      <c r="W62" s="9"/>
      <c r="X62" s="9"/>
      <c r="Y62" s="9"/>
      <c r="Z62" s="9"/>
      <c r="AA62" s="9"/>
      <c r="AB62" s="9"/>
      <c r="AC62" s="9"/>
      <c r="AD62" s="9"/>
      <c r="AE62" s="9"/>
      <c r="AF62" s="9"/>
      <c r="AG62" s="9"/>
      <c r="AH62" s="9"/>
      <c r="AJ62" s="9"/>
      <c r="AL62" s="9"/>
      <c r="AN62" s="9"/>
      <c r="AO62" s="9"/>
      <c r="AP62" s="9"/>
      <c r="AQ62" s="9"/>
      <c r="AR62" s="6">
        <v>644530</v>
      </c>
      <c r="AS62" s="9"/>
      <c r="AT62" s="6">
        <v>1379020</v>
      </c>
      <c r="AU62" s="9"/>
      <c r="AV62" s="9"/>
      <c r="AW62" s="9"/>
      <c r="AX62" s="6">
        <f>3209322-2023550</f>
        <v>1185772</v>
      </c>
      <c r="AY62" s="9"/>
      <c r="AZ62" s="9"/>
      <c r="BA62" s="9"/>
      <c r="BB62" s="9"/>
      <c r="BC62" s="9"/>
      <c r="BD62" s="6">
        <f>3375904-3209322</f>
        <v>166582</v>
      </c>
      <c r="BE62"/>
      <c r="BF62" s="9">
        <f>3538842-3375904</f>
        <v>162938</v>
      </c>
      <c r="BG62"/>
      <c r="BH62" s="9"/>
      <c r="BI62"/>
      <c r="BJ62" s="9"/>
      <c r="BK62"/>
      <c r="BL62" s="6">
        <f t="shared" si="13"/>
        <v>3538842</v>
      </c>
      <c r="BM62"/>
      <c r="BN62" s="6">
        <f>3596047-R62</f>
        <v>1331026</v>
      </c>
      <c r="BO62"/>
      <c r="BP62" s="6">
        <f t="shared" si="14"/>
        <v>57205</v>
      </c>
      <c r="BQ62" s="6"/>
      <c r="BR62" s="6">
        <f t="shared" si="15"/>
        <v>3596047</v>
      </c>
      <c r="BS62" s="6"/>
      <c r="BT62" s="6">
        <f t="shared" si="16"/>
        <v>-1331026</v>
      </c>
      <c r="BU62" s="9"/>
    </row>
    <row r="63" spans="1:73" s="21" customFormat="1">
      <c r="B63" s="238" t="s">
        <v>306</v>
      </c>
      <c r="J63" s="8"/>
      <c r="L63" s="143"/>
      <c r="M63" s="9"/>
      <c r="N63" s="9"/>
      <c r="O63" s="9"/>
      <c r="P63" s="9"/>
      <c r="Q63" s="9"/>
      <c r="R63" s="235">
        <v>1150462</v>
      </c>
      <c r="S63" s="9"/>
      <c r="T63" s="9"/>
      <c r="U63" s="9"/>
      <c r="V63" s="9"/>
      <c r="W63" s="9"/>
      <c r="X63" s="9"/>
      <c r="Y63" s="9"/>
      <c r="Z63" s="9"/>
      <c r="AA63" s="9"/>
      <c r="AB63" s="9"/>
      <c r="AC63" s="9"/>
      <c r="AD63" s="9"/>
      <c r="AE63" s="9"/>
      <c r="AF63" s="9"/>
      <c r="AG63" s="9"/>
      <c r="AH63" s="9"/>
      <c r="AJ63" s="9"/>
      <c r="AL63" s="9"/>
      <c r="AN63" s="9"/>
      <c r="AO63" s="9"/>
      <c r="AP63" s="9"/>
      <c r="AQ63" s="9"/>
      <c r="AR63" s="6">
        <v>508620</v>
      </c>
      <c r="AS63" s="9"/>
      <c r="AT63" s="6">
        <f>1062094-508620</f>
        <v>553474</v>
      </c>
      <c r="AU63" s="9"/>
      <c r="AV63" s="9"/>
      <c r="AW63" s="9"/>
      <c r="AX63" s="6">
        <f>1254696-1062094</f>
        <v>192602</v>
      </c>
      <c r="AY63" s="9"/>
      <c r="AZ63" s="9"/>
      <c r="BA63" s="9"/>
      <c r="BB63" s="9"/>
      <c r="BC63" s="9"/>
      <c r="BD63" s="6">
        <f>1438156-1254696</f>
        <v>183460</v>
      </c>
      <c r="BE63"/>
      <c r="BF63" s="9">
        <f>1443041-1438156</f>
        <v>4885</v>
      </c>
      <c r="BG63"/>
      <c r="BH63" s="9"/>
      <c r="BI63"/>
      <c r="BJ63" s="9"/>
      <c r="BK63"/>
      <c r="BL63" s="6">
        <f>SUM(T63:BK63)</f>
        <v>1443041</v>
      </c>
      <c r="BM63"/>
      <c r="BN63" s="6">
        <f>1471618-R63</f>
        <v>321156</v>
      </c>
      <c r="BO63"/>
      <c r="BP63" s="6">
        <f>IF(+R63-BL63+BN63&gt;0,R63-BL63+BN63,0)</f>
        <v>28577</v>
      </c>
      <c r="BQ63" s="6"/>
      <c r="BR63" s="6">
        <f>+BL63+BP63</f>
        <v>1471618</v>
      </c>
      <c r="BS63" s="6"/>
      <c r="BT63" s="6">
        <f>+R63-BR63</f>
        <v>-321156</v>
      </c>
      <c r="BU63" s="9"/>
    </row>
    <row r="64" spans="1:73" s="21" customFormat="1">
      <c r="B64" s="238" t="s">
        <v>541</v>
      </c>
      <c r="J64" s="8"/>
      <c r="L64" s="143"/>
      <c r="M64" s="9"/>
      <c r="N64" s="9"/>
      <c r="O64" s="9"/>
      <c r="P64" s="9"/>
      <c r="Q64" s="9"/>
      <c r="R64" s="235">
        <v>189949</v>
      </c>
      <c r="S64" s="9"/>
      <c r="T64" s="9"/>
      <c r="U64" s="9"/>
      <c r="V64" s="9"/>
      <c r="W64" s="9"/>
      <c r="X64" s="9"/>
      <c r="Y64" s="9"/>
      <c r="Z64" s="9"/>
      <c r="AA64" s="9"/>
      <c r="AB64" s="9"/>
      <c r="AC64" s="9"/>
      <c r="AD64" s="9"/>
      <c r="AE64" s="9"/>
      <c r="AF64" s="9"/>
      <c r="AG64" s="9"/>
      <c r="AH64" s="9"/>
      <c r="AJ64" s="9"/>
      <c r="AL64" s="9"/>
      <c r="AN64" s="9"/>
      <c r="AO64" s="9"/>
      <c r="AP64" s="9"/>
      <c r="AQ64" s="9"/>
      <c r="AR64" s="6">
        <v>0</v>
      </c>
      <c r="AS64" s="9"/>
      <c r="AT64" s="6">
        <v>52828</v>
      </c>
      <c r="AU64" s="9"/>
      <c r="AV64" s="9"/>
      <c r="AW64" s="9"/>
      <c r="AX64" s="6">
        <f>288972-52828</f>
        <v>236144</v>
      </c>
      <c r="AY64" s="9"/>
      <c r="AZ64" s="9"/>
      <c r="BA64" s="9"/>
      <c r="BB64" s="9"/>
      <c r="BC64" s="9"/>
      <c r="BD64" s="6">
        <f>1008815-288972</f>
        <v>719843</v>
      </c>
      <c r="BE64"/>
      <c r="BF64" s="9">
        <f>1031462-1008815</f>
        <v>22647</v>
      </c>
      <c r="BG64"/>
      <c r="BH64" s="9"/>
      <c r="BI64"/>
      <c r="BJ64" s="9"/>
      <c r="BK64"/>
      <c r="BL64" s="6">
        <f t="shared" si="13"/>
        <v>1031462</v>
      </c>
      <c r="BM64"/>
      <c r="BN64" s="6">
        <f>1039642-R64</f>
        <v>849693</v>
      </c>
      <c r="BO64"/>
      <c r="BP64" s="6">
        <f t="shared" si="14"/>
        <v>8180</v>
      </c>
      <c r="BQ64" s="6"/>
      <c r="BR64" s="6">
        <f t="shared" si="15"/>
        <v>1039642</v>
      </c>
      <c r="BS64" s="6"/>
      <c r="BT64" s="6">
        <f t="shared" si="16"/>
        <v>-849693</v>
      </c>
      <c r="BU64" s="9"/>
    </row>
    <row r="65" spans="2:73" s="21" customFormat="1">
      <c r="B65" s="238" t="s">
        <v>545</v>
      </c>
      <c r="J65" s="8"/>
      <c r="L65" s="143"/>
      <c r="M65" s="9"/>
      <c r="N65" s="9"/>
      <c r="O65" s="9"/>
      <c r="P65" s="9"/>
      <c r="Q65" s="9"/>
      <c r="R65" s="235">
        <v>77621</v>
      </c>
      <c r="S65" s="9"/>
      <c r="T65" s="9"/>
      <c r="U65" s="9"/>
      <c r="V65" s="9"/>
      <c r="W65" s="9"/>
      <c r="X65" s="9"/>
      <c r="Y65" s="9"/>
      <c r="Z65" s="9"/>
      <c r="AA65" s="9"/>
      <c r="AB65" s="9"/>
      <c r="AC65" s="9"/>
      <c r="AD65" s="9"/>
      <c r="AE65" s="9"/>
      <c r="AF65" s="9"/>
      <c r="AG65" s="9"/>
      <c r="AH65" s="9"/>
      <c r="AJ65" s="9"/>
      <c r="AL65" s="9"/>
      <c r="AN65" s="9"/>
      <c r="AO65" s="9"/>
      <c r="AP65" s="9"/>
      <c r="AQ65" s="9"/>
      <c r="AR65" s="6">
        <v>4214</v>
      </c>
      <c r="AS65" s="9"/>
      <c r="AT65" s="6">
        <f>11626-4214</f>
        <v>7412</v>
      </c>
      <c r="AU65" s="9"/>
      <c r="AV65" s="9"/>
      <c r="AW65" s="9"/>
      <c r="AX65" s="6">
        <f>15618-11626</f>
        <v>3992</v>
      </c>
      <c r="AY65" s="9"/>
      <c r="AZ65" s="9"/>
      <c r="BA65" s="9"/>
      <c r="BB65" s="9"/>
      <c r="BC65" s="9"/>
      <c r="BD65" s="6">
        <f>34894-15618</f>
        <v>19276</v>
      </c>
      <c r="BE65"/>
      <c r="BF65" s="9">
        <f>37948-34894</f>
        <v>3054</v>
      </c>
      <c r="BG65"/>
      <c r="BH65" s="9"/>
      <c r="BI65"/>
      <c r="BJ65" s="9"/>
      <c r="BK65"/>
      <c r="BL65" s="6">
        <f>SUM(T65:BK65)</f>
        <v>37948</v>
      </c>
      <c r="BM65"/>
      <c r="BN65" s="6">
        <f>38833-R65</f>
        <v>-38788</v>
      </c>
      <c r="BO65"/>
      <c r="BP65" s="6">
        <f>IF(+R65-BL65+BN65&gt;0,R65-BL65+BN65,0)</f>
        <v>885</v>
      </c>
      <c r="BQ65" s="6"/>
      <c r="BR65" s="6">
        <f>+BL65+BP65</f>
        <v>38833</v>
      </c>
      <c r="BS65" s="6"/>
      <c r="BT65" s="6">
        <f>+R65-BR65</f>
        <v>38788</v>
      </c>
      <c r="BU65" s="9"/>
    </row>
    <row r="66" spans="2:73" s="21" customFormat="1">
      <c r="B66" s="238" t="s">
        <v>307</v>
      </c>
      <c r="J66" s="8"/>
      <c r="L66" s="143"/>
      <c r="M66" s="9"/>
      <c r="N66" s="9"/>
      <c r="O66" s="9"/>
      <c r="P66" s="9"/>
      <c r="Q66" s="9"/>
      <c r="R66" s="235">
        <v>144437</v>
      </c>
      <c r="S66" s="9"/>
      <c r="T66" s="9"/>
      <c r="U66" s="9"/>
      <c r="V66" s="9"/>
      <c r="W66" s="9"/>
      <c r="X66" s="9"/>
      <c r="Y66" s="9"/>
      <c r="Z66" s="9"/>
      <c r="AA66" s="9"/>
      <c r="AB66" s="9"/>
      <c r="AC66" s="9"/>
      <c r="AD66" s="9"/>
      <c r="AE66" s="9"/>
      <c r="AF66" s="9"/>
      <c r="AG66" s="9"/>
      <c r="AH66" s="9"/>
      <c r="AJ66" s="9"/>
      <c r="AL66" s="9"/>
      <c r="AN66" s="9"/>
      <c r="AO66" s="9"/>
      <c r="AP66" s="9"/>
      <c r="AQ66" s="9"/>
      <c r="AR66" s="6">
        <v>0</v>
      </c>
      <c r="AS66" s="9"/>
      <c r="AT66" s="6">
        <v>0</v>
      </c>
      <c r="AU66" s="9"/>
      <c r="AV66" s="9"/>
      <c r="AW66" s="9"/>
      <c r="AX66" s="6">
        <f>86250-0</f>
        <v>86250</v>
      </c>
      <c r="AY66" s="9"/>
      <c r="AZ66" s="9"/>
      <c r="BA66" s="9"/>
      <c r="BB66" s="9"/>
      <c r="BC66" s="9"/>
      <c r="BD66" s="6">
        <f>534755-86250</f>
        <v>448505</v>
      </c>
      <c r="BE66"/>
      <c r="BF66" s="9">
        <f>548568-534755</f>
        <v>13813</v>
      </c>
      <c r="BG66"/>
      <c r="BH66" s="9"/>
      <c r="BI66"/>
      <c r="BJ66" s="9"/>
      <c r="BK66"/>
      <c r="BL66" s="6">
        <f t="shared" si="13"/>
        <v>548568</v>
      </c>
      <c r="BM66"/>
      <c r="BN66" s="6">
        <f>555023-R66</f>
        <v>410586</v>
      </c>
      <c r="BO66"/>
      <c r="BP66" s="6">
        <f t="shared" si="14"/>
        <v>6455</v>
      </c>
      <c r="BQ66" s="6"/>
      <c r="BR66" s="6">
        <f t="shared" si="15"/>
        <v>555023</v>
      </c>
      <c r="BS66" s="6"/>
      <c r="BT66" s="6">
        <f t="shared" si="16"/>
        <v>-410586</v>
      </c>
      <c r="BU66" s="9"/>
    </row>
    <row r="67" spans="2:73" s="21" customFormat="1">
      <c r="B67" s="238" t="s">
        <v>308</v>
      </c>
      <c r="J67" s="8"/>
      <c r="L67" s="143"/>
      <c r="M67" s="9"/>
      <c r="N67" s="9"/>
      <c r="O67" s="9"/>
      <c r="P67" s="9"/>
      <c r="Q67" s="9"/>
      <c r="R67" s="235">
        <v>327314</v>
      </c>
      <c r="S67" s="9"/>
      <c r="T67" s="9"/>
      <c r="U67" s="9"/>
      <c r="V67" s="9"/>
      <c r="W67" s="9"/>
      <c r="X67" s="9"/>
      <c r="Y67" s="9"/>
      <c r="Z67" s="9"/>
      <c r="AA67" s="9"/>
      <c r="AB67" s="9"/>
      <c r="AC67" s="9"/>
      <c r="AD67" s="9"/>
      <c r="AE67" s="9"/>
      <c r="AF67" s="9"/>
      <c r="AG67" s="9"/>
      <c r="AH67" s="9"/>
      <c r="AJ67" s="9"/>
      <c r="AL67" s="9"/>
      <c r="AN67" s="9"/>
      <c r="AO67" s="9"/>
      <c r="AP67" s="9"/>
      <c r="AQ67" s="9"/>
      <c r="AR67" s="6">
        <v>85468</v>
      </c>
      <c r="AS67" s="9"/>
      <c r="AT67" s="6">
        <v>1</v>
      </c>
      <c r="AU67" s="9"/>
      <c r="AV67" s="9"/>
      <c r="AW67" s="9"/>
      <c r="AX67" s="6">
        <f>194633-85469</f>
        <v>109164</v>
      </c>
      <c r="AY67" s="9"/>
      <c r="AZ67" s="9"/>
      <c r="BA67" s="9"/>
      <c r="BB67" s="9"/>
      <c r="BC67" s="9"/>
      <c r="BD67" s="6">
        <f>350311-194633</f>
        <v>155678</v>
      </c>
      <c r="BE67"/>
      <c r="BF67" s="9">
        <v>0</v>
      </c>
      <c r="BG67"/>
      <c r="BH67" s="9"/>
      <c r="BI67"/>
      <c r="BJ67" s="9"/>
      <c r="BK67"/>
      <c r="BL67" s="6">
        <f>SUM(T67:BK67)</f>
        <v>350311</v>
      </c>
      <c r="BM67"/>
      <c r="BN67" s="6">
        <f>430000-R67</f>
        <v>102686</v>
      </c>
      <c r="BO67"/>
      <c r="BP67" s="6">
        <f>IF(+R67-BL67+BN67&gt;0,R67-BL67+BN67,0)</f>
        <v>79689</v>
      </c>
      <c r="BQ67" s="6"/>
      <c r="BR67" s="6">
        <f>+BL67+BP67</f>
        <v>430000</v>
      </c>
      <c r="BS67" s="6"/>
      <c r="BT67" s="6">
        <f>+R67-BR67</f>
        <v>-102686</v>
      </c>
      <c r="BU67" s="9"/>
    </row>
    <row r="68" spans="2:73" s="21" customFormat="1">
      <c r="B68" s="238" t="s">
        <v>309</v>
      </c>
      <c r="J68" s="8"/>
      <c r="L68" s="143"/>
      <c r="M68" s="9"/>
      <c r="N68" s="9"/>
      <c r="O68" s="9"/>
      <c r="P68" s="9"/>
      <c r="Q68" s="9"/>
      <c r="R68" s="235">
        <v>330460</v>
      </c>
      <c r="S68" s="9"/>
      <c r="T68" s="9"/>
      <c r="U68" s="9"/>
      <c r="V68" s="9"/>
      <c r="W68" s="9"/>
      <c r="X68" s="9"/>
      <c r="Y68" s="9"/>
      <c r="Z68" s="9"/>
      <c r="AA68" s="9"/>
      <c r="AB68" s="9"/>
      <c r="AC68" s="9"/>
      <c r="AD68" s="9"/>
      <c r="AE68" s="9"/>
      <c r="AF68" s="9"/>
      <c r="AG68" s="9"/>
      <c r="AH68" s="9"/>
      <c r="AJ68" s="9"/>
      <c r="AL68" s="9"/>
      <c r="AN68" s="9"/>
      <c r="AO68" s="9"/>
      <c r="AP68" s="9"/>
      <c r="AQ68" s="9"/>
      <c r="AR68" s="6">
        <v>0</v>
      </c>
      <c r="AS68" s="9"/>
      <c r="AT68" s="6"/>
      <c r="AU68" s="9"/>
      <c r="AV68" s="9"/>
      <c r="AW68" s="9"/>
      <c r="AX68" s="6">
        <v>204390</v>
      </c>
      <c r="AY68" s="9"/>
      <c r="AZ68" s="9"/>
      <c r="BA68" s="9"/>
      <c r="BB68" s="9"/>
      <c r="BC68" s="9"/>
      <c r="BD68" s="6">
        <f>2746-204390</f>
        <v>-201644</v>
      </c>
      <c r="BE68"/>
      <c r="BF68" s="9">
        <f>17674-2746</f>
        <v>14928</v>
      </c>
      <c r="BG68"/>
      <c r="BH68" s="9"/>
      <c r="BI68"/>
      <c r="BJ68" s="9"/>
      <c r="BK68"/>
      <c r="BL68" s="6">
        <f t="shared" si="13"/>
        <v>17674</v>
      </c>
      <c r="BM68"/>
      <c r="BN68" s="6">
        <f>2746-R68</f>
        <v>-327714</v>
      </c>
      <c r="BO68"/>
      <c r="BP68" s="6">
        <f t="shared" si="14"/>
        <v>0</v>
      </c>
      <c r="BQ68" s="6"/>
      <c r="BR68" s="6">
        <f t="shared" si="15"/>
        <v>17674</v>
      </c>
      <c r="BS68" s="6"/>
      <c r="BT68" s="6">
        <f t="shared" si="16"/>
        <v>312786</v>
      </c>
      <c r="BU68" s="9"/>
    </row>
    <row r="69" spans="2:73" s="21" customFormat="1">
      <c r="B69" s="238" t="s">
        <v>542</v>
      </c>
      <c r="J69" s="8"/>
      <c r="L69" s="143"/>
      <c r="M69" s="9"/>
      <c r="N69" s="9"/>
      <c r="O69" s="9"/>
      <c r="P69" s="9"/>
      <c r="Q69" s="9"/>
      <c r="R69" s="235">
        <v>808591</v>
      </c>
      <c r="S69" s="9"/>
      <c r="T69" s="9"/>
      <c r="U69" s="9"/>
      <c r="V69" s="9"/>
      <c r="W69" s="9"/>
      <c r="X69" s="9"/>
      <c r="Y69" s="9"/>
      <c r="Z69" s="9"/>
      <c r="AA69" s="9"/>
      <c r="AB69" s="9"/>
      <c r="AC69" s="9"/>
      <c r="AD69" s="9"/>
      <c r="AE69" s="9"/>
      <c r="AF69" s="9"/>
      <c r="AG69" s="9"/>
      <c r="AH69" s="9"/>
      <c r="AJ69" s="9"/>
      <c r="AL69" s="9"/>
      <c r="AN69" s="9"/>
      <c r="AO69" s="9"/>
      <c r="AP69" s="9"/>
      <c r="AQ69" s="9"/>
      <c r="AR69" s="6">
        <v>0</v>
      </c>
      <c r="AS69" s="9"/>
      <c r="AT69" s="6">
        <v>92600</v>
      </c>
      <c r="AU69" s="9"/>
      <c r="AV69" s="9"/>
      <c r="AW69" s="9"/>
      <c r="AX69" s="6">
        <f>150560-92600</f>
        <v>57960</v>
      </c>
      <c r="AY69" s="9"/>
      <c r="AZ69" s="9"/>
      <c r="BA69" s="9"/>
      <c r="BB69" s="9"/>
      <c r="BC69" s="9"/>
      <c r="BD69" s="6">
        <f>479383-150560</f>
        <v>328823</v>
      </c>
      <c r="BE69"/>
      <c r="BF69" s="9">
        <f>495063-479383</f>
        <v>15680</v>
      </c>
      <c r="BG69"/>
      <c r="BH69" s="9"/>
      <c r="BI69"/>
      <c r="BJ69" s="9"/>
      <c r="BK69"/>
      <c r="BL69" s="6">
        <f t="shared" si="13"/>
        <v>495063</v>
      </c>
      <c r="BM69"/>
      <c r="BN69" s="6">
        <f>482366-R69</f>
        <v>-326225</v>
      </c>
      <c r="BO69"/>
      <c r="BP69" s="6">
        <f t="shared" si="14"/>
        <v>0</v>
      </c>
      <c r="BQ69" s="6"/>
      <c r="BR69" s="6">
        <f t="shared" si="15"/>
        <v>495063</v>
      </c>
      <c r="BS69" s="6"/>
      <c r="BT69" s="6">
        <f t="shared" si="16"/>
        <v>313528</v>
      </c>
      <c r="BU69" s="9"/>
    </row>
    <row r="70" spans="2:73" s="21" customFormat="1">
      <c r="B70" s="238" t="s">
        <v>543</v>
      </c>
      <c r="J70" s="8"/>
      <c r="L70" s="143"/>
      <c r="M70" s="9"/>
      <c r="N70" s="9"/>
      <c r="O70" s="9"/>
      <c r="P70" s="9"/>
      <c r="Q70" s="9"/>
      <c r="R70" s="235">
        <v>858343</v>
      </c>
      <c r="S70" s="9"/>
      <c r="T70" s="9"/>
      <c r="U70" s="9"/>
      <c r="V70" s="9"/>
      <c r="W70" s="9"/>
      <c r="X70" s="9"/>
      <c r="Y70" s="9"/>
      <c r="Z70" s="9"/>
      <c r="AA70" s="9"/>
      <c r="AB70" s="9"/>
      <c r="AC70" s="9"/>
      <c r="AD70" s="9"/>
      <c r="AE70" s="9"/>
      <c r="AF70" s="9"/>
      <c r="AG70" s="9"/>
      <c r="AH70" s="9"/>
      <c r="AJ70" s="9"/>
      <c r="AL70" s="9"/>
      <c r="AN70" s="9"/>
      <c r="AO70" s="9"/>
      <c r="AP70" s="9"/>
      <c r="AQ70" s="9"/>
      <c r="AR70" s="6">
        <v>0</v>
      </c>
      <c r="AS70" s="9"/>
      <c r="AT70" s="6">
        <f>44379+1584</f>
        <v>45963</v>
      </c>
      <c r="AU70" s="9"/>
      <c r="AV70" s="9"/>
      <c r="AW70" s="9"/>
      <c r="AX70" s="6">
        <f>358585-45963</f>
        <v>312622</v>
      </c>
      <c r="AY70" s="9"/>
      <c r="AZ70" s="9"/>
      <c r="BA70" s="9"/>
      <c r="BB70" s="9"/>
      <c r="BC70" s="9"/>
      <c r="BD70" s="6">
        <f>1258968-358585</f>
        <v>900383</v>
      </c>
      <c r="BE70"/>
      <c r="BF70" s="9">
        <f>1282165-1258968</f>
        <v>23197</v>
      </c>
      <c r="BG70"/>
      <c r="BH70" s="9"/>
      <c r="BI70"/>
      <c r="BJ70" s="9"/>
      <c r="BK70"/>
      <c r="BL70" s="6">
        <f t="shared" si="13"/>
        <v>1282165</v>
      </c>
      <c r="BM70"/>
      <c r="BN70" s="6">
        <f>1345532-R70</f>
        <v>487189</v>
      </c>
      <c r="BO70"/>
      <c r="BP70" s="6">
        <f t="shared" si="14"/>
        <v>63367</v>
      </c>
      <c r="BQ70" s="6"/>
      <c r="BR70" s="6">
        <f t="shared" si="15"/>
        <v>1345532</v>
      </c>
      <c r="BS70" s="6"/>
      <c r="BT70" s="6">
        <f t="shared" si="16"/>
        <v>-487189</v>
      </c>
      <c r="BU70" s="9"/>
    </row>
    <row r="71" spans="2:73" s="21" customFormat="1">
      <c r="B71" s="238" t="s">
        <v>544</v>
      </c>
      <c r="J71" s="8"/>
      <c r="L71" s="143"/>
      <c r="M71" s="9"/>
      <c r="N71" s="9"/>
      <c r="O71" s="9"/>
      <c r="P71" s="9"/>
      <c r="Q71" s="9"/>
      <c r="R71" s="235">
        <v>1745515</v>
      </c>
      <c r="S71" s="9"/>
      <c r="T71" s="9"/>
      <c r="U71" s="9"/>
      <c r="V71" s="9"/>
      <c r="W71" s="9"/>
      <c r="X71" s="9"/>
      <c r="Y71" s="9"/>
      <c r="Z71" s="9"/>
      <c r="AA71" s="9"/>
      <c r="AB71" s="9"/>
      <c r="AC71" s="9"/>
      <c r="AD71" s="9"/>
      <c r="AE71" s="9"/>
      <c r="AF71" s="9"/>
      <c r="AG71" s="9"/>
      <c r="AH71" s="9"/>
      <c r="AJ71" s="9"/>
      <c r="AL71" s="9"/>
      <c r="AN71" s="9"/>
      <c r="AO71" s="9"/>
      <c r="AP71" s="9"/>
      <c r="AQ71" s="9"/>
      <c r="AR71" s="6"/>
      <c r="AS71" s="9"/>
      <c r="AT71" s="6">
        <v>46290</v>
      </c>
      <c r="AU71" s="9"/>
      <c r="AV71" s="9"/>
      <c r="AW71" s="9"/>
      <c r="AX71" s="6">
        <f>1227338-46290</f>
        <v>1181048</v>
      </c>
      <c r="AY71" s="9"/>
      <c r="AZ71" s="9"/>
      <c r="BA71" s="9"/>
      <c r="BB71" s="9"/>
      <c r="BC71" s="9"/>
      <c r="BD71" s="6">
        <f>5717361-1227338</f>
        <v>4490023</v>
      </c>
      <c r="BE71"/>
      <c r="BF71" s="9">
        <f>6038190-5717361</f>
        <v>320829</v>
      </c>
      <c r="BG71"/>
      <c r="BH71" s="9"/>
      <c r="BI71"/>
      <c r="BJ71" s="9"/>
      <c r="BK71"/>
      <c r="BL71" s="6">
        <f t="shared" si="13"/>
        <v>6038190</v>
      </c>
      <c r="BM71"/>
      <c r="BN71" s="6">
        <f>6443420-R71</f>
        <v>4697905</v>
      </c>
      <c r="BO71"/>
      <c r="BP71" s="6">
        <f t="shared" si="14"/>
        <v>405230</v>
      </c>
      <c r="BQ71" s="6"/>
      <c r="BR71" s="6">
        <f t="shared" si="15"/>
        <v>6443420</v>
      </c>
      <c r="BS71" s="6"/>
      <c r="BT71" s="6">
        <f t="shared" si="16"/>
        <v>-4697905</v>
      </c>
      <c r="BU71" s="9"/>
    </row>
    <row r="72" spans="2:73" s="21" customFormat="1">
      <c r="B72" s="238" t="s">
        <v>311</v>
      </c>
      <c r="J72" s="8"/>
      <c r="L72" s="143"/>
      <c r="M72" s="9"/>
      <c r="N72" s="9"/>
      <c r="O72" s="9"/>
      <c r="P72" s="9"/>
      <c r="Q72" s="9"/>
      <c r="R72" s="235">
        <v>571564</v>
      </c>
      <c r="S72" s="9"/>
      <c r="T72" s="9"/>
      <c r="U72" s="9"/>
      <c r="V72" s="9"/>
      <c r="W72" s="9"/>
      <c r="X72" s="9"/>
      <c r="Y72" s="9"/>
      <c r="Z72" s="9"/>
      <c r="AA72" s="9"/>
      <c r="AB72" s="9"/>
      <c r="AC72" s="9"/>
      <c r="AD72" s="9"/>
      <c r="AE72" s="9"/>
      <c r="AF72" s="9"/>
      <c r="AG72" s="9"/>
      <c r="AH72" s="9"/>
      <c r="AJ72" s="9"/>
      <c r="AL72" s="9"/>
      <c r="AN72" s="9"/>
      <c r="AO72" s="9"/>
      <c r="AP72" s="9"/>
      <c r="AQ72" s="9"/>
      <c r="AR72" s="6"/>
      <c r="AS72" s="9"/>
      <c r="AT72" s="6">
        <v>526</v>
      </c>
      <c r="AU72" s="9"/>
      <c r="AV72" s="9"/>
      <c r="AW72" s="9"/>
      <c r="AX72" s="6">
        <f>32975-526</f>
        <v>32449</v>
      </c>
      <c r="AY72" s="9"/>
      <c r="AZ72" s="9"/>
      <c r="BA72" s="9"/>
      <c r="BB72" s="9"/>
      <c r="BC72" s="9"/>
      <c r="BD72" s="6">
        <f>221751-32975</f>
        <v>188776</v>
      </c>
      <c r="BE72"/>
      <c r="BF72" s="9">
        <f>222321-221751</f>
        <v>570</v>
      </c>
      <c r="BG72"/>
      <c r="BH72" s="9"/>
      <c r="BI72"/>
      <c r="BJ72" s="9"/>
      <c r="BK72"/>
      <c r="BL72" s="6">
        <f t="shared" si="13"/>
        <v>222321</v>
      </c>
      <c r="BM72"/>
      <c r="BN72" s="6">
        <f>221748-R72</f>
        <v>-349816</v>
      </c>
      <c r="BO72"/>
      <c r="BP72" s="6">
        <f t="shared" si="14"/>
        <v>0</v>
      </c>
      <c r="BQ72" s="6"/>
      <c r="BR72" s="6">
        <f>+BL72+BP72-3</f>
        <v>222318</v>
      </c>
      <c r="BS72" s="6"/>
      <c r="BT72" s="6">
        <f t="shared" si="16"/>
        <v>349246</v>
      </c>
      <c r="BU72" s="9"/>
    </row>
    <row r="73" spans="2:73" s="21" customFormat="1">
      <c r="B73" s="238" t="s">
        <v>312</v>
      </c>
      <c r="J73" s="8"/>
      <c r="L73" s="143"/>
      <c r="M73" s="9"/>
      <c r="N73" s="9"/>
      <c r="O73" s="9"/>
      <c r="P73" s="9"/>
      <c r="Q73" s="9"/>
      <c r="R73" s="235">
        <f>581625+350016</f>
        <v>931641</v>
      </c>
      <c r="S73" s="9"/>
      <c r="T73" s="9"/>
      <c r="U73" s="9"/>
      <c r="V73" s="9"/>
      <c r="W73" s="9"/>
      <c r="X73" s="9"/>
      <c r="Y73" s="9"/>
      <c r="Z73" s="9"/>
      <c r="AA73" s="9"/>
      <c r="AB73" s="9"/>
      <c r="AC73" s="9"/>
      <c r="AD73" s="9"/>
      <c r="AE73" s="9"/>
      <c r="AF73" s="9"/>
      <c r="AG73" s="9"/>
      <c r="AH73" s="9"/>
      <c r="AJ73" s="9"/>
      <c r="AL73" s="9"/>
      <c r="AN73" s="9"/>
      <c r="AO73" s="9"/>
      <c r="AP73" s="9"/>
      <c r="AQ73" s="9"/>
      <c r="AR73" s="6"/>
      <c r="AS73" s="9"/>
      <c r="AT73" s="6">
        <v>0</v>
      </c>
      <c r="AU73" s="9"/>
      <c r="AV73" s="9"/>
      <c r="AW73" s="9"/>
      <c r="AX73" s="6"/>
      <c r="AY73" s="9"/>
      <c r="AZ73" s="9"/>
      <c r="BA73" s="9"/>
      <c r="BB73" s="9"/>
      <c r="BC73" s="9"/>
      <c r="BD73" s="6">
        <f>208367+214658</f>
        <v>423025</v>
      </c>
      <c r="BE73"/>
      <c r="BF73" s="9">
        <f>304652+375201-423025</f>
        <v>256828</v>
      </c>
      <c r="BG73"/>
      <c r="BH73" s="9"/>
      <c r="BI73"/>
      <c r="BJ73" s="9"/>
      <c r="BK73"/>
      <c r="BL73" s="6">
        <f t="shared" si="13"/>
        <v>679853</v>
      </c>
      <c r="BM73"/>
      <c r="BN73" s="6">
        <f>288000+569000-R73</f>
        <v>-74641</v>
      </c>
      <c r="BO73"/>
      <c r="BP73" s="6">
        <f t="shared" si="14"/>
        <v>177147</v>
      </c>
      <c r="BQ73" s="6"/>
      <c r="BR73" s="6">
        <f t="shared" si="15"/>
        <v>857000</v>
      </c>
      <c r="BS73" s="6"/>
      <c r="BT73" s="6">
        <f t="shared" si="16"/>
        <v>74641</v>
      </c>
      <c r="BU73" s="9"/>
    </row>
    <row r="74" spans="2:73" s="21" customFormat="1">
      <c r="B74" s="238" t="s">
        <v>548</v>
      </c>
      <c r="J74" s="8"/>
      <c r="L74" s="143"/>
      <c r="M74" s="9"/>
      <c r="N74" s="9"/>
      <c r="O74" s="9"/>
      <c r="P74" s="9"/>
      <c r="Q74" s="9"/>
      <c r="R74" s="235">
        <v>6297865</v>
      </c>
      <c r="S74" s="9"/>
      <c r="T74" s="9"/>
      <c r="U74" s="9"/>
      <c r="V74" s="9"/>
      <c r="W74" s="9"/>
      <c r="X74" s="9"/>
      <c r="Y74" s="9"/>
      <c r="Z74" s="9"/>
      <c r="AA74" s="9"/>
      <c r="AB74" s="9"/>
      <c r="AC74" s="9"/>
      <c r="AD74" s="9"/>
      <c r="AE74" s="9"/>
      <c r="AF74" s="9"/>
      <c r="AG74" s="9"/>
      <c r="AH74" s="9"/>
      <c r="AJ74" s="9"/>
      <c r="AL74" s="9"/>
      <c r="AN74" s="9"/>
      <c r="AO74" s="9"/>
      <c r="AP74" s="9"/>
      <c r="AQ74" s="9"/>
      <c r="AR74" s="6">
        <v>134000</v>
      </c>
      <c r="AS74" s="9"/>
      <c r="AT74" s="6">
        <f>537131+88400</f>
        <v>625531</v>
      </c>
      <c r="AU74" s="9"/>
      <c r="AV74" s="9"/>
      <c r="AW74" s="9"/>
      <c r="AX74" s="6">
        <f>3951728-759531</f>
        <v>3192197</v>
      </c>
      <c r="AY74" s="9"/>
      <c r="AZ74" s="9"/>
      <c r="BA74" s="9"/>
      <c r="BB74" s="9"/>
      <c r="BC74" s="9"/>
      <c r="BD74" s="6">
        <f>18615518-3951728</f>
        <v>14663790</v>
      </c>
      <c r="BE74"/>
      <c r="BF74" s="9">
        <f>18841458-18615518</f>
        <v>225940</v>
      </c>
      <c r="BG74"/>
      <c r="BH74" s="9"/>
      <c r="BI74"/>
      <c r="BJ74" s="9"/>
      <c r="BK74"/>
      <c r="BL74" s="6">
        <f t="shared" si="13"/>
        <v>18841458</v>
      </c>
      <c r="BM74"/>
      <c r="BN74" s="6">
        <f>18956735-R74</f>
        <v>12658870</v>
      </c>
      <c r="BO74"/>
      <c r="BP74" s="6">
        <f t="shared" si="14"/>
        <v>115277</v>
      </c>
      <c r="BQ74" s="6"/>
      <c r="BR74" s="6">
        <f t="shared" si="15"/>
        <v>18956735</v>
      </c>
      <c r="BS74" s="6"/>
      <c r="BT74" s="6">
        <f t="shared" si="16"/>
        <v>-12658870</v>
      </c>
      <c r="BU74" s="9"/>
    </row>
    <row r="75" spans="2:73" s="21" customFormat="1">
      <c r="B75" s="238" t="s">
        <v>547</v>
      </c>
      <c r="J75" s="8"/>
      <c r="L75" s="143"/>
      <c r="M75" s="9"/>
      <c r="N75" s="9"/>
      <c r="O75" s="9"/>
      <c r="P75" s="9"/>
      <c r="Q75" s="9"/>
      <c r="R75" s="235">
        <v>868340</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v>169550</v>
      </c>
      <c r="AY75" s="9"/>
      <c r="AZ75" s="9"/>
      <c r="BA75" s="9"/>
      <c r="BB75" s="9"/>
      <c r="BC75" s="9"/>
      <c r="BD75" s="6">
        <f>4019526-169550</f>
        <v>3849976</v>
      </c>
      <c r="BE75"/>
      <c r="BF75" s="9">
        <f>4411227-4019526</f>
        <v>391701</v>
      </c>
      <c r="BG75"/>
      <c r="BH75" s="9"/>
      <c r="BI75"/>
      <c r="BJ75" s="9"/>
      <c r="BK75"/>
      <c r="BL75" s="6">
        <f t="shared" si="13"/>
        <v>4411227</v>
      </c>
      <c r="BM75"/>
      <c r="BN75" s="6">
        <f>4402434-R75</f>
        <v>3534094</v>
      </c>
      <c r="BO75"/>
      <c r="BP75" s="6">
        <f t="shared" si="14"/>
        <v>0</v>
      </c>
      <c r="BQ75" s="6"/>
      <c r="BR75" s="6">
        <f t="shared" si="15"/>
        <v>4411227</v>
      </c>
      <c r="BS75" s="6"/>
      <c r="BT75" s="6">
        <f t="shared" si="16"/>
        <v>-3542887</v>
      </c>
      <c r="BU75" s="9"/>
    </row>
    <row r="76" spans="2:73" s="21" customFormat="1">
      <c r="B76" s="238" t="s">
        <v>313</v>
      </c>
      <c r="J76" s="8"/>
      <c r="L76" s="143"/>
      <c r="M76" s="9"/>
      <c r="N76" s="9"/>
      <c r="O76" s="9"/>
      <c r="P76" s="9"/>
      <c r="Q76" s="9"/>
      <c r="R76" s="235">
        <v>-1225177</v>
      </c>
      <c r="S76" s="9"/>
      <c r="T76" s="9"/>
      <c r="U76" s="9"/>
      <c r="V76" s="9"/>
      <c r="W76" s="9"/>
      <c r="X76" s="9"/>
      <c r="Y76" s="9"/>
      <c r="Z76" s="9"/>
      <c r="AA76" s="9"/>
      <c r="AB76" s="9"/>
      <c r="AC76" s="9"/>
      <c r="AD76" s="9"/>
      <c r="AE76" s="9"/>
      <c r="AF76" s="9"/>
      <c r="AG76" s="9"/>
      <c r="AH76" s="9"/>
      <c r="AJ76" s="9"/>
      <c r="AL76" s="9"/>
      <c r="AN76" s="9"/>
      <c r="AO76" s="9"/>
      <c r="AP76" s="9"/>
      <c r="AQ76" s="9"/>
      <c r="AR76" s="6"/>
      <c r="AS76" s="9"/>
      <c r="AT76" s="6"/>
      <c r="AU76" s="9"/>
      <c r="AV76" s="9"/>
      <c r="AW76" s="9"/>
      <c r="AX76" s="6"/>
      <c r="AY76" s="9"/>
      <c r="AZ76" s="9"/>
      <c r="BA76" s="9"/>
      <c r="BB76" s="9"/>
      <c r="BC76" s="9"/>
      <c r="BD76" s="6"/>
      <c r="BE76"/>
      <c r="BF76" s="9"/>
      <c r="BG76"/>
      <c r="BH76" s="9"/>
      <c r="BI76"/>
      <c r="BJ76" s="9"/>
      <c r="BK76"/>
      <c r="BL76" s="6">
        <f t="shared" si="13"/>
        <v>0</v>
      </c>
      <c r="BM76"/>
      <c r="BN76" s="6">
        <v>1225177</v>
      </c>
      <c r="BO76"/>
      <c r="BP76" s="6">
        <f t="shared" si="14"/>
        <v>0</v>
      </c>
      <c r="BQ76" s="6"/>
      <c r="BR76" s="6">
        <f t="shared" si="15"/>
        <v>0</v>
      </c>
      <c r="BS76" s="6"/>
      <c r="BT76" s="6">
        <f t="shared" si="16"/>
        <v>-1225177</v>
      </c>
      <c r="BU76" s="9"/>
    </row>
    <row r="77" spans="2:73" s="21" customFormat="1">
      <c r="B77" s="238" t="s">
        <v>499</v>
      </c>
      <c r="J77" s="8"/>
      <c r="L77" s="143"/>
      <c r="M77" s="9"/>
      <c r="N77" s="9"/>
      <c r="O77" s="9"/>
      <c r="P77" s="9"/>
      <c r="Q77" s="9"/>
      <c r="R77" s="235"/>
      <c r="S77" s="9"/>
      <c r="T77" s="9"/>
      <c r="U77" s="9"/>
      <c r="V77" s="9"/>
      <c r="W77" s="9"/>
      <c r="X77" s="9"/>
      <c r="Y77" s="9"/>
      <c r="Z77" s="9"/>
      <c r="AA77" s="9"/>
      <c r="AB77" s="9"/>
      <c r="AC77" s="9"/>
      <c r="AD77" s="9"/>
      <c r="AE77" s="9"/>
      <c r="AF77" s="9"/>
      <c r="AG77" s="9"/>
      <c r="AH77" s="9"/>
      <c r="AJ77" s="9"/>
      <c r="AL77" s="9"/>
      <c r="AN77" s="9"/>
      <c r="AO77" s="9"/>
      <c r="AP77" s="9"/>
      <c r="AQ77" s="9"/>
      <c r="AR77" s="6"/>
      <c r="AS77" s="9"/>
      <c r="AT77" s="6">
        <v>29554</v>
      </c>
      <c r="AU77" s="9"/>
      <c r="AV77" s="9"/>
      <c r="AW77" s="9"/>
      <c r="AX77" s="6">
        <f>57585-29554</f>
        <v>28031</v>
      </c>
      <c r="AY77" s="9"/>
      <c r="AZ77" s="9"/>
      <c r="BA77" s="9"/>
      <c r="BB77" s="9"/>
      <c r="BC77" s="9"/>
      <c r="BD77" s="6">
        <f>259919-57585</f>
        <v>202334</v>
      </c>
      <c r="BE77"/>
      <c r="BF77" s="9">
        <f>286812-259919</f>
        <v>26893</v>
      </c>
      <c r="BG77"/>
      <c r="BH77" s="9"/>
      <c r="BI77"/>
      <c r="BJ77" s="9"/>
      <c r="BK77"/>
      <c r="BL77" s="6">
        <f t="shared" si="13"/>
        <v>286812</v>
      </c>
      <c r="BM77"/>
      <c r="BN77" s="6">
        <f>259913-R77</f>
        <v>259913</v>
      </c>
      <c r="BO77"/>
      <c r="BP77" s="6">
        <f t="shared" si="14"/>
        <v>0</v>
      </c>
      <c r="BQ77" s="6"/>
      <c r="BR77" s="6">
        <f t="shared" si="15"/>
        <v>286812</v>
      </c>
      <c r="BS77" s="6"/>
      <c r="BT77" s="6">
        <f t="shared" si="16"/>
        <v>-286812</v>
      </c>
      <c r="BU77" s="9"/>
    </row>
    <row r="78" spans="2:73" s="21" customFormat="1">
      <c r="B78" s="238" t="s">
        <v>500</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6"/>
      <c r="AS78" s="9"/>
      <c r="AT78" s="6">
        <v>99225</v>
      </c>
      <c r="AU78" s="9"/>
      <c r="AV78" s="9"/>
      <c r="AW78" s="9"/>
      <c r="AX78" s="6">
        <f>116645-99225</f>
        <v>17420</v>
      </c>
      <c r="AY78" s="9"/>
      <c r="AZ78" s="9"/>
      <c r="BA78" s="9"/>
      <c r="BB78" s="9"/>
      <c r="BC78" s="9"/>
      <c r="BD78" s="6">
        <f>236705-116645</f>
        <v>120060</v>
      </c>
      <c r="BE78"/>
      <c r="BF78" s="9">
        <f>254882-236705</f>
        <v>18177</v>
      </c>
      <c r="BG78"/>
      <c r="BH78" s="9"/>
      <c r="BI78"/>
      <c r="BJ78" s="9"/>
      <c r="BK78"/>
      <c r="BL78" s="6">
        <f t="shared" si="13"/>
        <v>254882</v>
      </c>
      <c r="BM78"/>
      <c r="BN78" s="9">
        <f>-236705+223957</f>
        <v>-12748</v>
      </c>
      <c r="BO78"/>
      <c r="BP78" s="6">
        <v>-12748</v>
      </c>
      <c r="BQ78" s="6"/>
      <c r="BR78" s="6">
        <v>223957</v>
      </c>
      <c r="BS78" s="6"/>
      <c r="BT78" s="6">
        <f t="shared" si="16"/>
        <v>-223957</v>
      </c>
      <c r="BU78" s="9"/>
    </row>
    <row r="79" spans="2:73" s="21" customFormat="1">
      <c r="B79" s="233" t="s">
        <v>501</v>
      </c>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v>12201</v>
      </c>
      <c r="AU79" s="9"/>
      <c r="AV79" s="9"/>
      <c r="AW79" s="9"/>
      <c r="AX79" s="6">
        <f>77361-12201</f>
        <v>65160</v>
      </c>
      <c r="AY79" s="9"/>
      <c r="AZ79" s="9"/>
      <c r="BA79" s="9"/>
      <c r="BB79" s="9"/>
      <c r="BC79" s="9"/>
      <c r="BD79" s="6">
        <f>421031-77361</f>
        <v>343670</v>
      </c>
      <c r="BE79"/>
      <c r="BF79" s="9">
        <f>234280-421031</f>
        <v>-186751</v>
      </c>
      <c r="BG79"/>
      <c r="BH79" s="9"/>
      <c r="BI79"/>
      <c r="BJ79" s="9"/>
      <c r="BK79"/>
      <c r="BL79" s="6">
        <f t="shared" si="13"/>
        <v>234280</v>
      </c>
      <c r="BM79"/>
      <c r="BN79" s="6">
        <v>-25357</v>
      </c>
      <c r="BO79"/>
      <c r="BP79" s="9">
        <v>-446388</v>
      </c>
      <c r="BQ79" s="9"/>
      <c r="BR79" s="6">
        <v>-25357</v>
      </c>
      <c r="BS79" s="9"/>
      <c r="BT79" s="6">
        <f t="shared" si="16"/>
        <v>25357</v>
      </c>
      <c r="BU79" s="9"/>
    </row>
    <row r="80" spans="2:73" s="21" customFormat="1">
      <c r="B80" s="236" t="s">
        <v>315</v>
      </c>
      <c r="J80" s="8"/>
      <c r="L80" s="143"/>
      <c r="M80" s="9"/>
      <c r="N80" s="9"/>
      <c r="O80" s="9"/>
      <c r="P80" s="9"/>
      <c r="Q80" s="9"/>
      <c r="R80" s="9">
        <f>SUM(R56:R79)</f>
        <v>20178205</v>
      </c>
      <c r="S80" s="9">
        <f t="shared" ref="S80:BU80" si="17">SUM(S56:S79)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c r="AF80" s="9">
        <f t="shared" si="17"/>
        <v>0</v>
      </c>
      <c r="AG80" s="9"/>
      <c r="AH80" s="9">
        <f t="shared" si="17"/>
        <v>0</v>
      </c>
      <c r="AI80" s="9"/>
      <c r="AJ80" s="9">
        <f t="shared" si="17"/>
        <v>0</v>
      </c>
      <c r="AK80" s="9">
        <f t="shared" si="17"/>
        <v>0</v>
      </c>
      <c r="AL80" s="9">
        <f t="shared" si="17"/>
        <v>0</v>
      </c>
      <c r="AM80" s="9">
        <f t="shared" si="17"/>
        <v>0</v>
      </c>
      <c r="AN80" s="9">
        <f t="shared" si="17"/>
        <v>0</v>
      </c>
      <c r="AO80" s="9">
        <f t="shared" si="17"/>
        <v>0</v>
      </c>
      <c r="AP80" s="9">
        <f t="shared" si="17"/>
        <v>0</v>
      </c>
      <c r="AQ80" s="9">
        <f t="shared" si="17"/>
        <v>0</v>
      </c>
      <c r="AR80" s="9">
        <f t="shared" si="17"/>
        <v>2569929</v>
      </c>
      <c r="AS80" s="9">
        <f t="shared" si="17"/>
        <v>0</v>
      </c>
      <c r="AT80" s="9">
        <f t="shared" si="17"/>
        <v>4657660</v>
      </c>
      <c r="AU80" s="9">
        <f t="shared" si="17"/>
        <v>0</v>
      </c>
      <c r="AV80" s="9">
        <f t="shared" si="17"/>
        <v>0</v>
      </c>
      <c r="AW80" s="9">
        <f t="shared" si="17"/>
        <v>0</v>
      </c>
      <c r="AX80" s="9">
        <f t="shared" si="17"/>
        <v>9133979</v>
      </c>
      <c r="AY80" s="9">
        <f t="shared" si="17"/>
        <v>0</v>
      </c>
      <c r="AZ80" s="9">
        <f t="shared" si="17"/>
        <v>0</v>
      </c>
      <c r="BA80" s="9">
        <f t="shared" si="17"/>
        <v>0</v>
      </c>
      <c r="BB80" s="9">
        <f t="shared" si="17"/>
        <v>0</v>
      </c>
      <c r="BC80" s="9"/>
      <c r="BD80" s="9">
        <f t="shared" si="17"/>
        <v>27716599</v>
      </c>
      <c r="BE80"/>
      <c r="BF80" s="9">
        <f t="shared" si="17"/>
        <v>1628558</v>
      </c>
      <c r="BG80"/>
      <c r="BH80" s="9">
        <f t="shared" si="17"/>
        <v>0</v>
      </c>
      <c r="BI80"/>
      <c r="BJ80" s="9">
        <f t="shared" si="17"/>
        <v>0</v>
      </c>
      <c r="BK80"/>
      <c r="BL80" s="9">
        <f t="shared" si="17"/>
        <v>45706725</v>
      </c>
      <c r="BM80"/>
      <c r="BN80" s="9">
        <f t="shared" si="17"/>
        <v>26262926</v>
      </c>
      <c r="BO80"/>
      <c r="BP80" s="9">
        <f t="shared" si="17"/>
        <v>867211</v>
      </c>
      <c r="BQ80" s="9">
        <f t="shared" si="17"/>
        <v>0</v>
      </c>
      <c r="BR80" s="9">
        <f t="shared" si="17"/>
        <v>46742507</v>
      </c>
      <c r="BS80" s="9">
        <f t="shared" si="17"/>
        <v>0</v>
      </c>
      <c r="BT80" s="9">
        <f t="shared" si="17"/>
        <v>-26564302</v>
      </c>
      <c r="BU80" s="9">
        <f t="shared" si="17"/>
        <v>0</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c r="BF81" s="9"/>
      <c r="BG81"/>
      <c r="BH81" s="9"/>
      <c r="BI81"/>
      <c r="BJ81" s="9"/>
      <c r="BK81"/>
      <c r="BL81" s="9"/>
      <c r="BM81"/>
      <c r="BN81" s="9"/>
      <c r="BO81"/>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c r="BF82" s="9"/>
      <c r="BG82"/>
      <c r="BH82" s="9"/>
      <c r="BI82"/>
      <c r="BJ82" s="9"/>
      <c r="BK82"/>
      <c r="BL82" s="9"/>
      <c r="BM82"/>
      <c r="BN82" s="9"/>
      <c r="BO82"/>
      <c r="BP82" s="9"/>
      <c r="BQ82" s="9"/>
      <c r="BR82" s="9"/>
      <c r="BS82" s="9"/>
      <c r="BT82" s="9"/>
      <c r="BU82" s="9"/>
    </row>
    <row r="83" spans="1:73" s="21" customFormat="1">
      <c r="B83" s="240" t="s">
        <v>67</v>
      </c>
      <c r="J83" s="8"/>
      <c r="L83" s="143"/>
      <c r="M83" s="9"/>
      <c r="N83" s="9"/>
      <c r="O83" s="9"/>
      <c r="P83" s="9"/>
      <c r="Q83" s="9"/>
      <c r="R83" s="235">
        <v>5312100</v>
      </c>
      <c r="S83" s="9"/>
      <c r="T83" s="9"/>
      <c r="U83" s="9"/>
      <c r="V83" s="9"/>
      <c r="W83" s="9"/>
      <c r="X83" s="9"/>
      <c r="Y83" s="9"/>
      <c r="Z83" s="9"/>
      <c r="AA83" s="9"/>
      <c r="AB83" s="9"/>
      <c r="AC83" s="9"/>
      <c r="AD83" s="9"/>
      <c r="AE83" s="9"/>
      <c r="AF83" s="9"/>
      <c r="AG83" s="9"/>
      <c r="AH83" s="9"/>
      <c r="AJ83" s="9"/>
      <c r="AL83" s="9"/>
      <c r="AN83" s="9"/>
      <c r="AO83" s="9"/>
      <c r="AP83" s="9"/>
      <c r="AQ83" s="9"/>
      <c r="AR83" s="6">
        <v>28388</v>
      </c>
      <c r="AS83" s="9"/>
      <c r="AT83" s="6">
        <f>791673-28388</f>
        <v>763285</v>
      </c>
      <c r="AU83" s="9"/>
      <c r="AV83" s="9"/>
      <c r="AW83" s="9"/>
      <c r="AX83" s="6">
        <f>3252538-791673</f>
        <v>2460865</v>
      </c>
      <c r="AY83" s="9"/>
      <c r="AZ83" s="9"/>
      <c r="BA83" s="9"/>
      <c r="BB83" s="9"/>
      <c r="BC83" s="9"/>
      <c r="BD83" s="6">
        <f>4470197-3252538</f>
        <v>1217659</v>
      </c>
      <c r="BE83"/>
      <c r="BF83" s="9">
        <f>4901020-4470197</f>
        <v>430823</v>
      </c>
      <c r="BG83"/>
      <c r="BH83" s="9"/>
      <c r="BI83"/>
      <c r="BJ83" s="9"/>
      <c r="BK83"/>
      <c r="BL83" s="6">
        <f>SUM(T83:BK83)</f>
        <v>4901020</v>
      </c>
      <c r="BM83"/>
      <c r="BN83" s="6">
        <f>5762815-R83</f>
        <v>450715</v>
      </c>
      <c r="BO83"/>
      <c r="BP83" s="6">
        <f>IF(+R83-BL83+BN83&gt;0,R83-BL83+BN83,0)</f>
        <v>861795</v>
      </c>
      <c r="BQ83" s="6"/>
      <c r="BR83" s="6">
        <f>+BL83+BP83</f>
        <v>5762815</v>
      </c>
      <c r="BS83" s="6"/>
      <c r="BT83" s="6">
        <f>+R83-BR83</f>
        <v>-450715</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c r="BF84" s="9"/>
      <c r="BG84"/>
      <c r="BH84" s="9"/>
      <c r="BI84"/>
      <c r="BJ84" s="9"/>
      <c r="BK84"/>
      <c r="BL84" s="9"/>
      <c r="BM84"/>
      <c r="BN84" s="9"/>
      <c r="BO84"/>
      <c r="BP84" s="9"/>
      <c r="BQ84" s="9"/>
      <c r="BR84" s="9"/>
      <c r="BS84" s="9"/>
      <c r="BT84" s="9"/>
      <c r="BU84" s="9"/>
    </row>
    <row r="85" spans="1:73" s="21" customFormat="1">
      <c r="B85" s="234" t="s">
        <v>316</v>
      </c>
      <c r="J85" s="8"/>
      <c r="L85" s="143"/>
      <c r="M85" s="9"/>
      <c r="N85" s="9"/>
      <c r="O85" s="9"/>
      <c r="P85" s="9"/>
      <c r="Q85" s="9"/>
      <c r="R85" s="9">
        <f t="shared" ref="R85:AD85" si="18">SUM(R83:R84)</f>
        <v>5312100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c r="AF85" s="9">
        <f>SUM(AF83:AF84)</f>
        <v>0</v>
      </c>
      <c r="AG85" s="9"/>
      <c r="AH85" s="9">
        <f>SUM(AH83:AH84)</f>
        <v>0</v>
      </c>
      <c r="AI85" s="9"/>
      <c r="AJ85" s="9">
        <f t="shared" ref="AJ85:BB85" si="19">SUM(AJ83:AJ84)</f>
        <v>0</v>
      </c>
      <c r="AK85" s="9">
        <f t="shared" si="19"/>
        <v>0</v>
      </c>
      <c r="AL85" s="9">
        <f t="shared" si="19"/>
        <v>0</v>
      </c>
      <c r="AM85" s="9">
        <f t="shared" si="19"/>
        <v>0</v>
      </c>
      <c r="AN85" s="9">
        <f t="shared" si="19"/>
        <v>0</v>
      </c>
      <c r="AO85" s="9">
        <f t="shared" si="19"/>
        <v>0</v>
      </c>
      <c r="AP85" s="9">
        <f t="shared" si="19"/>
        <v>0</v>
      </c>
      <c r="AQ85" s="9">
        <f t="shared" si="19"/>
        <v>0</v>
      </c>
      <c r="AR85" s="6">
        <f t="shared" si="19"/>
        <v>28388</v>
      </c>
      <c r="AS85" s="9">
        <f t="shared" si="19"/>
        <v>0</v>
      </c>
      <c r="AT85" s="9">
        <f t="shared" si="19"/>
        <v>763285</v>
      </c>
      <c r="AU85" s="9">
        <f t="shared" si="19"/>
        <v>0</v>
      </c>
      <c r="AV85" s="9">
        <f t="shared" si="19"/>
        <v>0</v>
      </c>
      <c r="AW85" s="9">
        <f t="shared" si="19"/>
        <v>0</v>
      </c>
      <c r="AX85" s="9">
        <f t="shared" si="19"/>
        <v>2460865</v>
      </c>
      <c r="AY85" s="9">
        <f t="shared" si="19"/>
        <v>0</v>
      </c>
      <c r="AZ85" s="9">
        <f t="shared" si="19"/>
        <v>0</v>
      </c>
      <c r="BA85" s="9">
        <f t="shared" si="19"/>
        <v>0</v>
      </c>
      <c r="BB85" s="9">
        <f t="shared" si="19"/>
        <v>0</v>
      </c>
      <c r="BC85" s="9"/>
      <c r="BD85" s="9">
        <f>SUM(BD83:BD84)</f>
        <v>1217659</v>
      </c>
      <c r="BE85"/>
      <c r="BF85" s="9">
        <f>SUM(BF83:BF84)</f>
        <v>430823</v>
      </c>
      <c r="BG85"/>
      <c r="BH85" s="9">
        <f>SUM(BH83:BH84)</f>
        <v>0</v>
      </c>
      <c r="BI85"/>
      <c r="BJ85" s="9">
        <f>SUM(BJ83:BJ84)</f>
        <v>0</v>
      </c>
      <c r="BK85"/>
      <c r="BL85" s="9">
        <f>SUM(BL83:BL84)</f>
        <v>4901020</v>
      </c>
      <c r="BM85"/>
      <c r="BN85" s="9">
        <f>SUM(BN83:BN84)</f>
        <v>450715</v>
      </c>
      <c r="BO85"/>
      <c r="BP85" s="9">
        <f>SUM(BP83:BP84)</f>
        <v>861795</v>
      </c>
      <c r="BQ85" s="9">
        <f>SUM(BQ83:BQ84)</f>
        <v>0</v>
      </c>
      <c r="BR85" s="9">
        <f>SUM(BR83:BR84)</f>
        <v>5762815</v>
      </c>
      <c r="BS85" s="9">
        <f>SUM(BS83:BS84)</f>
        <v>0</v>
      </c>
      <c r="BT85" s="6">
        <f>+R85-BR85</f>
        <v>-450715</v>
      </c>
      <c r="BU85" s="9"/>
    </row>
    <row r="86" spans="1:73" s="21" customFormat="1">
      <c r="B86" s="241" t="s">
        <v>552</v>
      </c>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6"/>
      <c r="AS86" s="9"/>
      <c r="AT86" s="9"/>
      <c r="AU86" s="9"/>
      <c r="AV86" s="9"/>
      <c r="AW86" s="9"/>
      <c r="AX86" s="9"/>
      <c r="AY86" s="9"/>
      <c r="AZ86" s="9"/>
      <c r="BA86" s="9"/>
      <c r="BB86" s="9"/>
      <c r="BC86" s="9"/>
      <c r="BD86" s="6">
        <v>0</v>
      </c>
      <c r="BE86"/>
      <c r="BF86" s="9"/>
      <c r="BG86"/>
      <c r="BH86" s="9"/>
      <c r="BI86"/>
      <c r="BJ86" s="9"/>
      <c r="BK86"/>
      <c r="BL86" s="6">
        <f>SUM(T86:BK86)</f>
        <v>0</v>
      </c>
      <c r="BM86"/>
      <c r="BN86" s="9"/>
      <c r="BO86"/>
      <c r="BP86" s="6"/>
      <c r="BQ86" s="9">
        <f>SUM(BQ84:BQ85)</f>
        <v>0</v>
      </c>
      <c r="BR86" s="6">
        <v>0</v>
      </c>
      <c r="BS86" s="9">
        <f>SUM(BS84:BS85)</f>
        <v>0</v>
      </c>
      <c r="BT86" s="6">
        <f>+R86-BR86</f>
        <v>0</v>
      </c>
      <c r="BU86" s="9"/>
    </row>
    <row r="87" spans="1:73" s="21" customFormat="1">
      <c r="B87" s="241" t="s">
        <v>327</v>
      </c>
      <c r="J87" s="8"/>
      <c r="L87" s="143"/>
      <c r="M87" s="9"/>
      <c r="N87" s="9"/>
      <c r="O87" s="9"/>
      <c r="P87" s="9"/>
      <c r="Q87" s="9"/>
      <c r="R87" s="9">
        <v>0</v>
      </c>
      <c r="S87" s="9"/>
      <c r="T87" s="9"/>
      <c r="U87" s="9"/>
      <c r="V87" s="9">
        <v>0</v>
      </c>
      <c r="W87" s="9"/>
      <c r="X87" s="9"/>
      <c r="Y87" s="9"/>
      <c r="Z87" s="9"/>
      <c r="AA87" s="9"/>
      <c r="AB87" s="9"/>
      <c r="AC87" s="9"/>
      <c r="AD87" s="9"/>
      <c r="AE87" s="9"/>
      <c r="AF87" s="9"/>
      <c r="AG87" s="9"/>
      <c r="AH87" s="9"/>
      <c r="AI87" s="9"/>
      <c r="AJ87" s="9"/>
      <c r="AK87" s="9"/>
      <c r="AL87" s="9"/>
      <c r="AM87" s="9"/>
      <c r="AN87" s="9"/>
      <c r="AO87" s="9"/>
      <c r="AP87" s="9">
        <f>9438462-865389</f>
        <v>8573073</v>
      </c>
      <c r="AQ87" s="9"/>
      <c r="AR87" s="6">
        <f>10717074-3623155+41531</f>
        <v>7135450</v>
      </c>
      <c r="AS87" s="9"/>
      <c r="AT87" s="9">
        <f>-8600128+744251</f>
        <v>-7855877</v>
      </c>
      <c r="AU87" s="9"/>
      <c r="AV87" s="9">
        <v>12922196</v>
      </c>
      <c r="AW87" s="9"/>
      <c r="AX87" s="9">
        <f>-20774842+5385733+11527832</f>
        <v>-3861277</v>
      </c>
      <c r="AY87" s="9"/>
      <c r="AZ87" s="9">
        <v>19510321</v>
      </c>
      <c r="BA87" s="9"/>
      <c r="BB87" s="9"/>
      <c r="BC87" s="9"/>
      <c r="BD87" s="9">
        <f>-40702546+11142580-235398</f>
        <v>-29795364</v>
      </c>
      <c r="BE87"/>
      <c r="BF87" s="9">
        <f>-3652153+977079</f>
        <v>-2675074</v>
      </c>
      <c r="BG87"/>
      <c r="BH87" s="9"/>
      <c r="BI87"/>
      <c r="BJ87" s="9"/>
      <c r="BK87"/>
      <c r="BL87" s="6">
        <f>SUM(T87:BK87)</f>
        <v>3953448</v>
      </c>
      <c r="BM87"/>
      <c r="BN87" s="9">
        <v>0</v>
      </c>
      <c r="BO87"/>
      <c r="BP87" s="482">
        <f>-BL87</f>
        <v>-3953448</v>
      </c>
      <c r="BQ87" s="9">
        <f>SUM(BQ85:BQ86)</f>
        <v>0</v>
      </c>
      <c r="BR87" s="6">
        <f>+BL87+BP87</f>
        <v>0</v>
      </c>
      <c r="BS87" s="9">
        <f>SUM(BS85:BS86)</f>
        <v>0</v>
      </c>
      <c r="BT87" s="6">
        <f>+R87-BR87</f>
        <v>0</v>
      </c>
      <c r="BU87" s="9"/>
    </row>
    <row r="88" spans="1:73" s="21" customFormat="1">
      <c r="B88" s="247" t="s">
        <v>326</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c r="BF88" s="9"/>
      <c r="BG88"/>
      <c r="BH88" s="9"/>
      <c r="BI88"/>
      <c r="BJ88" s="9"/>
      <c r="BK88"/>
      <c r="BL88" s="9"/>
      <c r="BM88"/>
      <c r="BN88" s="9"/>
      <c r="BO88"/>
      <c r="BP88" s="9"/>
      <c r="BQ88" s="9"/>
      <c r="BR88" s="6"/>
      <c r="BS88" s="9"/>
      <c r="BT88" s="6">
        <v>0</v>
      </c>
      <c r="BU88" s="9"/>
    </row>
    <row r="89" spans="1:73" s="105" customFormat="1">
      <c r="A89" s="242"/>
      <c r="B89" s="243" t="s">
        <v>243</v>
      </c>
      <c r="J89" s="158"/>
      <c r="L89" s="144"/>
      <c r="M89" s="13"/>
      <c r="N89" s="244">
        <f>SUM(N37:N88)</f>
        <v>0</v>
      </c>
      <c r="O89" s="13"/>
      <c r="P89" s="244">
        <f>SUM(P37:P88)</f>
        <v>0</v>
      </c>
      <c r="Q89" s="13"/>
      <c r="R89" s="244">
        <f t="shared" ref="R89:AD89" si="20">R85+R80+R53+R46+R87</f>
        <v>50944642</v>
      </c>
      <c r="S89" s="244">
        <f t="shared" si="20"/>
        <v>0</v>
      </c>
      <c r="T89" s="244">
        <f t="shared" si="20"/>
        <v>0</v>
      </c>
      <c r="U89" s="244">
        <f t="shared" si="20"/>
        <v>0</v>
      </c>
      <c r="V89" s="244">
        <f t="shared" si="20"/>
        <v>0</v>
      </c>
      <c r="W89" s="244">
        <f t="shared" si="20"/>
        <v>0</v>
      </c>
      <c r="X89" s="244">
        <f t="shared" si="20"/>
        <v>0</v>
      </c>
      <c r="Y89" s="244">
        <f t="shared" si="20"/>
        <v>0</v>
      </c>
      <c r="Z89" s="244">
        <f t="shared" si="20"/>
        <v>0</v>
      </c>
      <c r="AA89" s="244">
        <f t="shared" si="20"/>
        <v>0</v>
      </c>
      <c r="AB89" s="244">
        <f t="shared" si="20"/>
        <v>0</v>
      </c>
      <c r="AC89" s="244">
        <f t="shared" si="20"/>
        <v>0</v>
      </c>
      <c r="AD89" s="244">
        <f t="shared" si="20"/>
        <v>0</v>
      </c>
      <c r="AE89" s="244"/>
      <c r="AF89" s="244">
        <f>AF85+AF80+AF53+AF46+AF87</f>
        <v>0</v>
      </c>
      <c r="AG89" s="244"/>
      <c r="AH89" s="244">
        <f>AH85+AH80+AH53+AH46+AH87</f>
        <v>0</v>
      </c>
      <c r="AI89" s="244"/>
      <c r="AJ89" s="244">
        <f t="shared" ref="AJ89:BU89" si="21">AJ85+AJ80+AJ53+AJ46+AJ87</f>
        <v>0</v>
      </c>
      <c r="AK89" s="244">
        <f t="shared" si="21"/>
        <v>0</v>
      </c>
      <c r="AL89" s="244">
        <f t="shared" si="21"/>
        <v>0</v>
      </c>
      <c r="AM89" s="244">
        <f t="shared" si="21"/>
        <v>0</v>
      </c>
      <c r="AN89" s="244">
        <f t="shared" si="21"/>
        <v>0</v>
      </c>
      <c r="AO89" s="244">
        <f t="shared" si="21"/>
        <v>0</v>
      </c>
      <c r="AP89" s="244">
        <f t="shared" si="21"/>
        <v>9438462</v>
      </c>
      <c r="AQ89" s="244">
        <f t="shared" si="21"/>
        <v>0</v>
      </c>
      <c r="AR89" s="244">
        <f t="shared" si="21"/>
        <v>10717074</v>
      </c>
      <c r="AS89" s="244">
        <f t="shared" si="21"/>
        <v>0</v>
      </c>
      <c r="AT89" s="244">
        <f t="shared" si="21"/>
        <v>744251</v>
      </c>
      <c r="AU89" s="244">
        <f t="shared" si="21"/>
        <v>0</v>
      </c>
      <c r="AV89" s="244">
        <f t="shared" si="21"/>
        <v>12922196</v>
      </c>
      <c r="AW89" s="244">
        <f t="shared" si="21"/>
        <v>0</v>
      </c>
      <c r="AX89" s="244">
        <f t="shared" si="21"/>
        <v>11527832</v>
      </c>
      <c r="AY89" s="244">
        <f t="shared" si="21"/>
        <v>0</v>
      </c>
      <c r="AZ89" s="244">
        <f t="shared" si="21"/>
        <v>19510321</v>
      </c>
      <c r="BA89" s="244">
        <f t="shared" si="21"/>
        <v>0</v>
      </c>
      <c r="BB89" s="244">
        <f t="shared" si="21"/>
        <v>0</v>
      </c>
      <c r="BC89" s="244"/>
      <c r="BD89" s="244">
        <f t="shared" si="21"/>
        <v>10907182</v>
      </c>
      <c r="BE89"/>
      <c r="BF89" s="244">
        <f t="shared" si="21"/>
        <v>977079</v>
      </c>
      <c r="BG89"/>
      <c r="BH89" s="244">
        <f t="shared" si="21"/>
        <v>0</v>
      </c>
      <c r="BI89"/>
      <c r="BJ89" s="244">
        <f t="shared" si="21"/>
        <v>0</v>
      </c>
      <c r="BK89"/>
      <c r="BL89" s="244">
        <f>BL85+BL80+BL53+BL46+BL87+BL86</f>
        <v>76744397</v>
      </c>
      <c r="BM89"/>
      <c r="BN89" s="244">
        <f t="shared" si="21"/>
        <v>25786223</v>
      </c>
      <c r="BO89"/>
      <c r="BP89" s="244">
        <f>BP85+BP80+BP53+BP46+BP87+BP86</f>
        <v>200291</v>
      </c>
      <c r="BQ89" s="244">
        <f t="shared" si="21"/>
        <v>0</v>
      </c>
      <c r="BR89" s="244">
        <f>BR85+BR80+BR53+BR46+BR87+BR86+BR88</f>
        <v>77113259</v>
      </c>
      <c r="BS89" s="244">
        <f t="shared" si="21"/>
        <v>0</v>
      </c>
      <c r="BT89" s="244">
        <f>BT85+BT80+BT53+BT46+BT87+BT86</f>
        <v>-26168617</v>
      </c>
      <c r="BU89" s="244">
        <f t="shared" si="21"/>
        <v>0</v>
      </c>
    </row>
    <row r="90" spans="1:73">
      <c r="A90" s="57"/>
      <c r="B90" s="17"/>
      <c r="C90"/>
      <c r="D90"/>
      <c r="E90"/>
      <c r="F90"/>
      <c r="G90"/>
      <c r="H90"/>
      <c r="I90"/>
      <c r="J90" s="49"/>
      <c r="K90"/>
      <c r="L90" s="134"/>
      <c r="M90" s="6"/>
      <c r="O90" s="6"/>
      <c r="Q90" s="6"/>
      <c r="S90" s="6"/>
      <c r="T90" s="6"/>
      <c r="U90" s="6"/>
      <c r="V90" s="6"/>
      <c r="X90" s="6"/>
      <c r="Z90" s="6"/>
      <c r="AB90" s="6"/>
      <c r="AD90" s="6"/>
      <c r="AI90"/>
      <c r="BJ90" s="6"/>
      <c r="BN90" s="6"/>
      <c r="BU90" s="6"/>
    </row>
    <row r="91" spans="1:73">
      <c r="A91" s="56" t="s">
        <v>227</v>
      </c>
      <c r="B91" s="11"/>
      <c r="C91"/>
      <c r="D91"/>
      <c r="E91"/>
      <c r="F91"/>
      <c r="G91"/>
      <c r="H91"/>
      <c r="I91"/>
      <c r="J91" s="49"/>
      <c r="K91"/>
      <c r="L91" s="134"/>
      <c r="M91" s="6"/>
      <c r="O91" s="6"/>
      <c r="Q91" s="6"/>
      <c r="S91" s="6"/>
      <c r="T91" s="6"/>
      <c r="U91" s="6"/>
      <c r="V91" s="6"/>
      <c r="X91" s="6"/>
      <c r="Z91" s="6"/>
      <c r="AB91" s="6"/>
      <c r="AD91" s="6"/>
      <c r="AI91"/>
      <c r="BJ91" s="6"/>
      <c r="BN91" s="6"/>
      <c r="BU91" s="6"/>
    </row>
    <row r="92" spans="1:73">
      <c r="A92" s="61"/>
      <c r="B92" s="17" t="s">
        <v>228</v>
      </c>
      <c r="C92"/>
      <c r="D92"/>
      <c r="E92"/>
      <c r="F92"/>
      <c r="G92"/>
      <c r="H92"/>
      <c r="I92"/>
      <c r="J92" s="49" t="s">
        <v>236</v>
      </c>
      <c r="K92"/>
      <c r="L92" s="134" t="s">
        <v>202</v>
      </c>
      <c r="M92" s="6"/>
      <c r="N92" s="6">
        <v>0</v>
      </c>
      <c r="O92" s="6"/>
      <c r="P92" s="6">
        <v>0</v>
      </c>
      <c r="Q92" s="6"/>
      <c r="R92" s="6">
        <v>935200</v>
      </c>
      <c r="S92" s="6"/>
      <c r="T92" s="6">
        <v>0</v>
      </c>
      <c r="U92" s="22"/>
      <c r="V92" s="6">
        <v>0</v>
      </c>
      <c r="W92" s="22"/>
      <c r="X92" s="6">
        <v>0</v>
      </c>
      <c r="Y92" s="22"/>
      <c r="Z92" s="6">
        <v>0</v>
      </c>
      <c r="AA92" s="22"/>
      <c r="AB92" s="6">
        <v>0</v>
      </c>
      <c r="AC92" s="22"/>
      <c r="AD92" s="6">
        <v>0</v>
      </c>
      <c r="AE92" s="22"/>
      <c r="AF92" s="6">
        <v>0</v>
      </c>
      <c r="AG92" s="22"/>
      <c r="AH92" s="6">
        <f>935200/12</f>
        <v>77933.333333333328</v>
      </c>
      <c r="AI92"/>
      <c r="AJ92" s="6">
        <v>77933.350000000006</v>
      </c>
      <c r="AL92" s="6">
        <v>77933</v>
      </c>
      <c r="AN92" s="6">
        <v>77933.33</v>
      </c>
      <c r="AO92" s="22"/>
      <c r="AP92" s="6">
        <v>82933.33</v>
      </c>
      <c r="AQ92" s="22"/>
      <c r="AR92" s="6">
        <v>77933.34</v>
      </c>
      <c r="AS92" s="22"/>
      <c r="AT92" s="6">
        <v>77933.33</v>
      </c>
      <c r="AV92" s="6">
        <v>77933.33</v>
      </c>
      <c r="AX92" s="6">
        <v>77933.33</v>
      </c>
      <c r="AZ92" s="6">
        <v>77933</v>
      </c>
      <c r="BB92" s="6">
        <v>77933.33</v>
      </c>
      <c r="BD92" s="6">
        <v>77933.33</v>
      </c>
      <c r="BH92" s="6">
        <v>0</v>
      </c>
      <c r="BJ92" s="6">
        <v>0</v>
      </c>
      <c r="BL92" s="6">
        <f t="shared" ref="BL92:BL97" si="22">SUM(T92:BK92)</f>
        <v>940199.33333333314</v>
      </c>
      <c r="BN92" s="6">
        <f>5000-1</f>
        <v>4999</v>
      </c>
      <c r="BP92" s="6">
        <f t="shared" ref="BP92:BP98" si="23">IF(+R92-BL92+BN92&gt;0,R92-BL92+BN92,0)</f>
        <v>0</v>
      </c>
      <c r="BR92" s="6">
        <f t="shared" ref="BR92:BR97" si="24">+BL92+BP92</f>
        <v>940199.33333333314</v>
      </c>
      <c r="BT92" s="6">
        <f t="shared" ref="BT92:BT97" si="25">+R92-BR92</f>
        <v>-4999.3333333331393</v>
      </c>
      <c r="BU92" s="6"/>
    </row>
    <row r="93" spans="1:73">
      <c r="A93" s="61"/>
      <c r="B93" s="17" t="s">
        <v>230</v>
      </c>
      <c r="C93"/>
      <c r="D93"/>
      <c r="E93"/>
      <c r="F93"/>
      <c r="G93"/>
      <c r="H93"/>
      <c r="I93"/>
      <c r="J93" s="49" t="s">
        <v>230</v>
      </c>
      <c r="K93"/>
      <c r="L93" s="134" t="s">
        <v>202</v>
      </c>
      <c r="M93" s="6"/>
      <c r="N93" s="6">
        <v>0</v>
      </c>
      <c r="O93" s="6"/>
      <c r="P93" s="6">
        <v>0</v>
      </c>
      <c r="Q93" s="6"/>
      <c r="R93" s="6">
        <v>2824800</v>
      </c>
      <c r="S93" s="6"/>
      <c r="T93" s="6">
        <v>0</v>
      </c>
      <c r="U93" s="22"/>
      <c r="V93" s="6">
        <v>0</v>
      </c>
      <c r="W93" s="22"/>
      <c r="X93" s="6">
        <v>0</v>
      </c>
      <c r="Y93" s="22"/>
      <c r="Z93" s="6">
        <v>0</v>
      </c>
      <c r="AA93" s="22"/>
      <c r="AB93" s="6">
        <v>0</v>
      </c>
      <c r="AC93" s="22"/>
      <c r="AD93" s="6">
        <v>0</v>
      </c>
      <c r="AE93" s="22"/>
      <c r="AF93" s="6">
        <v>0</v>
      </c>
      <c r="AG93" s="22"/>
      <c r="AH93" s="6">
        <f>2824800/12</f>
        <v>235400</v>
      </c>
      <c r="AI93"/>
      <c r="AJ93" s="6">
        <v>235400</v>
      </c>
      <c r="AL93" s="6">
        <v>235399</v>
      </c>
      <c r="AN93" s="6">
        <v>235399</v>
      </c>
      <c r="AO93" s="22"/>
      <c r="AP93" s="6">
        <v>235399</v>
      </c>
      <c r="AQ93" s="22"/>
      <c r="AR93" s="6">
        <v>235398</v>
      </c>
      <c r="AS93" s="22"/>
      <c r="AT93" s="6">
        <v>235399</v>
      </c>
      <c r="AV93" s="6">
        <v>235400</v>
      </c>
      <c r="AX93" s="6">
        <v>235400</v>
      </c>
      <c r="AZ93" s="6">
        <v>235400</v>
      </c>
      <c r="BB93" s="6">
        <v>235400</v>
      </c>
      <c r="BD93" s="6">
        <v>235398</v>
      </c>
      <c r="BH93" s="6">
        <v>0</v>
      </c>
      <c r="BJ93" s="6">
        <v>0</v>
      </c>
      <c r="BL93" s="6">
        <f t="shared" si="22"/>
        <v>2824792</v>
      </c>
      <c r="BN93" s="6">
        <v>-8</v>
      </c>
      <c r="BP93" s="6">
        <f t="shared" si="23"/>
        <v>0</v>
      </c>
      <c r="BR93" s="6">
        <f t="shared" si="24"/>
        <v>2824792</v>
      </c>
      <c r="BT93" s="6">
        <f t="shared" si="25"/>
        <v>8</v>
      </c>
      <c r="BU93" s="6"/>
    </row>
    <row r="94" spans="1:73">
      <c r="A94" s="61"/>
      <c r="B94" s="17" t="s">
        <v>231</v>
      </c>
      <c r="C94"/>
      <c r="D94"/>
      <c r="E94"/>
      <c r="F94"/>
      <c r="G94"/>
      <c r="H94"/>
      <c r="I94"/>
      <c r="J94" s="49" t="s">
        <v>236</v>
      </c>
      <c r="K94"/>
      <c r="L94" s="134" t="s">
        <v>202</v>
      </c>
      <c r="M94" s="6"/>
      <c r="N94" s="6">
        <v>0</v>
      </c>
      <c r="O94" s="6"/>
      <c r="P94" s="6">
        <v>0</v>
      </c>
      <c r="Q94" s="6"/>
      <c r="R94" s="6">
        <v>0</v>
      </c>
      <c r="S94" s="6"/>
      <c r="T94" s="6">
        <v>0</v>
      </c>
      <c r="U94" s="22"/>
      <c r="V94" s="6">
        <v>0</v>
      </c>
      <c r="W94" s="22"/>
      <c r="X94" s="6">
        <v>0</v>
      </c>
      <c r="Y94" s="22"/>
      <c r="Z94" s="6">
        <v>0</v>
      </c>
      <c r="AA94" s="22"/>
      <c r="AB94" s="6">
        <v>0</v>
      </c>
      <c r="AC94" s="22"/>
      <c r="AD94" s="6">
        <v>0</v>
      </c>
      <c r="AE94" s="22"/>
      <c r="AF94" s="6">
        <v>0</v>
      </c>
      <c r="AG94" s="22"/>
      <c r="AH94" s="6">
        <v>0</v>
      </c>
      <c r="AI94"/>
      <c r="AJ94" s="6">
        <v>0</v>
      </c>
      <c r="AL94" s="228">
        <v>0</v>
      </c>
      <c r="AN94" s="6">
        <v>0</v>
      </c>
      <c r="AO94" s="22"/>
      <c r="AP94" s="6">
        <v>0</v>
      </c>
      <c r="AQ94" s="22"/>
      <c r="AR94" s="6">
        <v>0</v>
      </c>
      <c r="AS94" s="22"/>
      <c r="AT94" s="6">
        <v>0</v>
      </c>
      <c r="AV94" s="6">
        <v>0</v>
      </c>
      <c r="AX94" s="6">
        <v>0</v>
      </c>
      <c r="AZ94" s="6">
        <v>0</v>
      </c>
      <c r="BB94" s="6">
        <v>0</v>
      </c>
      <c r="BD94" s="6">
        <v>0</v>
      </c>
      <c r="BF94" s="6">
        <v>0</v>
      </c>
      <c r="BH94" s="6">
        <v>0</v>
      </c>
      <c r="BJ94" s="6">
        <v>0</v>
      </c>
      <c r="BL94" s="6">
        <f t="shared" si="22"/>
        <v>0</v>
      </c>
      <c r="BN94" s="6">
        <v>0</v>
      </c>
      <c r="BP94" s="6">
        <f t="shared" si="23"/>
        <v>0</v>
      </c>
      <c r="BR94" s="6">
        <f t="shared" si="24"/>
        <v>0</v>
      </c>
      <c r="BT94" s="6">
        <f t="shared" si="25"/>
        <v>0</v>
      </c>
      <c r="BU94" s="6"/>
    </row>
    <row r="95" spans="1:73">
      <c r="A95" s="61"/>
      <c r="B95" s="17" t="s">
        <v>232</v>
      </c>
      <c r="C95"/>
      <c r="D95"/>
      <c r="E95"/>
      <c r="F95"/>
      <c r="G95"/>
      <c r="H95"/>
      <c r="I95"/>
      <c r="J95" s="49" t="s">
        <v>236</v>
      </c>
      <c r="K95"/>
      <c r="L95" s="134" t="s">
        <v>202</v>
      </c>
      <c r="M95" s="6"/>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L95" s="12">
        <v>0</v>
      </c>
      <c r="AN95" s="12">
        <v>0</v>
      </c>
      <c r="AO95" s="80"/>
      <c r="AP95" s="12">
        <v>0</v>
      </c>
      <c r="AQ95" s="80"/>
      <c r="AR95" s="12">
        <v>0</v>
      </c>
      <c r="AS95" s="80"/>
      <c r="AT95" s="12">
        <v>0</v>
      </c>
      <c r="AU95" s="12"/>
      <c r="AV95" s="12">
        <v>0</v>
      </c>
      <c r="AW95" s="12"/>
      <c r="AX95" s="12">
        <v>0</v>
      </c>
      <c r="AY95" s="12"/>
      <c r="AZ95" s="12">
        <v>0</v>
      </c>
      <c r="BA95" s="12"/>
      <c r="BB95" s="12">
        <v>0</v>
      </c>
      <c r="BC95" s="12"/>
      <c r="BD95" s="12">
        <v>0</v>
      </c>
      <c r="BF95" s="12">
        <v>0</v>
      </c>
      <c r="BH95" s="12">
        <v>0</v>
      </c>
      <c r="BJ95" s="12">
        <v>0</v>
      </c>
      <c r="BL95" s="12">
        <f t="shared" si="22"/>
        <v>0</v>
      </c>
      <c r="BN95" s="12">
        <v>0</v>
      </c>
      <c r="BP95" s="6">
        <f t="shared" si="23"/>
        <v>0</v>
      </c>
      <c r="BQ95" s="12"/>
      <c r="BR95" s="6">
        <f t="shared" si="24"/>
        <v>0</v>
      </c>
      <c r="BS95" s="12"/>
      <c r="BT95" s="6">
        <f t="shared" si="25"/>
        <v>0</v>
      </c>
      <c r="BU95" s="12"/>
    </row>
    <row r="96" spans="1:73" s="11" customFormat="1">
      <c r="A96" s="17"/>
      <c r="B96" s="17" t="s">
        <v>233</v>
      </c>
      <c r="C96" s="30"/>
      <c r="D96" s="30"/>
      <c r="E96" s="30"/>
      <c r="F96" s="30"/>
      <c r="G96" s="30"/>
      <c r="H96" s="30"/>
      <c r="I96" s="30"/>
      <c r="J96" s="156" t="s">
        <v>236</v>
      </c>
      <c r="K96" s="30"/>
      <c r="L96" s="134" t="s">
        <v>202</v>
      </c>
      <c r="M96" s="12"/>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K96"/>
      <c r="AL96" s="12">
        <v>0</v>
      </c>
      <c r="AM96"/>
      <c r="AN96" s="12">
        <v>0</v>
      </c>
      <c r="AO96" s="80"/>
      <c r="AP96" s="12">
        <v>0</v>
      </c>
      <c r="AQ96" s="80"/>
      <c r="AR96" s="12">
        <v>0</v>
      </c>
      <c r="AS96" s="80"/>
      <c r="AT96" s="12">
        <v>0</v>
      </c>
      <c r="AU96" s="12"/>
      <c r="AV96" s="12">
        <v>0</v>
      </c>
      <c r="AW96" s="12"/>
      <c r="AX96" s="12">
        <v>0</v>
      </c>
      <c r="AY96" s="12"/>
      <c r="AZ96" s="12">
        <v>0</v>
      </c>
      <c r="BA96" s="12"/>
      <c r="BB96" s="12">
        <v>0</v>
      </c>
      <c r="BC96" s="12"/>
      <c r="BD96" s="12">
        <v>0</v>
      </c>
      <c r="BE96"/>
      <c r="BF96" s="12">
        <v>0</v>
      </c>
      <c r="BG96"/>
      <c r="BH96" s="12">
        <v>0</v>
      </c>
      <c r="BI96"/>
      <c r="BJ96" s="12">
        <v>0</v>
      </c>
      <c r="BK96"/>
      <c r="BL96" s="12">
        <f t="shared" si="22"/>
        <v>0</v>
      </c>
      <c r="BM96"/>
      <c r="BN96" s="12">
        <v>0</v>
      </c>
      <c r="BO96"/>
      <c r="BP96" s="6">
        <f t="shared" si="23"/>
        <v>0</v>
      </c>
      <c r="BQ96" s="12"/>
      <c r="BR96" s="6">
        <f t="shared" si="24"/>
        <v>0</v>
      </c>
      <c r="BS96" s="12"/>
      <c r="BT96" s="6">
        <f t="shared" si="25"/>
        <v>0</v>
      </c>
      <c r="BU96" s="12"/>
    </row>
    <row r="97" spans="1:73">
      <c r="A97" s="61"/>
      <c r="B97" s="17" t="s">
        <v>121</v>
      </c>
      <c r="C97"/>
      <c r="D97"/>
      <c r="E97"/>
      <c r="F97"/>
      <c r="G97"/>
      <c r="H97"/>
      <c r="I97"/>
      <c r="J97" s="49"/>
      <c r="K97"/>
      <c r="L97" s="134" t="s">
        <v>202</v>
      </c>
      <c r="M97" s="6"/>
      <c r="N97" s="12">
        <v>0</v>
      </c>
      <c r="O97" s="12"/>
      <c r="P97" s="12">
        <v>0</v>
      </c>
      <c r="Q97" s="12"/>
      <c r="R97" s="6">
        <f>+N97+P97</f>
        <v>0</v>
      </c>
      <c r="S97" s="12"/>
      <c r="T97" s="12">
        <v>0</v>
      </c>
      <c r="U97" s="80"/>
      <c r="V97" s="12">
        <v>0</v>
      </c>
      <c r="W97" s="80"/>
      <c r="X97" s="12">
        <v>0</v>
      </c>
      <c r="Y97" s="80"/>
      <c r="Z97" s="12">
        <v>0</v>
      </c>
      <c r="AA97" s="80"/>
      <c r="AB97" s="12">
        <v>0</v>
      </c>
      <c r="AC97" s="80"/>
      <c r="AD97" s="12">
        <v>0</v>
      </c>
      <c r="AE97" s="80"/>
      <c r="AF97" s="12">
        <v>0</v>
      </c>
      <c r="AG97" s="80"/>
      <c r="AH97" s="12">
        <v>0</v>
      </c>
      <c r="AI97"/>
      <c r="AJ97" s="12">
        <v>0</v>
      </c>
      <c r="AL97" s="12">
        <v>0</v>
      </c>
      <c r="AN97" s="12">
        <v>0</v>
      </c>
      <c r="AO97" s="80"/>
      <c r="AP97" s="12">
        <v>0</v>
      </c>
      <c r="AQ97" s="80"/>
      <c r="AR97" s="12">
        <v>0</v>
      </c>
      <c r="AS97" s="80"/>
      <c r="AT97" s="12">
        <v>0</v>
      </c>
      <c r="AU97" s="12"/>
      <c r="AV97" s="12">
        <v>0</v>
      </c>
      <c r="AW97" s="12"/>
      <c r="AX97" s="12">
        <v>0</v>
      </c>
      <c r="AY97" s="12"/>
      <c r="AZ97" s="12">
        <v>0</v>
      </c>
      <c r="BA97" s="12"/>
      <c r="BB97" s="12">
        <v>0</v>
      </c>
      <c r="BC97" s="12"/>
      <c r="BD97" s="12">
        <v>0</v>
      </c>
      <c r="BF97" s="12">
        <v>0</v>
      </c>
      <c r="BH97" s="12">
        <v>0</v>
      </c>
      <c r="BJ97" s="12">
        <v>0</v>
      </c>
      <c r="BL97" s="12">
        <f t="shared" si="22"/>
        <v>0</v>
      </c>
      <c r="BN97" s="12">
        <v>0</v>
      </c>
      <c r="BP97" s="6">
        <f t="shared" si="23"/>
        <v>0</v>
      </c>
      <c r="BQ97" s="12"/>
      <c r="BR97" s="6">
        <f t="shared" si="24"/>
        <v>0</v>
      </c>
      <c r="BS97" s="12"/>
      <c r="BT97" s="6">
        <f t="shared" si="25"/>
        <v>0</v>
      </c>
      <c r="BU97" s="12"/>
    </row>
    <row r="98" spans="1:73">
      <c r="A98" s="61"/>
      <c r="B98" s="17"/>
      <c r="C98"/>
      <c r="D98"/>
      <c r="E98"/>
      <c r="F98"/>
      <c r="G98"/>
      <c r="H98"/>
      <c r="I98"/>
      <c r="J98" s="49"/>
      <c r="K98"/>
      <c r="L98" s="134"/>
      <c r="M98" s="6"/>
      <c r="N98" s="12"/>
      <c r="O98" s="12"/>
      <c r="P98" s="12"/>
      <c r="Q98" s="12"/>
      <c r="R98" s="12"/>
      <c r="S98" s="12"/>
      <c r="T98" s="12"/>
      <c r="U98" s="80"/>
      <c r="V98" s="12"/>
      <c r="W98" s="80"/>
      <c r="X98" s="12"/>
      <c r="Y98" s="80"/>
      <c r="Z98" s="12"/>
      <c r="AA98" s="80"/>
      <c r="AB98" s="12"/>
      <c r="AC98" s="80"/>
      <c r="AD98" s="12"/>
      <c r="AE98" s="80"/>
      <c r="AF98" s="12"/>
      <c r="AG98" s="80"/>
      <c r="AH98" s="12"/>
      <c r="AI98"/>
      <c r="AJ98" s="12"/>
      <c r="AL98" s="12"/>
      <c r="AN98" s="12"/>
      <c r="AO98" s="80"/>
      <c r="AP98" s="12"/>
      <c r="AQ98" s="80"/>
      <c r="AR98" s="12"/>
      <c r="AS98" s="80"/>
      <c r="AT98" s="12"/>
      <c r="AU98" s="12"/>
      <c r="AV98" s="12"/>
      <c r="AW98" s="12"/>
      <c r="AX98" s="12"/>
      <c r="AY98" s="12"/>
      <c r="AZ98" s="12"/>
      <c r="BA98" s="12"/>
      <c r="BB98" s="12"/>
      <c r="BC98" s="12"/>
      <c r="BD98" s="12"/>
      <c r="BF98" s="12"/>
      <c r="BH98" s="12"/>
      <c r="BJ98" s="12"/>
      <c r="BL98" s="12"/>
      <c r="BN98" s="12"/>
      <c r="BP98" s="6">
        <f t="shared" si="23"/>
        <v>0</v>
      </c>
      <c r="BQ98" s="12"/>
      <c r="BR98" s="12"/>
      <c r="BS98" s="12"/>
      <c r="BT98" s="12"/>
      <c r="BU98" s="12"/>
    </row>
    <row r="99" spans="1:73" s="114" customFormat="1">
      <c r="A99" s="112"/>
      <c r="B99" s="113" t="s">
        <v>244</v>
      </c>
      <c r="J99" s="157"/>
      <c r="L99" s="142"/>
      <c r="M99" s="115"/>
      <c r="N99" s="116">
        <f>SUM(N92:N98)</f>
        <v>0</v>
      </c>
      <c r="O99" s="115"/>
      <c r="P99" s="116">
        <f>SUM(P92:P98)</f>
        <v>0</v>
      </c>
      <c r="Q99" s="115"/>
      <c r="R99" s="116">
        <f>SUM(R92:R98)</f>
        <v>3760000</v>
      </c>
      <c r="S99" s="115"/>
      <c r="T99" s="116">
        <f>SUM(T92:T98)</f>
        <v>0</v>
      </c>
      <c r="U99" s="115"/>
      <c r="V99" s="116">
        <f>SUM(V92:V98)</f>
        <v>0</v>
      </c>
      <c r="W99" s="115"/>
      <c r="X99" s="116">
        <f>SUM(X92:X98)</f>
        <v>0</v>
      </c>
      <c r="Y99" s="115"/>
      <c r="Z99" s="116">
        <f>SUM(Z92:Z98)</f>
        <v>0</v>
      </c>
      <c r="AA99" s="115"/>
      <c r="AB99" s="116">
        <f>SUM(AB92:AB98)</f>
        <v>0</v>
      </c>
      <c r="AC99" s="115"/>
      <c r="AD99" s="116">
        <f>SUM(AD92:AD98)</f>
        <v>0</v>
      </c>
      <c r="AE99" s="115"/>
      <c r="AF99" s="116">
        <f>SUM(AF92:AF98)</f>
        <v>0</v>
      </c>
      <c r="AG99" s="115"/>
      <c r="AH99" s="116">
        <f>SUM(AH92:AH98)</f>
        <v>313333.33333333331</v>
      </c>
      <c r="AI99"/>
      <c r="AJ99" s="116">
        <f>SUM(AJ92:AJ98)</f>
        <v>313333.34999999998</v>
      </c>
      <c r="AK99"/>
      <c r="AL99" s="116">
        <f>SUM(AL92:AL98)</f>
        <v>313332</v>
      </c>
      <c r="AM99"/>
      <c r="AN99" s="116">
        <f>SUM(AN92:AN98)</f>
        <v>313332.33</v>
      </c>
      <c r="AO99" s="115"/>
      <c r="AP99" s="116">
        <f>SUM(AP92:AP98)</f>
        <v>318332.33</v>
      </c>
      <c r="AQ99" s="115"/>
      <c r="AR99" s="116">
        <f>SUM(AR92:AR98)</f>
        <v>313331.33999999997</v>
      </c>
      <c r="AS99" s="115"/>
      <c r="AT99" s="116">
        <f>SUM(AT92:AT98)</f>
        <v>313332.33</v>
      </c>
      <c r="AU99" s="117"/>
      <c r="AV99" s="116">
        <f>SUM(AV92:AV98)</f>
        <v>313333.33</v>
      </c>
      <c r="AW99" s="117"/>
      <c r="AX99" s="116">
        <f>SUM(AX92:AX98)</f>
        <v>313333.33</v>
      </c>
      <c r="AY99" s="117"/>
      <c r="AZ99" s="116">
        <f>SUM(AZ92:AZ98)</f>
        <v>313333</v>
      </c>
      <c r="BA99" s="117"/>
      <c r="BB99" s="116">
        <f>SUM(BB92:BB98)</f>
        <v>313333.33</v>
      </c>
      <c r="BC99" s="117"/>
      <c r="BD99" s="116">
        <f>SUM(BD92:BD98)</f>
        <v>313331.33</v>
      </c>
      <c r="BE99"/>
      <c r="BF99" s="116">
        <f>SUM(BF92:BF98)</f>
        <v>0</v>
      </c>
      <c r="BG99"/>
      <c r="BH99" s="116">
        <f>SUM(BH92:BH98)</f>
        <v>0</v>
      </c>
      <c r="BI99"/>
      <c r="BJ99" s="116">
        <f>SUM(BJ92:BJ98)</f>
        <v>0</v>
      </c>
      <c r="BK99"/>
      <c r="BL99" s="116">
        <f>SUM(BL92:BL98)</f>
        <v>3764991.333333333</v>
      </c>
      <c r="BM99"/>
      <c r="BN99" s="116">
        <f>SUM(BN92:BN98)</f>
        <v>4991</v>
      </c>
      <c r="BO99"/>
      <c r="BP99" s="116">
        <f>SUM(BP92:BP98)</f>
        <v>0</v>
      </c>
      <c r="BQ99" s="115"/>
      <c r="BR99" s="116">
        <f>SUM(BR92:BR98)</f>
        <v>3764991.333333333</v>
      </c>
      <c r="BS99" s="115"/>
      <c r="BT99" s="116">
        <f>SUM(BT92:BT98)</f>
        <v>-4991.3333333331393</v>
      </c>
      <c r="BU99" s="117"/>
    </row>
    <row r="100" spans="1:73" customFormat="1"/>
    <row r="101" spans="1:73" s="15" customFormat="1">
      <c r="A101" s="62" t="s">
        <v>242</v>
      </c>
      <c r="B101" s="17"/>
      <c r="C101"/>
      <c r="D101"/>
      <c r="E101"/>
      <c r="F101"/>
      <c r="G101"/>
      <c r="H101"/>
      <c r="I101"/>
      <c r="J101" s="49"/>
      <c r="K101"/>
      <c r="L101" s="134" t="s">
        <v>202</v>
      </c>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c r="AJ101" s="22"/>
      <c r="AK101"/>
      <c r="AL101" s="22"/>
      <c r="AM101"/>
      <c r="AN101" s="22"/>
      <c r="AO101" s="22"/>
      <c r="AP101" s="22"/>
      <c r="AQ101" s="22"/>
      <c r="AR101" s="22"/>
      <c r="AS101" s="22"/>
      <c r="AT101" s="22"/>
      <c r="AU101" s="22"/>
      <c r="AV101" s="22"/>
      <c r="AW101" s="22"/>
      <c r="AX101" s="22"/>
      <c r="AY101" s="22"/>
      <c r="AZ101" s="22"/>
      <c r="BA101" s="22"/>
      <c r="BB101" s="22"/>
      <c r="BC101" s="22"/>
      <c r="BD101" s="22"/>
      <c r="BE101"/>
      <c r="BF101" s="22"/>
      <c r="BG101"/>
      <c r="BH101" s="22"/>
      <c r="BI101"/>
      <c r="BJ101" s="22"/>
      <c r="BK101"/>
      <c r="BL101" s="22"/>
      <c r="BM101"/>
      <c r="BN101" s="22"/>
      <c r="BO101"/>
      <c r="BP101" s="22"/>
      <c r="BQ101" s="22"/>
      <c r="BR101" s="22"/>
      <c r="BS101" s="22"/>
      <c r="BT101" s="22"/>
      <c r="BU101" s="22"/>
    </row>
    <row r="102" spans="1:73" s="15" customFormat="1">
      <c r="A102" s="62"/>
      <c r="B102" s="17" t="s">
        <v>255</v>
      </c>
      <c r="C102"/>
      <c r="D102"/>
      <c r="E102"/>
      <c r="F102"/>
      <c r="G102"/>
      <c r="H102"/>
      <c r="I102"/>
      <c r="J102" s="49" t="s">
        <v>0</v>
      </c>
      <c r="K102"/>
      <c r="L102" s="134" t="s">
        <v>202</v>
      </c>
      <c r="M102" s="22"/>
      <c r="N102" s="22">
        <v>0</v>
      </c>
      <c r="O102" s="22"/>
      <c r="P102" s="22">
        <v>0</v>
      </c>
      <c r="Q102" s="22"/>
      <c r="R102" s="6">
        <v>9479079</v>
      </c>
      <c r="S102" s="22"/>
      <c r="T102" s="22">
        <v>0</v>
      </c>
      <c r="U102" s="22"/>
      <c r="V102" s="22">
        <v>0</v>
      </c>
      <c r="W102" s="22"/>
      <c r="X102" s="22">
        <v>0</v>
      </c>
      <c r="Y102" s="22"/>
      <c r="Z102" s="22">
        <v>0</v>
      </c>
      <c r="AA102" s="22"/>
      <c r="AB102" s="22">
        <v>0</v>
      </c>
      <c r="AC102" s="22"/>
      <c r="AD102" s="22">
        <v>0</v>
      </c>
      <c r="AE102" s="22"/>
      <c r="AF102" s="22">
        <v>815280</v>
      </c>
      <c r="AG102" s="22"/>
      <c r="AH102" s="22">
        <v>2025875.7</v>
      </c>
      <c r="AI102"/>
      <c r="AJ102" s="22">
        <v>0</v>
      </c>
      <c r="AK102"/>
      <c r="AL102" s="22">
        <v>0</v>
      </c>
      <c r="AM102"/>
      <c r="AN102" s="22">
        <v>1894103.8</v>
      </c>
      <c r="AO102" s="22"/>
      <c r="AP102" s="22">
        <v>0</v>
      </c>
      <c r="AQ102" s="22"/>
      <c r="AR102" s="22">
        <v>0</v>
      </c>
      <c r="AS102" s="22"/>
      <c r="AT102" s="22">
        <v>0</v>
      </c>
      <c r="AU102" s="22"/>
      <c r="AV102" s="22">
        <v>1183814.8799999999</v>
      </c>
      <c r="AW102" s="22"/>
      <c r="AX102" s="22">
        <v>2943550.62</v>
      </c>
      <c r="AY102" s="22"/>
      <c r="AZ102" s="22">
        <v>0</v>
      </c>
      <c r="BA102" s="22"/>
      <c r="BB102" s="22">
        <v>0</v>
      </c>
      <c r="BC102" s="22"/>
      <c r="BD102" s="22">
        <v>0</v>
      </c>
      <c r="BE102"/>
      <c r="BF102" s="22">
        <v>0</v>
      </c>
      <c r="BG102"/>
      <c r="BH102" s="22">
        <v>0</v>
      </c>
      <c r="BI102"/>
      <c r="BJ102" s="22">
        <v>0</v>
      </c>
      <c r="BK102"/>
      <c r="BL102" s="22">
        <f>SUM(T102:BK102)</f>
        <v>8862625</v>
      </c>
      <c r="BM102"/>
      <c r="BN102" s="22">
        <v>440</v>
      </c>
      <c r="BO102"/>
      <c r="BP102" s="6">
        <f t="shared" ref="BP102:BP107" si="26">IF(+R102-BL102+BN102&gt;0,R102-BL102+BN102,0)</f>
        <v>616894</v>
      </c>
      <c r="BQ102" s="22"/>
      <c r="BR102" s="6">
        <f>+BL102+BP102</f>
        <v>9479519</v>
      </c>
      <c r="BS102" s="22"/>
      <c r="BT102" s="6">
        <f>+R102-BR102</f>
        <v>-440</v>
      </c>
      <c r="BU102" s="22"/>
    </row>
    <row r="103" spans="1:73" s="15" customFormat="1">
      <c r="A103" s="62"/>
      <c r="B103" s="17" t="s">
        <v>256</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c r="BF103" s="22">
        <v>0</v>
      </c>
      <c r="BG103"/>
      <c r="BH103" s="22">
        <v>0</v>
      </c>
      <c r="BI103"/>
      <c r="BJ103" s="22">
        <v>0</v>
      </c>
      <c r="BK103"/>
      <c r="BL103" s="22">
        <f>SUM(T103:BK103)</f>
        <v>0</v>
      </c>
      <c r="BM103"/>
      <c r="BN103" s="22">
        <v>0</v>
      </c>
      <c r="BO103"/>
      <c r="BP103" s="6">
        <f t="shared" si="26"/>
        <v>0</v>
      </c>
      <c r="BQ103" s="22"/>
      <c r="BR103" s="6">
        <f>+BL103+BP103</f>
        <v>0</v>
      </c>
      <c r="BS103" s="22"/>
      <c r="BT103" s="6">
        <f>+R103-BR103</f>
        <v>0</v>
      </c>
      <c r="BU103" s="22"/>
    </row>
    <row r="104" spans="1:73" s="15" customFormat="1">
      <c r="A104" s="57"/>
      <c r="B104" s="17" t="s">
        <v>257</v>
      </c>
      <c r="C104"/>
      <c r="D104"/>
      <c r="E104"/>
      <c r="F104"/>
      <c r="G104"/>
      <c r="H104"/>
      <c r="I104"/>
      <c r="J104" s="49" t="s">
        <v>0</v>
      </c>
      <c r="K104"/>
      <c r="L104" s="134" t="s">
        <v>202</v>
      </c>
      <c r="M104" s="22"/>
      <c r="N104" s="22">
        <v>0</v>
      </c>
      <c r="O104" s="22"/>
      <c r="P104" s="22">
        <v>0</v>
      </c>
      <c r="Q104" s="22"/>
      <c r="R104" s="6">
        <v>0</v>
      </c>
      <c r="S104" s="22"/>
      <c r="T104" s="22">
        <v>0</v>
      </c>
      <c r="U104" s="22"/>
      <c r="V104" s="22">
        <v>0</v>
      </c>
      <c r="W104" s="22"/>
      <c r="X104" s="22">
        <v>0</v>
      </c>
      <c r="Y104" s="22"/>
      <c r="Z104" s="22">
        <v>0</v>
      </c>
      <c r="AA104" s="22"/>
      <c r="AB104" s="22">
        <v>0</v>
      </c>
      <c r="AC104" s="22"/>
      <c r="AD104" s="22">
        <v>0</v>
      </c>
      <c r="AE104" s="22"/>
      <c r="AF104" s="22">
        <v>0</v>
      </c>
      <c r="AG104" s="22"/>
      <c r="AH104" s="22">
        <v>0</v>
      </c>
      <c r="AI104"/>
      <c r="AJ104" s="22">
        <v>0</v>
      </c>
      <c r="AK104"/>
      <c r="AL104" s="22">
        <v>0</v>
      </c>
      <c r="AM104"/>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c r="BF104" s="22">
        <v>0</v>
      </c>
      <c r="BG104"/>
      <c r="BH104" s="22">
        <v>0</v>
      </c>
      <c r="BI104"/>
      <c r="BJ104" s="22">
        <v>0</v>
      </c>
      <c r="BK104"/>
      <c r="BL104" s="22">
        <f>SUM(T104:BK104)</f>
        <v>0</v>
      </c>
      <c r="BM104"/>
      <c r="BN104" s="22">
        <v>0</v>
      </c>
      <c r="BO104"/>
      <c r="BP104" s="6">
        <f t="shared" si="26"/>
        <v>0</v>
      </c>
      <c r="BQ104" s="22"/>
      <c r="BR104" s="6">
        <f>+BL104+BP104</f>
        <v>0</v>
      </c>
      <c r="BS104" s="22"/>
      <c r="BT104" s="6">
        <f>+R104-BR104</f>
        <v>0</v>
      </c>
      <c r="BU104" s="22"/>
    </row>
    <row r="105" spans="1:73" s="109" customFormat="1">
      <c r="A105" s="100"/>
      <c r="B105" s="17" t="s">
        <v>258</v>
      </c>
      <c r="C105" s="30"/>
      <c r="D105" s="30"/>
      <c r="E105" s="30"/>
      <c r="F105" s="30"/>
      <c r="G105" s="30"/>
      <c r="H105" s="30"/>
      <c r="I105" s="30"/>
      <c r="J105" s="49" t="s">
        <v>0</v>
      </c>
      <c r="K105" s="30"/>
      <c r="L105" s="134" t="s">
        <v>202</v>
      </c>
      <c r="M105" s="80"/>
      <c r="N105" s="80">
        <v>0</v>
      </c>
      <c r="O105" s="80"/>
      <c r="P105" s="80">
        <v>0</v>
      </c>
      <c r="Q105" s="80"/>
      <c r="R105" s="6">
        <v>0</v>
      </c>
      <c r="S105" s="80"/>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c r="BF105" s="80">
        <v>0</v>
      </c>
      <c r="BG105"/>
      <c r="BH105" s="80">
        <v>0</v>
      </c>
      <c r="BI105"/>
      <c r="BJ105" s="80">
        <v>0</v>
      </c>
      <c r="BK105"/>
      <c r="BL105" s="80">
        <f>SUM(T105:BK105)</f>
        <v>0</v>
      </c>
      <c r="BM105"/>
      <c r="BN105" s="80">
        <v>0</v>
      </c>
      <c r="BO105"/>
      <c r="BP105" s="6">
        <f t="shared" si="26"/>
        <v>0</v>
      </c>
      <c r="BQ105" s="80"/>
      <c r="BR105" s="6">
        <f>+BL105+BP105</f>
        <v>0</v>
      </c>
      <c r="BS105" s="80"/>
      <c r="BT105" s="6">
        <f>+R105-BR105</f>
        <v>0</v>
      </c>
      <c r="BU105" s="80"/>
    </row>
    <row r="106" spans="1:73" s="15" customFormat="1">
      <c r="A106" s="57"/>
      <c r="B106" s="17" t="s">
        <v>259</v>
      </c>
      <c r="C106"/>
      <c r="D106"/>
      <c r="E106"/>
      <c r="F106"/>
      <c r="G106"/>
      <c r="H106"/>
      <c r="I106"/>
      <c r="J106" s="49" t="s">
        <v>0</v>
      </c>
      <c r="K106"/>
      <c r="L106" s="134" t="s">
        <v>202</v>
      </c>
      <c r="M106" s="22"/>
      <c r="N106" s="80">
        <v>0</v>
      </c>
      <c r="O106" s="22"/>
      <c r="P106" s="80">
        <v>0</v>
      </c>
      <c r="Q106" s="22"/>
      <c r="R106" s="6">
        <v>0</v>
      </c>
      <c r="S106" s="22"/>
      <c r="T106" s="80">
        <v>0</v>
      </c>
      <c r="U106" s="80"/>
      <c r="V106" s="80">
        <v>0</v>
      </c>
      <c r="W106" s="80"/>
      <c r="X106" s="80">
        <v>0</v>
      </c>
      <c r="Y106" s="80"/>
      <c r="Z106" s="80">
        <v>0</v>
      </c>
      <c r="AA106" s="80"/>
      <c r="AB106" s="80">
        <v>0</v>
      </c>
      <c r="AC106" s="80"/>
      <c r="AD106" s="80">
        <v>0</v>
      </c>
      <c r="AE106" s="80"/>
      <c r="AF106" s="80">
        <v>0</v>
      </c>
      <c r="AG106" s="80"/>
      <c r="AH106" s="80">
        <v>0</v>
      </c>
      <c r="AI106"/>
      <c r="AJ106" s="80">
        <v>0</v>
      </c>
      <c r="AK106"/>
      <c r="AL106" s="80">
        <v>0</v>
      </c>
      <c r="AM106"/>
      <c r="AN106" s="80">
        <v>0</v>
      </c>
      <c r="AO106" s="80"/>
      <c r="AP106" s="80">
        <v>0</v>
      </c>
      <c r="AQ106" s="80"/>
      <c r="AR106" s="80">
        <v>0</v>
      </c>
      <c r="AS106" s="80"/>
      <c r="AT106" s="80">
        <v>0</v>
      </c>
      <c r="AU106" s="80"/>
      <c r="AV106" s="80">
        <v>0</v>
      </c>
      <c r="AW106" s="80"/>
      <c r="AX106" s="80">
        <v>0</v>
      </c>
      <c r="AY106" s="80"/>
      <c r="AZ106" s="80">
        <v>0</v>
      </c>
      <c r="BA106" s="80"/>
      <c r="BB106" s="80">
        <v>0</v>
      </c>
      <c r="BC106" s="80"/>
      <c r="BD106" s="80">
        <v>0</v>
      </c>
      <c r="BE106"/>
      <c r="BF106" s="80">
        <v>0</v>
      </c>
      <c r="BG106"/>
      <c r="BH106" s="80">
        <v>0</v>
      </c>
      <c r="BI106"/>
      <c r="BJ106" s="80">
        <v>0</v>
      </c>
      <c r="BK106"/>
      <c r="BL106" s="80">
        <f>SUM(T106:BK106)</f>
        <v>0</v>
      </c>
      <c r="BM106"/>
      <c r="BN106" s="80">
        <v>0</v>
      </c>
      <c r="BO106"/>
      <c r="BP106" s="6">
        <f t="shared" si="26"/>
        <v>0</v>
      </c>
      <c r="BQ106" s="22"/>
      <c r="BR106" s="6">
        <f>+BL106+BP106</f>
        <v>0</v>
      </c>
      <c r="BS106" s="22"/>
      <c r="BT106" s="6">
        <f>+R106-BR106</f>
        <v>0</v>
      </c>
      <c r="BU106" s="80"/>
    </row>
    <row r="107" spans="1:73" s="15" customFormat="1">
      <c r="A107" s="57"/>
      <c r="B107" s="17"/>
      <c r="C107"/>
      <c r="D107"/>
      <c r="E107"/>
      <c r="F107"/>
      <c r="G107"/>
      <c r="H107"/>
      <c r="I107"/>
      <c r="J107" s="49"/>
      <c r="K107"/>
      <c r="L107" s="134"/>
      <c r="M107" s="22"/>
      <c r="N107" s="80"/>
      <c r="O107" s="22"/>
      <c r="P107" s="80"/>
      <c r="Q107" s="22"/>
      <c r="R107" s="80"/>
      <c r="S107" s="22"/>
      <c r="T107" s="80"/>
      <c r="U107" s="80"/>
      <c r="V107" s="80"/>
      <c r="W107" s="80"/>
      <c r="X107" s="80"/>
      <c r="Y107" s="80"/>
      <c r="Z107" s="80"/>
      <c r="AA107" s="80"/>
      <c r="AB107" s="80"/>
      <c r="AC107" s="80"/>
      <c r="AD107" s="80"/>
      <c r="AE107" s="80"/>
      <c r="AF107" s="80"/>
      <c r="AG107" s="80"/>
      <c r="AH107" s="80"/>
      <c r="AI107"/>
      <c r="AJ107" s="80"/>
      <c r="AK107"/>
      <c r="AL107" s="80"/>
      <c r="AM107"/>
      <c r="AN107" s="80"/>
      <c r="AO107" s="80"/>
      <c r="AP107" s="80"/>
      <c r="AQ107" s="80"/>
      <c r="AR107" s="80"/>
      <c r="AS107" s="80"/>
      <c r="AT107" s="80"/>
      <c r="AU107" s="80"/>
      <c r="AV107" s="80"/>
      <c r="AW107" s="80"/>
      <c r="AX107" s="80"/>
      <c r="AY107" s="80"/>
      <c r="AZ107" s="80"/>
      <c r="BA107" s="80"/>
      <c r="BB107" s="80"/>
      <c r="BC107" s="80"/>
      <c r="BD107" s="80"/>
      <c r="BE107"/>
      <c r="BF107" s="80"/>
      <c r="BG107"/>
      <c r="BH107" s="80"/>
      <c r="BI107"/>
      <c r="BJ107" s="80"/>
      <c r="BK107"/>
      <c r="BL107" s="80"/>
      <c r="BM107"/>
      <c r="BN107" s="80"/>
      <c r="BO107"/>
      <c r="BP107" s="6">
        <f t="shared" si="26"/>
        <v>0</v>
      </c>
      <c r="BQ107" s="22"/>
      <c r="BR107" s="80"/>
      <c r="BS107" s="22"/>
      <c r="BT107" s="80"/>
      <c r="BU107" s="80"/>
    </row>
    <row r="108" spans="1:73" s="104" customFormat="1">
      <c r="A108" s="111"/>
      <c r="B108" s="77" t="s">
        <v>245</v>
      </c>
      <c r="C108" s="21"/>
      <c r="D108" s="21"/>
      <c r="E108" s="21"/>
      <c r="F108" s="21"/>
      <c r="G108" s="21"/>
      <c r="H108" s="21"/>
      <c r="I108" s="21"/>
      <c r="J108" s="8"/>
      <c r="K108" s="21"/>
      <c r="L108" s="143"/>
      <c r="M108" s="16"/>
      <c r="N108" s="108">
        <f>SUM(N102:N107)</f>
        <v>0</v>
      </c>
      <c r="O108" s="16"/>
      <c r="P108" s="108">
        <f>SUM(P102:P107)</f>
        <v>0</v>
      </c>
      <c r="Q108" s="16"/>
      <c r="R108" s="108">
        <f>SUM(R102:R107)</f>
        <v>9479079</v>
      </c>
      <c r="S108" s="16"/>
      <c r="T108" s="108">
        <f>SUM(T102:T107)</f>
        <v>0</v>
      </c>
      <c r="U108" s="16"/>
      <c r="V108" s="108">
        <f>SUM(V102:V107)</f>
        <v>0</v>
      </c>
      <c r="W108" s="16"/>
      <c r="X108" s="108">
        <f>SUM(X102:X107)</f>
        <v>0</v>
      </c>
      <c r="Y108" s="16"/>
      <c r="Z108" s="108">
        <f>SUM(Z102:Z107)</f>
        <v>0</v>
      </c>
      <c r="AA108" s="16"/>
      <c r="AB108" s="108">
        <f>SUM(AB102:AB107)</f>
        <v>0</v>
      </c>
      <c r="AC108" s="16"/>
      <c r="AD108" s="108">
        <f>SUM(AD102:AD107)</f>
        <v>0</v>
      </c>
      <c r="AE108" s="16"/>
      <c r="AF108" s="108">
        <f>SUM(AF102:AF107)</f>
        <v>815280</v>
      </c>
      <c r="AG108" s="16"/>
      <c r="AH108" s="108">
        <f>SUM(AH102:AH107)</f>
        <v>2025875.7</v>
      </c>
      <c r="AI108"/>
      <c r="AJ108" s="108">
        <f>SUM(AJ102:AJ107)</f>
        <v>0</v>
      </c>
      <c r="AK108"/>
      <c r="AL108" s="108">
        <f>SUM(AL102:AL107)</f>
        <v>0</v>
      </c>
      <c r="AM108"/>
      <c r="AN108" s="108">
        <f>SUM(AN102:AN107)</f>
        <v>1894103.8</v>
      </c>
      <c r="AO108" s="16"/>
      <c r="AP108" s="108">
        <f>SUM(AP102:AP107)</f>
        <v>0</v>
      </c>
      <c r="AQ108" s="16"/>
      <c r="AR108" s="108">
        <f>SUM(AR102:AR107)</f>
        <v>0</v>
      </c>
      <c r="AS108" s="16"/>
      <c r="AT108" s="108">
        <f>SUM(AT102:AT107)</f>
        <v>0</v>
      </c>
      <c r="AU108" s="103"/>
      <c r="AV108" s="108">
        <f>SUM(AV102:AV107)</f>
        <v>1183814.8799999999</v>
      </c>
      <c r="AW108" s="103"/>
      <c r="AX108" s="108">
        <f>SUM(AX102:AX107)</f>
        <v>2943550.62</v>
      </c>
      <c r="AY108" s="103"/>
      <c r="AZ108" s="108">
        <f>SUM(AZ102:AZ107)</f>
        <v>0</v>
      </c>
      <c r="BA108" s="103"/>
      <c r="BB108" s="108">
        <f>SUM(BB102:BB107)</f>
        <v>0</v>
      </c>
      <c r="BC108" s="103"/>
      <c r="BD108" s="108">
        <f>SUM(BD102:BD107)</f>
        <v>0</v>
      </c>
      <c r="BE108"/>
      <c r="BF108" s="108">
        <f>SUM(BF102:BF107)</f>
        <v>0</v>
      </c>
      <c r="BG108"/>
      <c r="BH108" s="108">
        <f>SUM(BH102:BH107)</f>
        <v>0</v>
      </c>
      <c r="BI108"/>
      <c r="BJ108" s="108">
        <f>SUM(BJ102:BJ107)</f>
        <v>0</v>
      </c>
      <c r="BK108"/>
      <c r="BL108" s="108">
        <f>SUM(BL102:BL107)</f>
        <v>8862625</v>
      </c>
      <c r="BM108"/>
      <c r="BN108" s="108">
        <f>SUM(BN102:BN107)</f>
        <v>440</v>
      </c>
      <c r="BO108"/>
      <c r="BP108" s="108">
        <f>SUM(BP102:BP107)</f>
        <v>616894</v>
      </c>
      <c r="BQ108" s="16"/>
      <c r="BR108" s="108">
        <f>SUM(BR102:BR107)</f>
        <v>9479519</v>
      </c>
      <c r="BS108" s="16"/>
      <c r="BT108" s="108">
        <f>SUM(BT102:BT107)</f>
        <v>-440</v>
      </c>
      <c r="BU108" s="16"/>
    </row>
    <row r="109" spans="1:73" s="15" customFormat="1">
      <c r="A109" s="57"/>
      <c r="B109" s="17"/>
      <c r="C109"/>
      <c r="D109"/>
      <c r="E109"/>
      <c r="F109"/>
      <c r="G109"/>
      <c r="H109"/>
      <c r="I109"/>
      <c r="J109" s="49"/>
      <c r="K109"/>
      <c r="L109" s="134"/>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c r="AJ109" s="22"/>
      <c r="AK109"/>
      <c r="AL109" s="22"/>
      <c r="AM109"/>
      <c r="AN109" s="22"/>
      <c r="AO109" s="22"/>
      <c r="AP109" s="22"/>
      <c r="AQ109" s="22"/>
      <c r="AR109" s="22"/>
      <c r="AS109" s="22"/>
      <c r="AT109" s="22"/>
      <c r="AU109" s="22"/>
      <c r="AV109" s="22"/>
      <c r="AW109" s="22"/>
      <c r="AX109" s="22"/>
      <c r="AY109" s="22"/>
      <c r="AZ109" s="22"/>
      <c r="BA109" s="22"/>
      <c r="BB109" s="22"/>
      <c r="BC109" s="22"/>
      <c r="BD109" s="22"/>
      <c r="BE109"/>
      <c r="BF109" s="22"/>
      <c r="BG109"/>
      <c r="BH109" s="22"/>
      <c r="BI109"/>
      <c r="BJ109" s="22"/>
      <c r="BK109"/>
      <c r="BL109" s="22"/>
      <c r="BM109"/>
      <c r="BN109" s="22"/>
      <c r="BO109"/>
      <c r="BP109" s="22"/>
      <c r="BQ109" s="22"/>
      <c r="BR109" s="22"/>
      <c r="BS109" s="22"/>
      <c r="BT109" s="22"/>
      <c r="BU109" s="22"/>
    </row>
    <row r="110" spans="1:73" s="105" customFormat="1">
      <c r="A110" s="162" t="s">
        <v>246</v>
      </c>
      <c r="B110" s="63"/>
      <c r="J110" s="158"/>
      <c r="L110" s="144"/>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c r="AJ110" s="13"/>
      <c r="AK110"/>
      <c r="AL110" s="13"/>
      <c r="AM110"/>
      <c r="AN110" s="13"/>
      <c r="AO110" s="13"/>
      <c r="AP110" s="13"/>
      <c r="AQ110" s="13"/>
      <c r="AR110" s="13"/>
      <c r="AS110" s="13"/>
      <c r="AT110" s="13"/>
      <c r="AU110" s="13"/>
      <c r="AV110" s="13"/>
      <c r="AW110" s="13"/>
      <c r="AX110" s="13"/>
      <c r="AY110" s="13"/>
      <c r="AZ110" s="13"/>
      <c r="BA110" s="13"/>
      <c r="BB110" s="13"/>
      <c r="BC110" s="13"/>
      <c r="BD110" s="13"/>
      <c r="BE110"/>
      <c r="BF110" s="13"/>
      <c r="BG110"/>
      <c r="BH110" s="13"/>
      <c r="BI110"/>
      <c r="BJ110" s="13"/>
      <c r="BK110"/>
      <c r="BL110" s="13"/>
      <c r="BM110"/>
      <c r="BN110" s="13"/>
      <c r="BO110"/>
      <c r="BP110" s="13"/>
      <c r="BQ110" s="13"/>
      <c r="BR110" s="13"/>
      <c r="BS110" s="13"/>
      <c r="BT110" s="13"/>
      <c r="BU110" s="13"/>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c r="AK111"/>
      <c r="AL111" s="22"/>
      <c r="AM111"/>
      <c r="AN111" s="22"/>
      <c r="AO111" s="22"/>
      <c r="AP111" s="22"/>
      <c r="AQ111" s="22"/>
      <c r="AR111" s="22"/>
      <c r="AS111" s="22"/>
      <c r="AT111" s="22"/>
      <c r="AU111" s="22"/>
      <c r="AV111" s="22"/>
      <c r="AW111" s="22"/>
      <c r="AX111" s="22"/>
      <c r="AY111" s="22"/>
      <c r="AZ111" s="22"/>
      <c r="BA111" s="22"/>
      <c r="BB111" s="22"/>
      <c r="BC111" s="22"/>
      <c r="BD111" s="22"/>
      <c r="BE111"/>
      <c r="BF111" s="22"/>
      <c r="BG111"/>
      <c r="BH111" s="22"/>
      <c r="BI111"/>
      <c r="BJ111" s="22"/>
      <c r="BK111"/>
      <c r="BL111" s="22"/>
      <c r="BM111"/>
      <c r="BN111" s="22"/>
      <c r="BO111"/>
      <c r="BP111" s="22"/>
      <c r="BQ111" s="22"/>
      <c r="BR111" s="22"/>
      <c r="BS111" s="22"/>
      <c r="BT111" s="22"/>
      <c r="BU111" s="22"/>
    </row>
    <row r="112" spans="1:73" s="15" customFormat="1">
      <c r="A112" s="14"/>
      <c r="B112" s="60"/>
      <c r="C112"/>
      <c r="D112"/>
      <c r="E112"/>
      <c r="F112"/>
      <c r="G112"/>
      <c r="H112"/>
      <c r="I112"/>
      <c r="J112" s="49"/>
      <c r="K112"/>
      <c r="L112" s="134"/>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c r="AJ112" s="22">
        <f>83584768.91+2296826</f>
        <v>85881594.909999996</v>
      </c>
      <c r="AK112"/>
      <c r="AL112" s="22"/>
      <c r="AM112"/>
      <c r="AN112" s="22"/>
      <c r="AO112" s="22"/>
      <c r="AP112" s="22"/>
      <c r="AQ112" s="22"/>
      <c r="AR112" s="22"/>
      <c r="AS112" s="22"/>
      <c r="AT112" s="22"/>
      <c r="AU112" s="22"/>
      <c r="AV112" s="22"/>
      <c r="AW112" s="22"/>
      <c r="AX112" s="22"/>
      <c r="AY112" s="22"/>
      <c r="AZ112" s="22"/>
      <c r="BA112" s="22"/>
      <c r="BB112" s="22"/>
      <c r="BC112" s="22"/>
      <c r="BD112" s="22"/>
      <c r="BE112"/>
      <c r="BF112" s="22"/>
      <c r="BG112"/>
      <c r="BH112" s="22"/>
      <c r="BI112"/>
      <c r="BJ112" s="22"/>
      <c r="BK112"/>
      <c r="BL112" s="22"/>
      <c r="BM112"/>
      <c r="BN112" s="22"/>
      <c r="BO112"/>
      <c r="BP112" s="22"/>
      <c r="BQ112" s="22"/>
      <c r="BR112" s="22"/>
      <c r="BS112" s="22"/>
      <c r="BT112" s="22"/>
      <c r="BU112" s="22"/>
    </row>
    <row r="113" spans="1:73">
      <c r="A113" s="56" t="s">
        <v>25</v>
      </c>
      <c r="B113" s="58"/>
      <c r="C113"/>
      <c r="D113"/>
      <c r="E113"/>
      <c r="F113"/>
      <c r="G113"/>
      <c r="H113"/>
      <c r="I113"/>
      <c r="J113" s="49"/>
      <c r="K113"/>
      <c r="L113" s="134"/>
      <c r="M113" s="22"/>
      <c r="O113" s="22"/>
      <c r="Q113" s="22"/>
      <c r="S113" s="22"/>
      <c r="T113" s="6"/>
      <c r="U113" s="6"/>
      <c r="V113" s="6"/>
      <c r="X113" s="6"/>
      <c r="Z113" s="6"/>
      <c r="AB113" s="6"/>
      <c r="AD113" s="6"/>
      <c r="AI113"/>
      <c r="BJ113" s="6"/>
      <c r="BN113" s="6"/>
      <c r="BQ113" s="22"/>
      <c r="BS113" s="22"/>
      <c r="BU113" s="6"/>
    </row>
    <row r="114" spans="1:73">
      <c r="A114" s="61"/>
      <c r="B114" s="17" t="s">
        <v>529</v>
      </c>
      <c r="E114" s="4"/>
      <c r="G114" s="4"/>
      <c r="I114" s="4"/>
      <c r="J114" s="5" t="s">
        <v>0</v>
      </c>
      <c r="L114" s="134" t="s">
        <v>202</v>
      </c>
      <c r="M114" s="22"/>
      <c r="N114" s="6">
        <v>0</v>
      </c>
      <c r="O114" s="22"/>
      <c r="P114" s="6">
        <v>0</v>
      </c>
      <c r="Q114" s="22"/>
      <c r="R114" s="6">
        <v>185000</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V114" s="6">
        <v>37000</v>
      </c>
      <c r="AX114" s="6">
        <v>37000</v>
      </c>
      <c r="AZ114" s="6">
        <v>37000</v>
      </c>
      <c r="BB114" s="6">
        <v>37000</v>
      </c>
      <c r="BD114" s="6">
        <v>37000</v>
      </c>
      <c r="BF114" s="6">
        <v>0</v>
      </c>
      <c r="BH114" s="6">
        <v>0</v>
      </c>
      <c r="BJ114" s="6">
        <v>0</v>
      </c>
      <c r="BL114" s="6">
        <f>SUM(T114:BK114)</f>
        <v>185000</v>
      </c>
      <c r="BN114" s="6">
        <v>0</v>
      </c>
      <c r="BP114" s="6">
        <f>IF(+R114-BL114+BN114&gt;0,R114-BL114+BN114,0)</f>
        <v>0</v>
      </c>
      <c r="BQ114" s="22"/>
      <c r="BR114" s="6">
        <f>+BL114+BP114</f>
        <v>185000</v>
      </c>
      <c r="BS114" s="22"/>
      <c r="BT114" s="6">
        <f>+R114-BR114</f>
        <v>0</v>
      </c>
      <c r="BU114" s="6"/>
    </row>
    <row r="115" spans="1:73">
      <c r="A115" s="61"/>
      <c r="B115" s="17" t="s">
        <v>531</v>
      </c>
      <c r="E115" s="4"/>
      <c r="G115" s="4"/>
      <c r="I115" s="4"/>
      <c r="L115" s="134" t="s">
        <v>202</v>
      </c>
      <c r="M115" s="22"/>
      <c r="N115" s="6">
        <v>0</v>
      </c>
      <c r="O115" s="22"/>
      <c r="P115" s="6">
        <v>0</v>
      </c>
      <c r="Q115" s="22"/>
      <c r="R115" s="6">
        <v>723786</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X115" s="6">
        <f>60063+44589</f>
        <v>104652</v>
      </c>
      <c r="AZ115" s="6">
        <v>114711.83</v>
      </c>
      <c r="BB115" s="6">
        <v>194341.7</v>
      </c>
      <c r="BD115" s="6">
        <v>157200.32000000001</v>
      </c>
      <c r="BF115" s="6">
        <v>64914.39</v>
      </c>
      <c r="BH115" s="6">
        <v>0</v>
      </c>
      <c r="BJ115" s="6">
        <v>0</v>
      </c>
      <c r="BL115" s="6">
        <f>SUM(T115:BK115)</f>
        <v>635820.24000000011</v>
      </c>
      <c r="BN115" s="6">
        <v>0</v>
      </c>
      <c r="BP115" s="6">
        <f>+R115-BL115+BN115</f>
        <v>87965.759999999893</v>
      </c>
      <c r="BQ115" s="22"/>
      <c r="BR115" s="6">
        <f>+BL115+BP115</f>
        <v>723786</v>
      </c>
      <c r="BS115" s="22"/>
      <c r="BT115" s="6">
        <f>+R115-BR115</f>
        <v>0</v>
      </c>
      <c r="BU115" s="6"/>
    </row>
    <row r="116" spans="1:73" hidden="1">
      <c r="A116" s="61"/>
      <c r="B116" s="17" t="s">
        <v>121</v>
      </c>
      <c r="E116" s="4"/>
      <c r="G116" s="4"/>
      <c r="I116" s="4"/>
      <c r="L116" s="134" t="s">
        <v>202</v>
      </c>
      <c r="M116" s="22"/>
      <c r="N116" s="6">
        <v>0</v>
      </c>
      <c r="O116" s="22"/>
      <c r="P116" s="6">
        <v>0</v>
      </c>
      <c r="Q116" s="22"/>
      <c r="R116" s="6">
        <v>0</v>
      </c>
      <c r="S116" s="22"/>
      <c r="T116" s="6">
        <v>0</v>
      </c>
      <c r="U116" s="6"/>
      <c r="V116" s="6">
        <v>0</v>
      </c>
      <c r="X116" s="6">
        <v>0</v>
      </c>
      <c r="Z116" s="6">
        <v>0</v>
      </c>
      <c r="AB116" s="6">
        <v>0</v>
      </c>
      <c r="AD116" s="6">
        <v>0</v>
      </c>
      <c r="AF116" s="6">
        <v>0</v>
      </c>
      <c r="AH116" s="6">
        <v>0</v>
      </c>
      <c r="AI116"/>
      <c r="AJ116" s="6">
        <v>0</v>
      </c>
      <c r="AL116" s="6">
        <v>0</v>
      </c>
      <c r="AN116" s="6">
        <v>0</v>
      </c>
      <c r="AP116" s="6">
        <v>0</v>
      </c>
      <c r="AR116" s="6">
        <v>0</v>
      </c>
      <c r="AT116" s="6">
        <v>0</v>
      </c>
      <c r="AV116" s="6">
        <v>0</v>
      </c>
      <c r="AX116" s="6">
        <v>0</v>
      </c>
      <c r="AZ116" s="6">
        <v>0</v>
      </c>
      <c r="BB116" s="6">
        <v>0</v>
      </c>
      <c r="BD116" s="6">
        <v>0</v>
      </c>
      <c r="BF116" s="6">
        <v>0</v>
      </c>
      <c r="BH116" s="6">
        <v>0</v>
      </c>
      <c r="BJ116" s="6">
        <v>0</v>
      </c>
      <c r="BL116" s="6">
        <f>SUM(T116:BK116)</f>
        <v>0</v>
      </c>
      <c r="BN116" s="6">
        <v>0</v>
      </c>
      <c r="BP116" s="6">
        <f>+R116-BL116+BN116</f>
        <v>0</v>
      </c>
      <c r="BQ116" s="22"/>
      <c r="BR116" s="6">
        <f>+BL116+BP116</f>
        <v>0</v>
      </c>
      <c r="BS116" s="22"/>
      <c r="BT116" s="6">
        <f>+R116-BR116</f>
        <v>0</v>
      </c>
      <c r="BU116" s="6"/>
    </row>
    <row r="117" spans="1:73" s="21" customFormat="1">
      <c r="A117" s="56"/>
      <c r="B117" s="58" t="s">
        <v>247</v>
      </c>
      <c r="J117" s="8"/>
      <c r="L117" s="143"/>
      <c r="M117" s="16"/>
      <c r="N117" s="102">
        <f>SUM(N114:N116)</f>
        <v>0</v>
      </c>
      <c r="O117" s="16"/>
      <c r="P117" s="102">
        <f>SUM(P114:P116)</f>
        <v>0</v>
      </c>
      <c r="Q117" s="16"/>
      <c r="R117" s="102">
        <f>SUM(R114:R116)</f>
        <v>908786</v>
      </c>
      <c r="S117" s="16"/>
      <c r="T117" s="102">
        <f>SUM(T114:T116)</f>
        <v>0</v>
      </c>
      <c r="U117" s="9"/>
      <c r="V117" s="102">
        <f>SUM(V114:V116)</f>
        <v>0</v>
      </c>
      <c r="W117" s="9"/>
      <c r="X117" s="102">
        <f>SUM(X114:X116)</f>
        <v>0</v>
      </c>
      <c r="Y117" s="9"/>
      <c r="Z117" s="102">
        <f>SUM(Z114:Z116)</f>
        <v>0</v>
      </c>
      <c r="AA117" s="9"/>
      <c r="AB117" s="102">
        <f>SUM(AB114:AB116)</f>
        <v>0</v>
      </c>
      <c r="AC117" s="9"/>
      <c r="AD117" s="102">
        <f>SUM(AD114:AD116)</f>
        <v>0</v>
      </c>
      <c r="AE117" s="9"/>
      <c r="AF117" s="102">
        <f>SUM(AF114:AF116)</f>
        <v>0</v>
      </c>
      <c r="AG117" s="9"/>
      <c r="AH117" s="102">
        <f>SUM(AH114:AH116)</f>
        <v>0</v>
      </c>
      <c r="AI117"/>
      <c r="AJ117" s="102">
        <f>SUM(AJ114:AJ116)</f>
        <v>0</v>
      </c>
      <c r="AK117"/>
      <c r="AL117" s="102">
        <f>SUM(AL114:AL116)</f>
        <v>0</v>
      </c>
      <c r="AM117"/>
      <c r="AN117" s="102">
        <f>SUM(AN114:AN116)</f>
        <v>0</v>
      </c>
      <c r="AO117" s="9"/>
      <c r="AP117" s="102">
        <f>SUM(AP114:AP116)</f>
        <v>0</v>
      </c>
      <c r="AQ117" s="9"/>
      <c r="AR117" s="102">
        <f>SUM(AR114:AR116)</f>
        <v>0</v>
      </c>
      <c r="AS117" s="9"/>
      <c r="AT117" s="102">
        <f>SUM(AT114:AT116)</f>
        <v>0</v>
      </c>
      <c r="AU117" s="10"/>
      <c r="AV117" s="102">
        <f>SUM(AV114:AV116)</f>
        <v>37000</v>
      </c>
      <c r="AW117" s="10"/>
      <c r="AX117" s="102">
        <f>SUM(AX114:AX116)</f>
        <v>141652</v>
      </c>
      <c r="AY117" s="10"/>
      <c r="AZ117" s="102">
        <f>SUM(AZ114:AZ116)</f>
        <v>151711.83000000002</v>
      </c>
      <c r="BA117" s="10"/>
      <c r="BB117" s="102">
        <f>SUM(BB114:BB116)</f>
        <v>231341.7</v>
      </c>
      <c r="BC117" s="10"/>
      <c r="BD117" s="102">
        <f>SUM(BD114:BD116)</f>
        <v>194200.32000000001</v>
      </c>
      <c r="BE117"/>
      <c r="BF117" s="102">
        <f>SUM(BF114:BF116)</f>
        <v>64914.39</v>
      </c>
      <c r="BG117"/>
      <c r="BH117" s="102">
        <f>SUM(BH114:BH116)</f>
        <v>0</v>
      </c>
      <c r="BI117"/>
      <c r="BJ117" s="102">
        <f>SUM(BJ114:BJ116)</f>
        <v>0</v>
      </c>
      <c r="BK117"/>
      <c r="BL117" s="108">
        <f>SUM(BL114:BL116)</f>
        <v>820820.24000000011</v>
      </c>
      <c r="BM117"/>
      <c r="BN117" s="102">
        <f>SUM(BN114:BN116)</f>
        <v>0</v>
      </c>
      <c r="BO117"/>
      <c r="BP117" s="102">
        <f>SUM(BP114:BP116)</f>
        <v>87965.759999999893</v>
      </c>
      <c r="BQ117" s="16"/>
      <c r="BR117" s="102">
        <f>SUM(BR114:BR116)</f>
        <v>908786</v>
      </c>
      <c r="BS117" s="16"/>
      <c r="BT117" s="102">
        <f>SUM(BT114:BT116)</f>
        <v>0</v>
      </c>
      <c r="BU117" s="9"/>
    </row>
    <row r="118" spans="1:73" s="21" customFormat="1">
      <c r="A118" s="56"/>
      <c r="B118" s="58"/>
      <c r="J118" s="8"/>
      <c r="L118" s="143"/>
      <c r="M118" s="16"/>
      <c r="N118" s="10"/>
      <c r="O118" s="16"/>
      <c r="P118" s="10"/>
      <c r="Q118" s="16"/>
      <c r="R118" s="10"/>
      <c r="S118" s="16"/>
      <c r="T118" s="10"/>
      <c r="U118" s="9"/>
      <c r="V118" s="10"/>
      <c r="W118" s="9"/>
      <c r="X118" s="10"/>
      <c r="Y118" s="9"/>
      <c r="Z118" s="10"/>
      <c r="AA118" s="9"/>
      <c r="AB118" s="10"/>
      <c r="AC118" s="9"/>
      <c r="AD118" s="10"/>
      <c r="AE118" s="9"/>
      <c r="AF118" s="10"/>
      <c r="AG118" s="9"/>
      <c r="AH118" s="10"/>
      <c r="AI118"/>
      <c r="AJ118" s="10"/>
      <c r="AK118"/>
      <c r="AL118" s="10"/>
      <c r="AM118"/>
      <c r="AN118" s="10"/>
      <c r="AO118" s="9"/>
      <c r="AP118" s="10"/>
      <c r="AQ118" s="9"/>
      <c r="AR118" s="10"/>
      <c r="AS118" s="9"/>
      <c r="AT118" s="10"/>
      <c r="AU118" s="10"/>
      <c r="AV118" s="10"/>
      <c r="AW118" s="10"/>
      <c r="AX118" s="10"/>
      <c r="AY118" s="10"/>
      <c r="AZ118" s="10"/>
      <c r="BA118" s="10"/>
      <c r="BB118" s="10"/>
      <c r="BC118" s="10"/>
      <c r="BD118" s="10"/>
      <c r="BE118"/>
      <c r="BF118" s="10"/>
      <c r="BG118"/>
      <c r="BH118" s="10"/>
      <c r="BI118"/>
      <c r="BJ118" s="10"/>
      <c r="BK118"/>
      <c r="BL118" s="10"/>
      <c r="BM118"/>
      <c r="BN118" s="10"/>
      <c r="BO118"/>
      <c r="BP118" s="10"/>
      <c r="BQ118" s="16"/>
      <c r="BR118" s="10"/>
      <c r="BS118" s="16"/>
      <c r="BT118" s="10"/>
      <c r="BU118" s="9"/>
    </row>
    <row r="120" spans="1:73" s="21" customFormat="1">
      <c r="A120" s="62"/>
      <c r="B120" s="58"/>
      <c r="J120" s="8"/>
      <c r="L120" s="143"/>
      <c r="M120" s="9"/>
      <c r="N120" s="9"/>
      <c r="O120" s="9"/>
      <c r="P120" s="9"/>
      <c r="Q120" s="9"/>
      <c r="R120" s="9"/>
      <c r="S120" s="9"/>
      <c r="T120" s="9"/>
      <c r="U120" s="9"/>
      <c r="V120" s="9"/>
      <c r="W120" s="9"/>
      <c r="X120" s="9"/>
      <c r="Y120" s="9"/>
      <c r="Z120" s="9"/>
      <c r="AA120" s="9"/>
      <c r="AB120" s="9"/>
      <c r="AC120" s="9"/>
      <c r="AD120" s="9"/>
      <c r="AE120" s="9"/>
      <c r="AF120" s="9"/>
      <c r="AG120" s="9"/>
      <c r="AH120" s="9"/>
      <c r="AI120"/>
      <c r="AJ120" s="9"/>
      <c r="AK120"/>
      <c r="AL120" s="9"/>
      <c r="AM120"/>
      <c r="AN120" s="9"/>
      <c r="AO120" s="9"/>
      <c r="AP120" s="9"/>
      <c r="AQ120" s="9"/>
      <c r="AR120" s="9"/>
      <c r="AS120" s="9"/>
      <c r="AT120" s="9"/>
      <c r="AU120" s="9"/>
      <c r="AV120" s="9"/>
      <c r="AW120" s="9"/>
      <c r="AX120" s="9"/>
      <c r="AY120" s="9"/>
      <c r="AZ120" s="9"/>
      <c r="BA120" s="9"/>
      <c r="BB120" s="9"/>
      <c r="BC120" s="9"/>
      <c r="BD120" s="9"/>
      <c r="BE120"/>
      <c r="BF120" s="9"/>
      <c r="BG120"/>
      <c r="BH120" s="9"/>
      <c r="BI120"/>
      <c r="BJ120" s="9"/>
      <c r="BK120"/>
      <c r="BL120" s="9"/>
      <c r="BM120"/>
      <c r="BN120" s="9"/>
      <c r="BO120"/>
      <c r="BP120" s="9"/>
      <c r="BQ120" s="9"/>
      <c r="BR120" s="9"/>
      <c r="BS120" s="9"/>
      <c r="BT120" s="9"/>
      <c r="BU120" s="9"/>
    </row>
    <row r="121" spans="1:73" s="21" customFormat="1">
      <c r="A121" s="56" t="s">
        <v>216</v>
      </c>
      <c r="B121" s="31"/>
      <c r="J121" s="8" t="s">
        <v>0</v>
      </c>
      <c r="L121" s="134" t="s">
        <v>202</v>
      </c>
      <c r="M121" s="9"/>
      <c r="N121" s="9">
        <v>400000</v>
      </c>
      <c r="O121" s="9"/>
      <c r="P121" s="9">
        <v>100000</v>
      </c>
      <c r="Q121" s="9"/>
      <c r="R121" s="9">
        <v>0</v>
      </c>
      <c r="S121" s="9"/>
      <c r="T121" s="9">
        <v>0</v>
      </c>
      <c r="U121" s="9"/>
      <c r="V121" s="9">
        <v>0</v>
      </c>
      <c r="W121" s="9"/>
      <c r="X121" s="9">
        <v>0</v>
      </c>
      <c r="Y121" s="9"/>
      <c r="Z121" s="9">
        <v>0</v>
      </c>
      <c r="AA121" s="9"/>
      <c r="AB121" s="9">
        <v>0</v>
      </c>
      <c r="AC121" s="9"/>
      <c r="AD121" s="9">
        <v>0</v>
      </c>
      <c r="AE121" s="9"/>
      <c r="AF121" s="9">
        <v>0</v>
      </c>
      <c r="AG121" s="9"/>
      <c r="AH121" s="9">
        <v>0</v>
      </c>
      <c r="AI121"/>
      <c r="AJ121" s="9">
        <v>0</v>
      </c>
      <c r="AK121"/>
      <c r="AL121" s="9">
        <v>0</v>
      </c>
      <c r="AM121"/>
      <c r="AN121" s="9">
        <v>0</v>
      </c>
      <c r="AO121" s="9"/>
      <c r="AP121" s="9">
        <v>0</v>
      </c>
      <c r="AQ121" s="9"/>
      <c r="AR121" s="9">
        <v>216381.67</v>
      </c>
      <c r="AS121" s="9"/>
      <c r="AT121" s="9">
        <v>2174.14</v>
      </c>
      <c r="AU121" s="9"/>
      <c r="AV121" s="9">
        <v>0</v>
      </c>
      <c r="AW121" s="9"/>
      <c r="AX121" s="9">
        <v>168836</v>
      </c>
      <c r="AY121" s="9"/>
      <c r="AZ121" s="9">
        <v>0</v>
      </c>
      <c r="BA121" s="9"/>
      <c r="BB121" s="9">
        <v>6527.91</v>
      </c>
      <c r="BC121" s="9"/>
      <c r="BD121" s="9">
        <v>0</v>
      </c>
      <c r="BE121"/>
      <c r="BF121" s="9">
        <v>2743.49</v>
      </c>
      <c r="BG121"/>
      <c r="BH121" s="9">
        <v>0</v>
      </c>
      <c r="BI121"/>
      <c r="BJ121" s="9">
        <v>0</v>
      </c>
      <c r="BK121"/>
      <c r="BL121" s="9">
        <f>SUM(T121:BK121)</f>
        <v>396663.21</v>
      </c>
      <c r="BM121"/>
      <c r="BN121" s="9">
        <v>2743.49</v>
      </c>
      <c r="BO121"/>
      <c r="BP121" s="6">
        <f>IF(+R121-BL121+BN121&gt;0,R121-BL121+BN121,0)</f>
        <v>0</v>
      </c>
      <c r="BQ121" s="9"/>
      <c r="BR121" s="9">
        <f>+BL121+BP121</f>
        <v>396663.21</v>
      </c>
      <c r="BS121" s="9"/>
      <c r="BT121" s="9">
        <f>+R121-BR121</f>
        <v>-396663.21</v>
      </c>
      <c r="BU121" s="9"/>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c r="AJ122" s="9"/>
      <c r="AK122"/>
      <c r="AL122" s="9"/>
      <c r="AM122"/>
      <c r="AN122" s="9"/>
      <c r="AO122" s="9"/>
      <c r="AP122" s="9"/>
      <c r="AQ122" s="9"/>
      <c r="AR122" s="9"/>
      <c r="AS122" s="9"/>
      <c r="AT122" s="9"/>
      <c r="AU122" s="9"/>
      <c r="AV122" s="9"/>
      <c r="AW122" s="9"/>
      <c r="AX122" s="9"/>
      <c r="AY122" s="9"/>
      <c r="AZ122" s="9"/>
      <c r="BA122" s="9"/>
      <c r="BB122" s="9"/>
      <c r="BC122" s="9"/>
      <c r="BD122" s="9"/>
      <c r="BE122"/>
      <c r="BF122" s="9"/>
      <c r="BG122"/>
      <c r="BH122" s="9"/>
      <c r="BI122"/>
      <c r="BJ122" s="9"/>
      <c r="BK122"/>
      <c r="BL122" s="9"/>
      <c r="BM122"/>
      <c r="BN122" s="9"/>
      <c r="BO122"/>
      <c r="BP122" s="9"/>
      <c r="BQ122" s="9"/>
      <c r="BR122" s="9"/>
      <c r="BS122" s="9"/>
      <c r="BT122" s="9"/>
      <c r="BU122" s="9"/>
    </row>
    <row r="123" spans="1:73" s="31" customFormat="1">
      <c r="A123" s="58" t="s">
        <v>30</v>
      </c>
      <c r="J123" s="159" t="s">
        <v>0</v>
      </c>
      <c r="L123" s="145" t="s">
        <v>202</v>
      </c>
      <c r="M123" s="10"/>
      <c r="N123" s="10">
        <v>0</v>
      </c>
      <c r="O123" s="10"/>
      <c r="P123" s="10">
        <v>0</v>
      </c>
      <c r="Q123" s="10"/>
      <c r="R123" s="9">
        <v>500000</v>
      </c>
      <c r="S123" s="10"/>
      <c r="T123" s="10">
        <v>0</v>
      </c>
      <c r="U123" s="10"/>
      <c r="V123" s="10">
        <v>0</v>
      </c>
      <c r="W123" s="10"/>
      <c r="X123" s="10">
        <v>0</v>
      </c>
      <c r="Y123" s="10"/>
      <c r="Z123" s="10">
        <v>0</v>
      </c>
      <c r="AA123" s="10"/>
      <c r="AB123" s="10">
        <v>0</v>
      </c>
      <c r="AC123" s="10"/>
      <c r="AD123" s="10">
        <v>0</v>
      </c>
      <c r="AE123" s="10"/>
      <c r="AF123" s="10">
        <v>0</v>
      </c>
      <c r="AG123" s="10"/>
      <c r="AH123" s="10">
        <v>0</v>
      </c>
      <c r="AI123"/>
      <c r="AJ123" s="10">
        <v>0</v>
      </c>
      <c r="AK123"/>
      <c r="AL123" s="10">
        <v>0</v>
      </c>
      <c r="AM123"/>
      <c r="AN123" s="10">
        <v>0</v>
      </c>
      <c r="AO123" s="10"/>
      <c r="AP123" s="10">
        <v>0</v>
      </c>
      <c r="AQ123" s="10"/>
      <c r="AR123" s="10">
        <v>0</v>
      </c>
      <c r="AS123" s="10"/>
      <c r="AT123" s="10">
        <v>0</v>
      </c>
      <c r="AU123" s="10"/>
      <c r="AV123" s="10">
        <v>0</v>
      </c>
      <c r="AW123" s="10"/>
      <c r="AX123" s="10">
        <v>0</v>
      </c>
      <c r="AY123" s="10"/>
      <c r="AZ123" s="10">
        <v>0</v>
      </c>
      <c r="BA123" s="10"/>
      <c r="BB123" s="10">
        <v>0</v>
      </c>
      <c r="BC123" s="10"/>
      <c r="BD123" s="10">
        <v>0</v>
      </c>
      <c r="BE123"/>
      <c r="BF123" s="10"/>
      <c r="BG123"/>
      <c r="BH123" s="10">
        <v>0</v>
      </c>
      <c r="BI123"/>
      <c r="BJ123" s="10">
        <v>0</v>
      </c>
      <c r="BK123"/>
      <c r="BL123" s="10">
        <f>SUM(T123:BK123)</f>
        <v>0</v>
      </c>
      <c r="BM123"/>
      <c r="BN123" s="10">
        <v>0</v>
      </c>
      <c r="BO123"/>
      <c r="BP123" s="6">
        <f>IF(+R123-BL123+BN123&gt;0,R123-BL123+BN123,0)</f>
        <v>500000</v>
      </c>
      <c r="BQ123" s="10"/>
      <c r="BR123" s="9">
        <f>+BL123+BP123</f>
        <v>500000</v>
      </c>
      <c r="BS123" s="10"/>
      <c r="BT123" s="9">
        <f>+R123-BR123</f>
        <v>0</v>
      </c>
      <c r="BU123" s="10"/>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c r="AJ124" s="9"/>
      <c r="AK124"/>
      <c r="AL124" s="9"/>
      <c r="AM124"/>
      <c r="AN124" s="9"/>
      <c r="AO124" s="9"/>
      <c r="AP124" s="9"/>
      <c r="AQ124" s="9"/>
      <c r="AR124" s="9"/>
      <c r="AS124" s="9"/>
      <c r="AT124" s="9"/>
      <c r="AU124" s="9"/>
      <c r="AV124" s="9"/>
      <c r="AW124" s="9"/>
      <c r="AX124" s="9"/>
      <c r="AY124" s="9"/>
      <c r="AZ124" s="9"/>
      <c r="BA124" s="9"/>
      <c r="BB124" s="9"/>
      <c r="BC124" s="9"/>
      <c r="BD124" s="9"/>
      <c r="BE124"/>
      <c r="BF124" s="9"/>
      <c r="BG124"/>
      <c r="BH124" s="9"/>
      <c r="BI124"/>
      <c r="BJ124" s="9"/>
      <c r="BK124"/>
      <c r="BL124" s="9"/>
      <c r="BM124"/>
      <c r="BN124" s="9"/>
      <c r="BO124"/>
      <c r="BP124" s="9"/>
      <c r="BQ124" s="9"/>
      <c r="BR124" s="9"/>
      <c r="BS124" s="9"/>
      <c r="BT124" s="9"/>
      <c r="BU124" s="9"/>
    </row>
    <row r="125" spans="1:73" s="21" customFormat="1">
      <c r="A125" s="56" t="s">
        <v>26</v>
      </c>
      <c r="B125" s="58"/>
      <c r="J125" s="8" t="s">
        <v>0</v>
      </c>
      <c r="L125" s="134" t="s">
        <v>202</v>
      </c>
      <c r="M125" s="16"/>
      <c r="N125" s="9">
        <v>0</v>
      </c>
      <c r="O125" s="16"/>
      <c r="P125" s="9">
        <v>0</v>
      </c>
      <c r="Q125" s="16"/>
      <c r="R125" s="9">
        <v>1253881</v>
      </c>
      <c r="S125" s="16"/>
      <c r="T125" s="9">
        <v>0</v>
      </c>
      <c r="U125" s="9"/>
      <c r="V125" s="9">
        <v>0</v>
      </c>
      <c r="W125" s="9"/>
      <c r="X125" s="9">
        <v>0</v>
      </c>
      <c r="Y125" s="9"/>
      <c r="Z125" s="9">
        <v>0</v>
      </c>
      <c r="AA125" s="9"/>
      <c r="AB125" s="9">
        <v>0</v>
      </c>
      <c r="AC125" s="9"/>
      <c r="AD125" s="9">
        <v>0</v>
      </c>
      <c r="AE125" s="9"/>
      <c r="AF125" s="9">
        <v>0</v>
      </c>
      <c r="AG125" s="9"/>
      <c r="AH125" s="9">
        <v>0</v>
      </c>
      <c r="AI125"/>
      <c r="AJ125" s="9">
        <v>0</v>
      </c>
      <c r="AK125"/>
      <c r="AL125" s="9">
        <v>0</v>
      </c>
      <c r="AM125"/>
      <c r="AN125" s="9">
        <v>0</v>
      </c>
      <c r="AO125" s="9"/>
      <c r="AP125" s="9">
        <v>0</v>
      </c>
      <c r="AQ125" s="9"/>
      <c r="AR125" s="9">
        <v>0</v>
      </c>
      <c r="AS125" s="9"/>
      <c r="AT125" s="9">
        <v>0</v>
      </c>
      <c r="AU125" s="9"/>
      <c r="AV125" s="9">
        <v>0</v>
      </c>
      <c r="AW125" s="9"/>
      <c r="AX125" s="9">
        <v>0</v>
      </c>
      <c r="AY125" s="9"/>
      <c r="AZ125" s="9">
        <v>0</v>
      </c>
      <c r="BA125" s="9"/>
      <c r="BB125" s="9">
        <v>0</v>
      </c>
      <c r="BC125" s="9"/>
      <c r="BD125" s="9">
        <v>29469.43</v>
      </c>
      <c r="BE125"/>
      <c r="BF125" s="9">
        <v>271859.17</v>
      </c>
      <c r="BG125"/>
      <c r="BH125" s="9">
        <v>0</v>
      </c>
      <c r="BI125"/>
      <c r="BJ125" s="9">
        <v>0</v>
      </c>
      <c r="BK125"/>
      <c r="BL125" s="22">
        <f>SUM(T125:BK125)</f>
        <v>301328.59999999998</v>
      </c>
      <c r="BM125"/>
      <c r="BN125" s="9">
        <v>0</v>
      </c>
      <c r="BO125"/>
      <c r="BP125" s="6">
        <f>IF(+R125-BL125+BN125&gt;0,R125-BL125+BN125,0)</f>
        <v>952552.4</v>
      </c>
      <c r="BQ125" s="16"/>
      <c r="BR125" s="9">
        <f>+BL125+BP125</f>
        <v>1253881</v>
      </c>
      <c r="BS125" s="16"/>
      <c r="BT125" s="9">
        <f>+R125-BR125</f>
        <v>0</v>
      </c>
      <c r="BU125" s="9"/>
    </row>
    <row r="126" spans="1:73" s="21" customFormat="1">
      <c r="A126" s="56"/>
      <c r="B126" s="31"/>
      <c r="J126" s="8"/>
      <c r="L126" s="134"/>
      <c r="M126" s="9"/>
      <c r="N126" s="9"/>
      <c r="O126" s="9"/>
      <c r="P126" s="9"/>
      <c r="Q126" s="9"/>
      <c r="R126" s="9"/>
      <c r="S126" s="9"/>
      <c r="T126" s="9"/>
      <c r="U126" s="9"/>
      <c r="V126" s="9"/>
      <c r="W126" s="9"/>
      <c r="X126" s="9"/>
      <c r="Y126" s="9"/>
      <c r="Z126" s="9"/>
      <c r="AA126" s="9"/>
      <c r="AB126" s="9"/>
      <c r="AC126" s="9"/>
      <c r="AD126" s="9"/>
      <c r="AE126" s="9"/>
      <c r="AF126" s="9"/>
      <c r="AG126" s="9"/>
      <c r="AH126" s="9"/>
      <c r="AI126"/>
      <c r="AJ126" s="9"/>
      <c r="AK126"/>
      <c r="AL126" s="9"/>
      <c r="AM126"/>
      <c r="AN126" s="9"/>
      <c r="AO126" s="9"/>
      <c r="AP126" s="9"/>
      <c r="AQ126" s="9"/>
      <c r="AR126" s="9"/>
      <c r="AS126" s="9"/>
      <c r="AT126" s="9"/>
      <c r="AU126" s="9"/>
      <c r="AV126" s="9"/>
      <c r="AW126" s="9"/>
      <c r="AX126" s="9"/>
      <c r="AY126" s="9"/>
      <c r="AZ126" s="9"/>
      <c r="BA126" s="9"/>
      <c r="BB126" s="9"/>
      <c r="BC126" s="9"/>
      <c r="BD126" s="9"/>
      <c r="BE126"/>
      <c r="BF126" s="9"/>
      <c r="BG126"/>
      <c r="BH126" s="9"/>
      <c r="BI126"/>
      <c r="BJ126" s="9"/>
      <c r="BK126"/>
      <c r="BL126" s="9"/>
      <c r="BM126"/>
      <c r="BN126" s="9"/>
      <c r="BO126"/>
      <c r="BP126" s="9"/>
      <c r="BQ126" s="9"/>
      <c r="BR126" s="9"/>
      <c r="BS126" s="9"/>
      <c r="BT126" s="9"/>
      <c r="BU126" s="9"/>
    </row>
    <row r="127" spans="1:73">
      <c r="A127" s="56" t="s">
        <v>27</v>
      </c>
      <c r="B127" s="11"/>
      <c r="C127"/>
      <c r="D127"/>
      <c r="E127"/>
      <c r="F127"/>
      <c r="G127"/>
      <c r="H127"/>
      <c r="I127"/>
      <c r="J127" s="49"/>
      <c r="K127"/>
      <c r="L127" s="134"/>
      <c r="M127" s="6"/>
      <c r="O127" s="6"/>
      <c r="Q127" s="6"/>
      <c r="S127" s="6"/>
      <c r="T127" s="6"/>
      <c r="U127" s="6"/>
      <c r="V127" s="6"/>
      <c r="X127" s="6"/>
      <c r="Z127" s="6"/>
      <c r="AB127" s="6"/>
      <c r="AD127" s="6"/>
      <c r="AI127"/>
      <c r="BJ127" s="6"/>
      <c r="BN127" s="6"/>
      <c r="BU127" s="6"/>
    </row>
    <row r="128" spans="1:73">
      <c r="A128" s="61"/>
      <c r="B128" s="11" t="s">
        <v>207</v>
      </c>
      <c r="E128" s="4"/>
      <c r="G128" s="4"/>
      <c r="I128" s="4"/>
      <c r="J128" s="5" t="s">
        <v>0</v>
      </c>
      <c r="L128" s="134" t="s">
        <v>202</v>
      </c>
      <c r="M128" s="6"/>
      <c r="N128" s="6">
        <v>0</v>
      </c>
      <c r="O128" s="6"/>
      <c r="P128" s="6">
        <v>0</v>
      </c>
      <c r="Q128" s="6"/>
      <c r="R128" s="6">
        <v>28500</v>
      </c>
      <c r="S128" s="6"/>
      <c r="T128" s="6">
        <v>0</v>
      </c>
      <c r="U128" s="6"/>
      <c r="V128" s="6">
        <v>0</v>
      </c>
      <c r="X128" s="6">
        <v>0</v>
      </c>
      <c r="Z128" s="6">
        <v>20000</v>
      </c>
      <c r="AB128" s="6">
        <v>0</v>
      </c>
      <c r="AD128" s="6">
        <v>8500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L128" s="6">
        <f>SUM(T128:BK128)</f>
        <v>28500</v>
      </c>
      <c r="BN128" s="6">
        <v>0</v>
      </c>
      <c r="BP128" s="6">
        <f>IF(+R128-BL128+BN128&gt;0,R128-BL128+BN128,0)</f>
        <v>0</v>
      </c>
      <c r="BR128" s="6">
        <f>+BL128+BP128</f>
        <v>28500</v>
      </c>
      <c r="BT128" s="6">
        <f>+R128-BR128</f>
        <v>0</v>
      </c>
      <c r="BU128" s="6"/>
    </row>
    <row r="129" spans="1:73">
      <c r="A129" s="61"/>
      <c r="B129" s="11" t="s">
        <v>208</v>
      </c>
      <c r="E129" s="4"/>
      <c r="G129" s="4"/>
      <c r="I129" s="4"/>
      <c r="J129" s="5" t="s">
        <v>0</v>
      </c>
      <c r="L129" s="134" t="s">
        <v>202</v>
      </c>
      <c r="M129" s="6"/>
      <c r="O129" s="6"/>
      <c r="Q129" s="6"/>
      <c r="R129" s="6">
        <v>0</v>
      </c>
      <c r="S129" s="6"/>
      <c r="T129" s="6">
        <v>0</v>
      </c>
      <c r="U129" s="6"/>
      <c r="V129" s="6">
        <v>0</v>
      </c>
      <c r="X129" s="6">
        <v>0</v>
      </c>
      <c r="Z129" s="6">
        <v>0</v>
      </c>
      <c r="AB129" s="6">
        <v>0</v>
      </c>
      <c r="AD129" s="6">
        <v>0</v>
      </c>
      <c r="AF129" s="6">
        <v>0</v>
      </c>
      <c r="AH129" s="6">
        <v>0</v>
      </c>
      <c r="AI129"/>
      <c r="AJ129" s="6">
        <v>0</v>
      </c>
      <c r="AL129" s="6">
        <v>0</v>
      </c>
      <c r="AN129" s="6">
        <v>0</v>
      </c>
      <c r="AP129" s="6">
        <v>0</v>
      </c>
      <c r="AR129" s="6">
        <v>0</v>
      </c>
      <c r="AT129" s="6">
        <v>0</v>
      </c>
      <c r="AV129" s="6">
        <v>0</v>
      </c>
      <c r="AX129" s="6">
        <v>0</v>
      </c>
      <c r="AZ129" s="6">
        <v>0</v>
      </c>
      <c r="BB129" s="6">
        <v>0</v>
      </c>
      <c r="BD129" s="6">
        <v>0</v>
      </c>
      <c r="BF129" s="6">
        <v>0</v>
      </c>
      <c r="BH129" s="6">
        <v>0</v>
      </c>
      <c r="BJ129" s="6">
        <v>0</v>
      </c>
      <c r="BL129" s="6">
        <f>SUM(T129:BK129)</f>
        <v>0</v>
      </c>
      <c r="BN129" s="6">
        <v>0</v>
      </c>
      <c r="BP129" s="6">
        <f>+R129-BL129+BN129</f>
        <v>0</v>
      </c>
      <c r="BR129" s="6">
        <f>+BL129+BP129</f>
        <v>0</v>
      </c>
      <c r="BT129" s="6">
        <f>+R129-BR129</f>
        <v>0</v>
      </c>
      <c r="BU129" s="6"/>
    </row>
    <row r="130" spans="1:73">
      <c r="A130" s="61"/>
      <c r="B130" s="11" t="s">
        <v>209</v>
      </c>
      <c r="E130" s="4"/>
      <c r="G130" s="4"/>
      <c r="I130" s="4"/>
      <c r="J130" s="5" t="s">
        <v>0</v>
      </c>
      <c r="L130" s="134" t="s">
        <v>202</v>
      </c>
      <c r="M130" s="6"/>
      <c r="O130" s="6"/>
      <c r="Q130" s="6"/>
      <c r="R130" s="6">
        <f>2280000-28500</f>
        <v>2251500</v>
      </c>
      <c r="S130" s="6"/>
      <c r="T130" s="6">
        <v>0</v>
      </c>
      <c r="U130" s="6"/>
      <c r="V130" s="6">
        <v>0</v>
      </c>
      <c r="X130" s="6">
        <v>0</v>
      </c>
      <c r="Z130" s="6">
        <v>0</v>
      </c>
      <c r="AB130" s="6">
        <v>1446361</v>
      </c>
      <c r="AD130" s="6">
        <v>0</v>
      </c>
      <c r="AF130" s="6">
        <v>0</v>
      </c>
      <c r="AH130" s="6">
        <v>821965.14</v>
      </c>
      <c r="AI130"/>
      <c r="AJ130" s="6">
        <v>0</v>
      </c>
      <c r="AL130" s="6">
        <v>0</v>
      </c>
      <c r="AN130" s="6">
        <v>1000</v>
      </c>
      <c r="AP130" s="6">
        <v>7992</v>
      </c>
      <c r="AR130" s="6">
        <v>0</v>
      </c>
      <c r="AT130" s="6">
        <v>180000</v>
      </c>
      <c r="AV130" s="6">
        <f>3400-16567.86</f>
        <v>-13167.86</v>
      </c>
      <c r="AX130" s="6">
        <v>0</v>
      </c>
      <c r="AZ130" s="6">
        <v>0</v>
      </c>
      <c r="BB130" s="6">
        <v>1662</v>
      </c>
      <c r="BD130" s="6">
        <v>0</v>
      </c>
      <c r="BF130" s="6">
        <v>0</v>
      </c>
      <c r="BH130" s="6">
        <v>0</v>
      </c>
      <c r="BJ130" s="6">
        <v>0</v>
      </c>
      <c r="BL130" s="6">
        <f>SUM(T130:BK130)</f>
        <v>2445812.2800000003</v>
      </c>
      <c r="BN130" s="6">
        <v>25818</v>
      </c>
      <c r="BP130" s="6">
        <f>IF(+R130-BL130+BN130&gt;0,R130-BL130+BN130,0)</f>
        <v>0</v>
      </c>
      <c r="BR130" s="6">
        <f>+BL130+BP130</f>
        <v>2445812.2800000003</v>
      </c>
      <c r="BT130" s="6">
        <f>+R130-BR130</f>
        <v>-194312.28000000026</v>
      </c>
      <c r="BU130" s="6"/>
    </row>
    <row r="131" spans="1:73">
      <c r="A131" s="61"/>
      <c r="B131" s="11" t="s">
        <v>210</v>
      </c>
      <c r="E131" s="4"/>
      <c r="G131" s="4"/>
      <c r="I131" s="4"/>
      <c r="J131" s="5" t="s">
        <v>0</v>
      </c>
      <c r="L131" s="134" t="s">
        <v>202</v>
      </c>
      <c r="M131" s="6"/>
      <c r="O131" s="6"/>
      <c r="Q131" s="6"/>
      <c r="R131" s="6">
        <v>0</v>
      </c>
      <c r="S131" s="6"/>
      <c r="T131" s="6"/>
      <c r="U131" s="6"/>
      <c r="V131" s="6"/>
      <c r="X131" s="6"/>
      <c r="Z131" s="6"/>
      <c r="AB131" s="6"/>
      <c r="AD131" s="6"/>
      <c r="AI131"/>
      <c r="BJ131" s="6"/>
      <c r="BN131" s="6"/>
      <c r="BP131" s="6">
        <f>+R131-BL131+BN131</f>
        <v>0</v>
      </c>
      <c r="BR131" s="6">
        <f>+BL131+BP131</f>
        <v>0</v>
      </c>
      <c r="BT131" s="6">
        <f>+R131-BR131</f>
        <v>0</v>
      </c>
      <c r="BU131" s="6"/>
    </row>
    <row r="132" spans="1:73" s="21" customFormat="1">
      <c r="A132" s="56"/>
      <c r="B132" s="31" t="s">
        <v>182</v>
      </c>
      <c r="J132" s="8"/>
      <c r="L132" s="143"/>
      <c r="M132" s="9"/>
      <c r="N132" s="102">
        <f>SUM(N128:N131)</f>
        <v>0</v>
      </c>
      <c r="O132" s="9"/>
      <c r="P132" s="102">
        <f>SUM(P128:P131)</f>
        <v>0</v>
      </c>
      <c r="Q132" s="9"/>
      <c r="R132" s="102">
        <f>SUM(R128:R131)</f>
        <v>2280000</v>
      </c>
      <c r="S132" s="9"/>
      <c r="T132" s="102">
        <f>SUM(T128:T131)</f>
        <v>0</v>
      </c>
      <c r="U132" s="9"/>
      <c r="V132" s="102">
        <f>SUM(V128:V131)</f>
        <v>0</v>
      </c>
      <c r="W132" s="9"/>
      <c r="X132" s="102">
        <f>SUM(X128:X131)</f>
        <v>0</v>
      </c>
      <c r="Y132" s="9"/>
      <c r="Z132" s="102">
        <f>SUM(Z128:Z131)</f>
        <v>20000</v>
      </c>
      <c r="AA132" s="9"/>
      <c r="AB132" s="102">
        <f>SUM(AB128:AB131)</f>
        <v>1446361</v>
      </c>
      <c r="AC132" s="9"/>
      <c r="AD132" s="102">
        <f>SUM(AD128:AD131)</f>
        <v>8500</v>
      </c>
      <c r="AE132" s="9"/>
      <c r="AF132" s="102">
        <f>SUM(AF128:AF131)</f>
        <v>0</v>
      </c>
      <c r="AG132" s="9"/>
      <c r="AH132" s="102">
        <f>SUM(AH128:AH131)</f>
        <v>821965.14</v>
      </c>
      <c r="AI132"/>
      <c r="AJ132" s="102">
        <f>SUM(AJ128:AJ131)</f>
        <v>0</v>
      </c>
      <c r="AK132"/>
      <c r="AL132" s="102">
        <f>SUM(AL128:AL131)</f>
        <v>0</v>
      </c>
      <c r="AM132"/>
      <c r="AN132" s="102">
        <f>SUM(AN128:AN131)</f>
        <v>1000</v>
      </c>
      <c r="AO132" s="9"/>
      <c r="AP132" s="102">
        <f>SUM(AP128:AP131)</f>
        <v>7992</v>
      </c>
      <c r="AQ132" s="9"/>
      <c r="AR132" s="102">
        <f>SUM(AR128:AR131)</f>
        <v>0</v>
      </c>
      <c r="AS132" s="9"/>
      <c r="AT132" s="102">
        <f>SUM(AT128:AT131)</f>
        <v>180000</v>
      </c>
      <c r="AU132" s="10"/>
      <c r="AV132" s="102">
        <f>SUM(AV128:AV131)</f>
        <v>-13167.86</v>
      </c>
      <c r="AW132" s="10"/>
      <c r="AX132" s="102">
        <f>SUM(AX128:AX131)</f>
        <v>0</v>
      </c>
      <c r="AY132" s="10"/>
      <c r="AZ132" s="102">
        <f>SUM(AZ128:AZ131)</f>
        <v>0</v>
      </c>
      <c r="BA132" s="10"/>
      <c r="BB132" s="102">
        <f>SUM(BB128:BB131)</f>
        <v>1662</v>
      </c>
      <c r="BC132" s="10"/>
      <c r="BD132" s="102">
        <f>SUM(BD128:BD131)</f>
        <v>0</v>
      </c>
      <c r="BE132"/>
      <c r="BF132" s="102">
        <f>SUM(BF128:BF131)</f>
        <v>0</v>
      </c>
      <c r="BG132"/>
      <c r="BH132" s="102">
        <f>SUM(BH128:BH131)</f>
        <v>0</v>
      </c>
      <c r="BI132"/>
      <c r="BJ132" s="102">
        <f>SUM(BJ128:BJ131)</f>
        <v>0</v>
      </c>
      <c r="BK132"/>
      <c r="BL132" s="102">
        <f>SUM(BL128:BL131)</f>
        <v>2474312.2800000003</v>
      </c>
      <c r="BM132"/>
      <c r="BN132" s="102">
        <f>SUM(BN128:BN131)</f>
        <v>25818</v>
      </c>
      <c r="BO132"/>
      <c r="BP132" s="102">
        <f>SUM(BP128:BP131)</f>
        <v>0</v>
      </c>
      <c r="BQ132" s="9"/>
      <c r="BR132" s="102">
        <f>SUM(BR128:BR131)</f>
        <v>2474312.2800000003</v>
      </c>
      <c r="BS132" s="9"/>
      <c r="BT132" s="102">
        <f>SUM(BT128:BT131)</f>
        <v>-194312.28000000026</v>
      </c>
      <c r="BU132" s="9"/>
    </row>
    <row r="133" spans="1:73" s="21" customFormat="1">
      <c r="A133" s="56"/>
      <c r="B133" s="31"/>
      <c r="J133" s="8"/>
      <c r="L133" s="134"/>
      <c r="M133" s="9"/>
      <c r="N133" s="9"/>
      <c r="O133" s="9"/>
      <c r="P133" s="9"/>
      <c r="Q133" s="9"/>
      <c r="R133" s="9"/>
      <c r="S133" s="9"/>
      <c r="T133" s="9"/>
      <c r="U133" s="9"/>
      <c r="V133" s="9"/>
      <c r="W133" s="9"/>
      <c r="X133" s="9"/>
      <c r="Y133" s="9"/>
      <c r="Z133" s="9"/>
      <c r="AA133" s="9"/>
      <c r="AB133" s="9"/>
      <c r="AC133" s="9"/>
      <c r="AD133" s="9"/>
      <c r="AE133" s="9"/>
      <c r="AF133" s="9"/>
      <c r="AG133" s="9"/>
      <c r="AH133" s="9"/>
      <c r="AI133"/>
      <c r="AJ133" s="9"/>
      <c r="AK133"/>
      <c r="AL133" s="9"/>
      <c r="AM133"/>
      <c r="AN133" s="9"/>
      <c r="AO133" s="9"/>
      <c r="AP133" s="9"/>
      <c r="AQ133" s="9"/>
      <c r="AR133" s="9"/>
      <c r="AS133" s="9"/>
      <c r="AT133" s="9"/>
      <c r="AU133" s="9"/>
      <c r="AV133" s="9"/>
      <c r="AW133" s="9"/>
      <c r="AX133" s="9"/>
      <c r="AY133" s="9"/>
      <c r="AZ133" s="9"/>
      <c r="BA133" s="9"/>
      <c r="BB133" s="9"/>
      <c r="BC133" s="9"/>
      <c r="BD133" s="9"/>
      <c r="BE133"/>
      <c r="BF133" s="9"/>
      <c r="BG133"/>
      <c r="BH133" s="9"/>
      <c r="BI133"/>
      <c r="BJ133" s="9"/>
      <c r="BK133"/>
      <c r="BL133" s="9"/>
      <c r="BM133"/>
      <c r="BN133" s="9"/>
      <c r="BO133"/>
      <c r="BP133" s="9"/>
      <c r="BQ133" s="9"/>
      <c r="BR133" s="9"/>
      <c r="BS133" s="9"/>
      <c r="BT133" s="9"/>
      <c r="BU133" s="9"/>
    </row>
    <row r="134" spans="1:73">
      <c r="A134" s="56" t="s">
        <v>28</v>
      </c>
      <c r="B134" s="11"/>
      <c r="C134"/>
      <c r="D134"/>
      <c r="E134"/>
      <c r="F134"/>
      <c r="G134"/>
      <c r="H134"/>
      <c r="I134"/>
      <c r="J134" s="49"/>
      <c r="K134"/>
      <c r="L134" s="134"/>
      <c r="M134" s="6"/>
      <c r="O134" s="6"/>
      <c r="Q134" s="6"/>
      <c r="S134" s="6"/>
      <c r="T134" s="6"/>
      <c r="U134" s="6"/>
      <c r="V134" s="6"/>
      <c r="X134" s="6"/>
      <c r="Z134" s="6"/>
      <c r="AB134" s="6"/>
      <c r="AD134" s="6"/>
      <c r="AI134"/>
      <c r="BJ134" s="6"/>
      <c r="BN134" s="6"/>
      <c r="BU134" s="6"/>
    </row>
    <row r="135" spans="1:73">
      <c r="A135" s="56"/>
      <c r="B135" s="11" t="s">
        <v>260</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L135" s="6">
        <f>SUM(T135:BK135)</f>
        <v>0</v>
      </c>
      <c r="BN135" s="6">
        <v>0</v>
      </c>
      <c r="BP135" s="6">
        <f>IF(+R135-BL135+BN135&gt;0,R135-BL135+BN135,0)</f>
        <v>0</v>
      </c>
      <c r="BR135" s="6">
        <f>+BL135+BP135</f>
        <v>0</v>
      </c>
      <c r="BT135" s="6">
        <f>+R135-BR135</f>
        <v>0</v>
      </c>
      <c r="BU135" s="6"/>
    </row>
    <row r="136" spans="1:73">
      <c r="A136" s="57"/>
      <c r="B136" s="17" t="s">
        <v>261</v>
      </c>
      <c r="C136"/>
      <c r="D136"/>
      <c r="E136"/>
      <c r="F136"/>
      <c r="G136"/>
      <c r="H136"/>
      <c r="I136"/>
      <c r="J136" s="49"/>
      <c r="K136"/>
      <c r="L136" s="134" t="s">
        <v>203</v>
      </c>
      <c r="M136" s="6"/>
      <c r="N136" s="6">
        <v>0</v>
      </c>
      <c r="O136" s="6"/>
      <c r="P136" s="6">
        <v>0</v>
      </c>
      <c r="Q136" s="6"/>
      <c r="S136" s="6"/>
      <c r="T136" s="6">
        <v>0</v>
      </c>
      <c r="U136" s="6"/>
      <c r="V136" s="6">
        <v>0</v>
      </c>
      <c r="X136" s="6">
        <v>0</v>
      </c>
      <c r="Z136" s="6">
        <v>0</v>
      </c>
      <c r="AB136" s="6">
        <v>0</v>
      </c>
      <c r="AD136" s="6"/>
      <c r="AF136" s="6">
        <v>0</v>
      </c>
      <c r="AH136" s="6">
        <v>0</v>
      </c>
      <c r="AI136"/>
      <c r="AJ136" s="6">
        <v>0</v>
      </c>
      <c r="AL136" s="6">
        <v>0</v>
      </c>
      <c r="AN136" s="6">
        <v>0</v>
      </c>
      <c r="AP136" s="6">
        <v>0</v>
      </c>
      <c r="AR136" s="6">
        <v>0</v>
      </c>
      <c r="AT136" s="6">
        <v>0</v>
      </c>
      <c r="AV136" s="6">
        <v>0</v>
      </c>
      <c r="AX136" s="6">
        <v>0</v>
      </c>
      <c r="AZ136" s="6">
        <v>0</v>
      </c>
      <c r="BB136" s="6">
        <v>0</v>
      </c>
      <c r="BD136" s="6">
        <v>0</v>
      </c>
      <c r="BF136" s="6">
        <v>0</v>
      </c>
      <c r="BH136" s="6">
        <v>0</v>
      </c>
      <c r="BJ136" s="6">
        <v>0</v>
      </c>
      <c r="BL136" s="6">
        <f>SUM(T136:BK136)</f>
        <v>0</v>
      </c>
      <c r="BN136" s="6">
        <v>0</v>
      </c>
      <c r="BP136" s="6">
        <f>IF(+R136-BL136+BN136&gt;0,R136-BL136+BN136,0)</f>
        <v>0</v>
      </c>
      <c r="BR136" s="6">
        <f>+BL136+BP136</f>
        <v>0</v>
      </c>
      <c r="BT136" s="6">
        <f>+R136-BR136</f>
        <v>0</v>
      </c>
      <c r="BU136" s="6"/>
    </row>
    <row r="137" spans="1:73">
      <c r="A137" s="57"/>
      <c r="B137" s="17" t="s">
        <v>262</v>
      </c>
      <c r="C137"/>
      <c r="D137"/>
      <c r="E137"/>
      <c r="F137"/>
      <c r="G137"/>
      <c r="H137"/>
      <c r="I137"/>
      <c r="J137" s="49"/>
      <c r="K137"/>
      <c r="L137" s="134" t="s">
        <v>203</v>
      </c>
      <c r="M137" s="6"/>
      <c r="O137" s="6"/>
      <c r="P137" s="6">
        <v>0</v>
      </c>
      <c r="Q137" s="6"/>
      <c r="R137" s="6">
        <v>400000</v>
      </c>
      <c r="S137" s="6"/>
      <c r="T137" s="6">
        <v>0</v>
      </c>
      <c r="U137" s="6"/>
      <c r="V137" s="6">
        <v>0</v>
      </c>
      <c r="X137" s="6">
        <v>0</v>
      </c>
      <c r="Z137" s="6">
        <v>8000</v>
      </c>
      <c r="AB137" s="6">
        <v>24712</v>
      </c>
      <c r="AD137" s="6">
        <v>71081</v>
      </c>
      <c r="AF137" s="6">
        <f>11932.33+162+1167.32</f>
        <v>13261.65</v>
      </c>
      <c r="AH137" s="6">
        <f>22563.83+17013.6</f>
        <v>39577.43</v>
      </c>
      <c r="AI137"/>
      <c r="AJ137" s="6">
        <f>2460+6571.33+2789.89</f>
        <v>11821.22</v>
      </c>
      <c r="AL137" s="6">
        <v>11746.18</v>
      </c>
      <c r="AN137" s="6">
        <v>19877.66</v>
      </c>
      <c r="AP137" s="6">
        <f>12427.46+17404.94</f>
        <v>29832.399999999998</v>
      </c>
      <c r="AR137" s="6">
        <v>39859.51</v>
      </c>
      <c r="AT137" s="6">
        <v>5434</v>
      </c>
      <c r="AV137" s="6">
        <v>2588.4499999999998</v>
      </c>
      <c r="AX137" s="6">
        <v>0</v>
      </c>
      <c r="AZ137" s="6">
        <v>3856</v>
      </c>
      <c r="BB137" s="6">
        <f>-1595</f>
        <v>-1595</v>
      </c>
      <c r="BD137" s="6">
        <v>9124.8799999999992</v>
      </c>
      <c r="BF137" s="6">
        <v>2377</v>
      </c>
      <c r="BH137" s="6">
        <v>0</v>
      </c>
      <c r="BJ137" s="6">
        <v>0</v>
      </c>
      <c r="BL137" s="22">
        <f>SUM(T137:BK137)</f>
        <v>291554.38</v>
      </c>
      <c r="BN137" s="6">
        <v>0</v>
      </c>
      <c r="BP137" s="6">
        <f>IF(+R137-BL137+BN137&gt;0,R137-BL137+BN137,0)</f>
        <v>108445.62</v>
      </c>
      <c r="BR137" s="6">
        <f>+BL137+BP137</f>
        <v>400000</v>
      </c>
      <c r="BT137" s="6">
        <f>+R137-BR137</f>
        <v>0</v>
      </c>
      <c r="BU137" s="6"/>
    </row>
    <row r="138" spans="1:73">
      <c r="A138" s="57"/>
      <c r="B138" s="17"/>
      <c r="C138"/>
      <c r="D138"/>
      <c r="E138"/>
      <c r="F138"/>
      <c r="G138"/>
      <c r="H138"/>
      <c r="I138"/>
      <c r="J138" s="49"/>
      <c r="K138"/>
      <c r="L138" s="134"/>
      <c r="M138" s="6"/>
      <c r="O138" s="6"/>
      <c r="Q138" s="6"/>
      <c r="S138" s="6"/>
      <c r="T138" s="6"/>
      <c r="U138" s="6"/>
      <c r="V138" s="6"/>
      <c r="X138" s="6"/>
      <c r="Z138" s="6"/>
      <c r="AB138" s="6"/>
      <c r="AD138" s="6"/>
      <c r="AI138"/>
      <c r="BJ138" s="6"/>
      <c r="BN138" s="6"/>
      <c r="BP138" s="6">
        <f>IF(+R138-BL138+BN138&gt;0,R138-BL138+BN138,0)</f>
        <v>0</v>
      </c>
      <c r="BU138" s="6"/>
    </row>
    <row r="139" spans="1:73" s="21" customFormat="1">
      <c r="A139" s="118"/>
      <c r="B139" s="58" t="s">
        <v>183</v>
      </c>
      <c r="J139" s="8"/>
      <c r="L139" s="143"/>
      <c r="M139" s="9"/>
      <c r="N139" s="102">
        <f>SUM(N135:N138)</f>
        <v>0</v>
      </c>
      <c r="O139" s="9"/>
      <c r="P139" s="102">
        <f>SUM(P135:P138)</f>
        <v>0</v>
      </c>
      <c r="Q139" s="9"/>
      <c r="R139" s="102">
        <f>SUM(R135:R138)</f>
        <v>400000</v>
      </c>
      <c r="S139" s="9"/>
      <c r="T139" s="102">
        <f>SUM(T135:T138)</f>
        <v>0</v>
      </c>
      <c r="U139" s="9"/>
      <c r="V139" s="102">
        <f>SUM(V135:V138)</f>
        <v>0</v>
      </c>
      <c r="W139" s="9"/>
      <c r="X139" s="102">
        <f>SUM(X135:X138)</f>
        <v>0</v>
      </c>
      <c r="Y139" s="9"/>
      <c r="Z139" s="102">
        <f>SUM(Z135:Z138)</f>
        <v>8000</v>
      </c>
      <c r="AA139" s="9"/>
      <c r="AB139" s="102">
        <f>SUM(AB135:AB138)</f>
        <v>24712</v>
      </c>
      <c r="AC139" s="9"/>
      <c r="AD139" s="102">
        <f>SUM(AD135:AD138)</f>
        <v>71081</v>
      </c>
      <c r="AE139" s="9"/>
      <c r="AF139" s="102">
        <f>SUM(AF135:AF138)</f>
        <v>13261.65</v>
      </c>
      <c r="AG139" s="9"/>
      <c r="AH139" s="102">
        <f>SUM(AH135:AH138)</f>
        <v>39577.43</v>
      </c>
      <c r="AI139"/>
      <c r="AJ139" s="102">
        <f>SUM(AJ135:AJ138)</f>
        <v>11821.22</v>
      </c>
      <c r="AK139"/>
      <c r="AL139" s="102">
        <f>SUM(AL135:AL138)</f>
        <v>11746.18</v>
      </c>
      <c r="AM139"/>
      <c r="AN139" s="102">
        <f>SUM(AN135:AN138)</f>
        <v>19877.66</v>
      </c>
      <c r="AO139" s="9"/>
      <c r="AP139" s="102">
        <f>SUM(AP135:AP138)</f>
        <v>29832.399999999998</v>
      </c>
      <c r="AQ139" s="9"/>
      <c r="AR139" s="102">
        <f>SUM(AR135:AR138)</f>
        <v>39859.51</v>
      </c>
      <c r="AS139" s="9"/>
      <c r="AT139" s="102">
        <f>SUM(AT135:AT138)</f>
        <v>5434</v>
      </c>
      <c r="AU139" s="10"/>
      <c r="AV139" s="102">
        <f>SUM(AV135:AV138)</f>
        <v>2588.4499999999998</v>
      </c>
      <c r="AW139" s="10"/>
      <c r="AX139" s="102">
        <f>SUM(AX135:AX138)</f>
        <v>0</v>
      </c>
      <c r="AY139" s="10"/>
      <c r="AZ139" s="102">
        <f>SUM(AZ135:AZ138)</f>
        <v>3856</v>
      </c>
      <c r="BA139" s="10"/>
      <c r="BB139" s="102">
        <f>SUM(BB135:BB138)</f>
        <v>-1595</v>
      </c>
      <c r="BC139" s="10"/>
      <c r="BD139" s="102">
        <f>SUM(BD135:BD138)</f>
        <v>9124.8799999999992</v>
      </c>
      <c r="BE139"/>
      <c r="BF139" s="102">
        <f>SUM(BF135:BF138)</f>
        <v>2377</v>
      </c>
      <c r="BG139"/>
      <c r="BH139" s="102">
        <f>SUM(BH135:BH138)</f>
        <v>0</v>
      </c>
      <c r="BI139"/>
      <c r="BJ139" s="102">
        <f>SUM(BJ135:BJ138)</f>
        <v>0</v>
      </c>
      <c r="BK139"/>
      <c r="BL139" s="102">
        <f>SUM(BL135:BL138)</f>
        <v>291554.38</v>
      </c>
      <c r="BM139"/>
      <c r="BN139" s="102">
        <f>SUM(BN135:BN138)</f>
        <v>0</v>
      </c>
      <c r="BO139"/>
      <c r="BP139" s="102">
        <f>SUM(BP135:BP138)</f>
        <v>108445.62</v>
      </c>
      <c r="BQ139" s="9"/>
      <c r="BR139" s="102">
        <f>SUM(BR135:BR138)</f>
        <v>400000</v>
      </c>
      <c r="BS139" s="9"/>
      <c r="BT139" s="102">
        <f>SUM(BT135:BT138)</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c r="AJ140" s="10"/>
      <c r="AK140"/>
      <c r="AL140" s="10"/>
      <c r="AM140"/>
      <c r="AN140" s="10"/>
      <c r="AO140" s="9"/>
      <c r="AP140" s="10"/>
      <c r="AQ140" s="9"/>
      <c r="AR140" s="10"/>
      <c r="AS140" s="9"/>
      <c r="AT140" s="10"/>
      <c r="AU140" s="10"/>
      <c r="AV140" s="10"/>
      <c r="AW140" s="10"/>
      <c r="AX140" s="10"/>
      <c r="AY140" s="10"/>
      <c r="AZ140" s="10"/>
      <c r="BA140" s="10"/>
      <c r="BB140" s="10"/>
      <c r="BC140" s="10"/>
      <c r="BD140" s="10"/>
      <c r="BE140"/>
      <c r="BF140" s="10"/>
      <c r="BG140"/>
      <c r="BH140" s="10"/>
      <c r="BI140"/>
      <c r="BJ140" s="10"/>
      <c r="BK140"/>
      <c r="BL140" s="10"/>
      <c r="BM140"/>
      <c r="BN140" s="10"/>
      <c r="BO140"/>
      <c r="BP140" s="10"/>
      <c r="BQ140" s="9"/>
      <c r="BR140" s="10"/>
      <c r="BS140" s="9"/>
      <c r="BT140" s="10"/>
      <c r="BU140" s="9"/>
    </row>
    <row r="141" spans="1:73" s="21" customFormat="1">
      <c r="A141" s="56" t="s">
        <v>511</v>
      </c>
      <c r="B141" s="31"/>
      <c r="J141" s="8" t="s">
        <v>0</v>
      </c>
      <c r="L141" s="134" t="s">
        <v>202</v>
      </c>
      <c r="M141" s="9"/>
      <c r="N141" s="9">
        <v>0</v>
      </c>
      <c r="O141" s="9"/>
      <c r="P141" s="9">
        <v>0</v>
      </c>
      <c r="Q141" s="9"/>
      <c r="R141" s="9">
        <v>1000000</v>
      </c>
      <c r="S141" s="9"/>
      <c r="T141" s="9">
        <v>0</v>
      </c>
      <c r="U141" s="9"/>
      <c r="V141" s="9">
        <v>0</v>
      </c>
      <c r="W141" s="9"/>
      <c r="X141" s="9">
        <v>0</v>
      </c>
      <c r="Y141" s="9"/>
      <c r="Z141" s="9">
        <v>0</v>
      </c>
      <c r="AA141" s="9"/>
      <c r="AB141" s="9">
        <v>0</v>
      </c>
      <c r="AC141" s="9"/>
      <c r="AD141" s="9">
        <v>0</v>
      </c>
      <c r="AE141" s="9"/>
      <c r="AF141" s="9">
        <v>0</v>
      </c>
      <c r="AG141" s="9"/>
      <c r="AH141" s="9">
        <v>0</v>
      </c>
      <c r="AI141"/>
      <c r="AJ141" s="9">
        <v>0</v>
      </c>
      <c r="AK141"/>
      <c r="AL141" s="9">
        <v>0</v>
      </c>
      <c r="AM141"/>
      <c r="AN141" s="9">
        <v>50050</v>
      </c>
      <c r="AO141" s="9"/>
      <c r="AP141" s="9">
        <f>2348.07+158267.53</f>
        <v>160615.6</v>
      </c>
      <c r="AQ141" s="9"/>
      <c r="AR141" s="9">
        <v>8227.76</v>
      </c>
      <c r="AS141" s="9"/>
      <c r="AT141" s="9">
        <v>115500</v>
      </c>
      <c r="AU141" s="9"/>
      <c r="AV141" s="9">
        <v>445269.08</v>
      </c>
      <c r="AW141" s="9"/>
      <c r="AX141" s="9">
        <v>0</v>
      </c>
      <c r="AY141" s="9"/>
      <c r="AZ141" s="9">
        <v>0</v>
      </c>
      <c r="BA141" s="9"/>
      <c r="BB141" s="9"/>
      <c r="BC141" s="9"/>
      <c r="BD141" s="9">
        <v>6343</v>
      </c>
      <c r="BE141"/>
      <c r="BF141" s="9">
        <v>0</v>
      </c>
      <c r="BG141"/>
      <c r="BH141" s="9">
        <v>0</v>
      </c>
      <c r="BI141"/>
      <c r="BJ141" s="9">
        <v>0</v>
      </c>
      <c r="BK141"/>
      <c r="BL141" s="9">
        <f>SUM(T141:BK141)</f>
        <v>786005.44</v>
      </c>
      <c r="BM141"/>
      <c r="BN141" s="9">
        <v>200000</v>
      </c>
      <c r="BO141"/>
      <c r="BP141" s="6">
        <f>IF(+R141-BL141+BN141&gt;0,R141-BL141+BN141,0)</f>
        <v>413994.56000000006</v>
      </c>
      <c r="BQ141" s="9"/>
      <c r="BR141" s="9">
        <f>+BL141+BP141</f>
        <v>1200000</v>
      </c>
      <c r="BS141" s="9"/>
      <c r="BT141" s="9">
        <f>+R141-BR141</f>
        <v>-200000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c r="AJ142" s="10"/>
      <c r="AK142"/>
      <c r="AL142" s="10"/>
      <c r="AM142"/>
      <c r="AN142" s="10"/>
      <c r="AO142" s="9"/>
      <c r="AP142" s="10"/>
      <c r="AQ142" s="9"/>
      <c r="AR142" s="10"/>
      <c r="AS142" s="9"/>
      <c r="AT142" s="10"/>
      <c r="AU142" s="10"/>
      <c r="AV142" s="10"/>
      <c r="AW142" s="10"/>
      <c r="AX142" s="10"/>
      <c r="AY142" s="10"/>
      <c r="AZ142" s="10"/>
      <c r="BA142" s="10"/>
      <c r="BB142" s="10"/>
      <c r="BC142" s="10"/>
      <c r="BD142" s="10"/>
      <c r="BE142"/>
      <c r="BF142" s="10"/>
      <c r="BG142"/>
      <c r="BH142" s="10"/>
      <c r="BI142"/>
      <c r="BJ142" s="10"/>
      <c r="BK142"/>
      <c r="BL142" s="10"/>
      <c r="BM142"/>
      <c r="BN142" s="10"/>
      <c r="BO142"/>
      <c r="BP142" s="10"/>
      <c r="BQ142" s="9"/>
      <c r="BR142" s="10"/>
      <c r="BS142" s="9"/>
      <c r="BT142" s="10"/>
      <c r="BU142" s="9"/>
    </row>
    <row r="143" spans="1:73" s="21" customFormat="1">
      <c r="A143" s="56" t="s">
        <v>29</v>
      </c>
      <c r="B143" s="31"/>
      <c r="J143" s="8" t="s">
        <v>0</v>
      </c>
      <c r="L143" s="134" t="s">
        <v>202</v>
      </c>
      <c r="M143" s="9"/>
      <c r="N143" s="9">
        <v>0</v>
      </c>
      <c r="O143" s="9"/>
      <c r="P143" s="9">
        <v>0</v>
      </c>
      <c r="Q143" s="9"/>
      <c r="R143" s="9">
        <v>3500000</v>
      </c>
      <c r="S143" s="9"/>
      <c r="T143" s="9">
        <v>0</v>
      </c>
      <c r="U143" s="9"/>
      <c r="V143" s="9">
        <v>0</v>
      </c>
      <c r="W143" s="9"/>
      <c r="X143" s="9">
        <v>0</v>
      </c>
      <c r="Y143" s="9"/>
      <c r="Z143" s="9">
        <v>0</v>
      </c>
      <c r="AA143" s="9"/>
      <c r="AB143" s="9">
        <v>0</v>
      </c>
      <c r="AC143" s="9"/>
      <c r="AD143" s="9">
        <v>0</v>
      </c>
      <c r="AE143" s="9"/>
      <c r="AF143" s="9">
        <v>0</v>
      </c>
      <c r="AG143" s="9"/>
      <c r="AH143" s="9">
        <v>0</v>
      </c>
      <c r="AI143"/>
      <c r="AJ143" s="9">
        <v>0</v>
      </c>
      <c r="AK143"/>
      <c r="AL143" s="9">
        <v>0</v>
      </c>
      <c r="AM143"/>
      <c r="AN143" s="9">
        <v>0</v>
      </c>
      <c r="AO143" s="9"/>
      <c r="AP143" s="9">
        <v>0</v>
      </c>
      <c r="AQ143" s="9"/>
      <c r="AR143" s="9">
        <v>0</v>
      </c>
      <c r="AS143" s="9"/>
      <c r="AT143" s="9">
        <v>0</v>
      </c>
      <c r="AU143" s="9"/>
      <c r="AV143" s="9">
        <v>0</v>
      </c>
      <c r="AW143" s="9"/>
      <c r="AX143" s="9">
        <v>0</v>
      </c>
      <c r="AY143" s="9"/>
      <c r="AZ143" s="9">
        <v>0</v>
      </c>
      <c r="BA143" s="9"/>
      <c r="BB143" s="9">
        <v>4210113.22</v>
      </c>
      <c r="BC143" s="9"/>
      <c r="BD143" s="9">
        <v>0</v>
      </c>
      <c r="BE143"/>
      <c r="BF143" s="9">
        <v>0</v>
      </c>
      <c r="BG143"/>
      <c r="BH143" s="9">
        <v>0</v>
      </c>
      <c r="BI143"/>
      <c r="BJ143" s="9">
        <v>0</v>
      </c>
      <c r="BK143"/>
      <c r="BL143" s="9">
        <f>SUM(T143:BK143)</f>
        <v>4210113.22</v>
      </c>
      <c r="BM143"/>
      <c r="BN143" s="9">
        <f>4500000+2900000</f>
        <v>7400000</v>
      </c>
      <c r="BO143"/>
      <c r="BP143" s="6">
        <f>IF(+R143-BL143+BN143&gt;0,R143-BL143+BN143,0)</f>
        <v>6689886.7800000003</v>
      </c>
      <c r="BQ143" s="9"/>
      <c r="BR143" s="9">
        <f>+BL143+BP143</f>
        <v>10900000</v>
      </c>
      <c r="BS143" s="9"/>
      <c r="BT143" s="9">
        <f>+R143-BR143</f>
        <v>-7400000</v>
      </c>
      <c r="BU143" s="9"/>
    </row>
    <row r="144" spans="1:73" s="21" customFormat="1">
      <c r="A144" s="118"/>
      <c r="B144" s="58"/>
      <c r="J144" s="8"/>
      <c r="L144" s="143"/>
      <c r="M144" s="9"/>
      <c r="N144" s="10"/>
      <c r="O144" s="9"/>
      <c r="P144" s="10"/>
      <c r="Q144" s="9"/>
      <c r="R144" s="10"/>
      <c r="S144" s="9"/>
      <c r="T144" s="10"/>
      <c r="U144" s="9"/>
      <c r="V144" s="10"/>
      <c r="W144" s="9"/>
      <c r="X144" s="10"/>
      <c r="Y144" s="9"/>
      <c r="Z144" s="10"/>
      <c r="AA144" s="9"/>
      <c r="AB144" s="10"/>
      <c r="AC144" s="9"/>
      <c r="AD144" s="10"/>
      <c r="AE144" s="9"/>
      <c r="AF144" s="10"/>
      <c r="AG144" s="9"/>
      <c r="AH144" s="10"/>
      <c r="AI144"/>
      <c r="AJ144" s="10"/>
      <c r="AK144"/>
      <c r="AL144" s="10"/>
      <c r="AM144"/>
      <c r="AN144" s="10"/>
      <c r="AO144" s="9"/>
      <c r="AP144" s="10"/>
      <c r="AQ144" s="9"/>
      <c r="AR144" s="10"/>
      <c r="AS144" s="9"/>
      <c r="AT144" s="10"/>
      <c r="AU144" s="10"/>
      <c r="AV144" s="10"/>
      <c r="AW144" s="10"/>
      <c r="AX144" s="10"/>
      <c r="AY144" s="10"/>
      <c r="AZ144" s="10"/>
      <c r="BA144" s="10"/>
      <c r="BB144" s="10"/>
      <c r="BC144" s="10"/>
      <c r="BD144" s="10"/>
      <c r="BE144"/>
      <c r="BF144" s="10"/>
      <c r="BG144"/>
      <c r="BH144" s="10"/>
      <c r="BI144"/>
      <c r="BJ144" s="10"/>
      <c r="BK144"/>
      <c r="BL144" s="10"/>
      <c r="BM144"/>
      <c r="BN144" s="10"/>
      <c r="BO144"/>
      <c r="BP144" s="10"/>
      <c r="BQ144" s="9"/>
      <c r="BR144" s="10"/>
      <c r="BS144" s="9"/>
      <c r="BT144" s="10"/>
      <c r="BU144" s="9"/>
    </row>
    <row r="145" spans="1:73" s="15" customFormat="1">
      <c r="A145" s="111" t="s">
        <v>178</v>
      </c>
      <c r="B145" s="60"/>
      <c r="C145"/>
      <c r="D145"/>
      <c r="E145"/>
      <c r="F145"/>
      <c r="G145"/>
      <c r="H145"/>
      <c r="I145"/>
      <c r="J145" s="49"/>
      <c r="K145"/>
      <c r="L145" s="134"/>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c r="AJ145" s="22"/>
      <c r="AK145"/>
      <c r="AL145" s="22"/>
      <c r="AM145"/>
      <c r="AN145" s="22"/>
      <c r="AO145" s="22"/>
      <c r="AP145" s="22"/>
      <c r="AQ145" s="22"/>
      <c r="AR145" s="22"/>
      <c r="AS145" s="22"/>
      <c r="AT145" s="22"/>
      <c r="AU145" s="22"/>
      <c r="AV145" s="22"/>
      <c r="AW145" s="22"/>
      <c r="AX145" s="22"/>
      <c r="AY145" s="22"/>
      <c r="AZ145" s="22"/>
      <c r="BA145" s="22"/>
      <c r="BB145" s="22"/>
      <c r="BC145" s="22"/>
      <c r="BD145" s="22"/>
      <c r="BE145"/>
      <c r="BF145" s="22"/>
      <c r="BG145"/>
      <c r="BH145" s="22"/>
      <c r="BI145"/>
      <c r="BJ145" s="22"/>
      <c r="BK145"/>
      <c r="BL145" s="22"/>
      <c r="BM145"/>
      <c r="BN145" s="22"/>
      <c r="BO145"/>
      <c r="BP145" s="22"/>
      <c r="BQ145" s="22"/>
      <c r="BR145" s="22"/>
      <c r="BS145" s="22"/>
      <c r="BT145" s="22"/>
      <c r="BU145" s="22"/>
    </row>
    <row r="146" spans="1:73" s="15" customFormat="1" hidden="1">
      <c r="A146" s="14"/>
      <c r="B146" s="60" t="s">
        <v>179</v>
      </c>
      <c r="C146"/>
      <c r="D146"/>
      <c r="E146"/>
      <c r="F146"/>
      <c r="G146"/>
      <c r="H146"/>
      <c r="I146"/>
      <c r="J146" s="49"/>
      <c r="K146"/>
      <c r="L146" s="134" t="s">
        <v>202</v>
      </c>
      <c r="M146" s="22"/>
      <c r="N146" s="22">
        <v>0</v>
      </c>
      <c r="O146" s="22"/>
      <c r="P146" s="22">
        <v>0</v>
      </c>
      <c r="Q146" s="22"/>
      <c r="R146" s="6">
        <f>+N146+P146</f>
        <v>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c r="BF146" s="22">
        <v>0</v>
      </c>
      <c r="BG146"/>
      <c r="BH146" s="22">
        <v>0</v>
      </c>
      <c r="BI146"/>
      <c r="BJ146" s="22">
        <v>0</v>
      </c>
      <c r="BK146"/>
      <c r="BL146" s="22">
        <f>SUM(T146:BK146)</f>
        <v>0</v>
      </c>
      <c r="BM146"/>
      <c r="BN146" s="22">
        <v>0</v>
      </c>
      <c r="BO146"/>
      <c r="BP146" s="22">
        <f>+R146-BL146+BN146</f>
        <v>0</v>
      </c>
      <c r="BQ146" s="22"/>
      <c r="BR146" s="6">
        <f>+BL146+BP146</f>
        <v>0</v>
      </c>
      <c r="BS146" s="22"/>
      <c r="BT146" s="6">
        <f>+R146-BR146</f>
        <v>0</v>
      </c>
      <c r="BU146" s="22"/>
    </row>
    <row r="147" spans="1:73" s="15" customFormat="1">
      <c r="A147" s="14"/>
      <c r="B147" s="60" t="s">
        <v>180</v>
      </c>
      <c r="C147"/>
      <c r="D147"/>
      <c r="E147"/>
      <c r="F147"/>
      <c r="G147"/>
      <c r="H147"/>
      <c r="I147"/>
      <c r="J147" s="49"/>
      <c r="K147"/>
      <c r="L147" s="134" t="s">
        <v>202</v>
      </c>
      <c r="M147" s="22"/>
      <c r="N147" s="22">
        <v>0</v>
      </c>
      <c r="O147" s="22"/>
      <c r="P147" s="22">
        <v>0</v>
      </c>
      <c r="Q147" s="22"/>
      <c r="R147" s="6">
        <v>1500000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310380</v>
      </c>
      <c r="BA147" s="22"/>
      <c r="BB147" s="22">
        <v>1670726</v>
      </c>
      <c r="BC147" s="22"/>
      <c r="BD147" s="22">
        <v>-127637.5</v>
      </c>
      <c r="BE147"/>
      <c r="BF147" s="22">
        <v>0</v>
      </c>
      <c r="BG147"/>
      <c r="BH147" s="22">
        <v>0</v>
      </c>
      <c r="BI147"/>
      <c r="BJ147" s="22">
        <v>0</v>
      </c>
      <c r="BK147"/>
      <c r="BL147" s="22">
        <f>SUM(T147:BK147)</f>
        <v>1853468.5</v>
      </c>
      <c r="BM147"/>
      <c r="BN147" s="22">
        <v>0</v>
      </c>
      <c r="BO147"/>
      <c r="BP147" s="6">
        <f>IF(+R147-BL147+BN147&gt;0,R147-BL147+BN147,0)</f>
        <v>0</v>
      </c>
      <c r="BQ147" s="22"/>
      <c r="BR147" s="6">
        <f>+BL147+BP147</f>
        <v>1853468.5</v>
      </c>
      <c r="BS147" s="22"/>
      <c r="BT147" s="6">
        <f>+R147-BR147</f>
        <v>-353468.5</v>
      </c>
      <c r="BU147" s="22"/>
    </row>
    <row r="148" spans="1:73" s="15" customFormat="1" hidden="1">
      <c r="A148" s="14"/>
      <c r="B148" s="60" t="s">
        <v>121</v>
      </c>
      <c r="C148"/>
      <c r="D148"/>
      <c r="E148"/>
      <c r="F148"/>
      <c r="G148"/>
      <c r="H148"/>
      <c r="I148"/>
      <c r="J148" s="49"/>
      <c r="K148"/>
      <c r="L148" s="134" t="s">
        <v>202</v>
      </c>
      <c r="M148" s="22"/>
      <c r="N148" s="22">
        <v>0</v>
      </c>
      <c r="O148" s="22"/>
      <c r="P148" s="22">
        <v>0</v>
      </c>
      <c r="Q148" s="22"/>
      <c r="R148" s="6">
        <v>0</v>
      </c>
      <c r="S148" s="22"/>
      <c r="T148" s="22">
        <v>0</v>
      </c>
      <c r="U148" s="22"/>
      <c r="V148" s="22">
        <v>0</v>
      </c>
      <c r="W148" s="22"/>
      <c r="X148" s="22">
        <v>0</v>
      </c>
      <c r="Y148" s="22"/>
      <c r="Z148" s="22">
        <v>0</v>
      </c>
      <c r="AA148" s="22"/>
      <c r="AB148" s="22">
        <v>0</v>
      </c>
      <c r="AC148" s="22"/>
      <c r="AD148" s="22">
        <v>0</v>
      </c>
      <c r="AE148" s="22"/>
      <c r="AF148" s="22">
        <v>0</v>
      </c>
      <c r="AG148" s="22"/>
      <c r="AH148" s="22">
        <v>0</v>
      </c>
      <c r="AI148"/>
      <c r="AJ148" s="22">
        <v>0</v>
      </c>
      <c r="AK148"/>
      <c r="AL148" s="22">
        <v>0</v>
      </c>
      <c r="AM148"/>
      <c r="AN148" s="22">
        <v>0</v>
      </c>
      <c r="AO148" s="22"/>
      <c r="AP148" s="22">
        <v>0</v>
      </c>
      <c r="AQ148" s="22"/>
      <c r="AR148" s="22">
        <v>0</v>
      </c>
      <c r="AS148" s="22"/>
      <c r="AT148" s="22">
        <v>0</v>
      </c>
      <c r="AU148" s="22"/>
      <c r="AV148" s="22">
        <v>0</v>
      </c>
      <c r="AW148" s="22"/>
      <c r="AX148" s="22">
        <v>0</v>
      </c>
      <c r="AY148" s="22"/>
      <c r="AZ148" s="22">
        <v>0</v>
      </c>
      <c r="BA148" s="22"/>
      <c r="BB148" s="22">
        <v>0</v>
      </c>
      <c r="BC148" s="22"/>
      <c r="BD148" s="22">
        <v>0</v>
      </c>
      <c r="BE148"/>
      <c r="BF148" s="22">
        <v>0</v>
      </c>
      <c r="BG148"/>
      <c r="BH148" s="22">
        <v>0</v>
      </c>
      <c r="BI148"/>
      <c r="BJ148" s="22">
        <v>0</v>
      </c>
      <c r="BK148"/>
      <c r="BL148" s="22">
        <f>SUM(T148:BK148)</f>
        <v>0</v>
      </c>
      <c r="BM148"/>
      <c r="BN148" s="22">
        <v>0</v>
      </c>
      <c r="BO148"/>
      <c r="BP148" s="22">
        <f>+R148-BL148+BN148</f>
        <v>0</v>
      </c>
      <c r="BQ148" s="22"/>
      <c r="BR148" s="6">
        <f>+BL148+BP148</f>
        <v>0</v>
      </c>
      <c r="BS148" s="22"/>
      <c r="BT148" s="6">
        <f>+R148-BR148</f>
        <v>0</v>
      </c>
      <c r="BU148" s="22"/>
    </row>
    <row r="149" spans="1:73" s="104" customFormat="1">
      <c r="A149" s="111"/>
      <c r="B149" s="77" t="s">
        <v>181</v>
      </c>
      <c r="C149" s="21"/>
      <c r="D149" s="21"/>
      <c r="E149" s="21"/>
      <c r="F149" s="21"/>
      <c r="G149" s="21"/>
      <c r="H149" s="21"/>
      <c r="I149" s="21"/>
      <c r="J149" s="8"/>
      <c r="K149" s="21"/>
      <c r="L149" s="143"/>
      <c r="M149" s="16"/>
      <c r="N149" s="108">
        <f>SUM(N146:N148)</f>
        <v>0</v>
      </c>
      <c r="O149" s="16"/>
      <c r="P149" s="108">
        <f>SUM(P146:P148)</f>
        <v>0</v>
      </c>
      <c r="Q149" s="16"/>
      <c r="R149" s="108">
        <f>SUM(R146:R148)</f>
        <v>1500000</v>
      </c>
      <c r="S149" s="16"/>
      <c r="T149" s="108">
        <f>SUM(T146:T148)</f>
        <v>0</v>
      </c>
      <c r="U149" s="16"/>
      <c r="V149" s="108">
        <f>SUM(V146:V148)</f>
        <v>0</v>
      </c>
      <c r="W149" s="16"/>
      <c r="X149" s="108">
        <f>SUM(X146:X148)</f>
        <v>0</v>
      </c>
      <c r="Y149" s="16"/>
      <c r="Z149" s="108">
        <f>SUM(Z146:Z148)</f>
        <v>0</v>
      </c>
      <c r="AA149" s="16"/>
      <c r="AB149" s="108">
        <f>SUM(AB146:AB148)</f>
        <v>0</v>
      </c>
      <c r="AC149" s="16"/>
      <c r="AD149" s="108">
        <f>SUM(AD146:AD148)</f>
        <v>0</v>
      </c>
      <c r="AE149" s="16"/>
      <c r="AF149" s="108">
        <f>SUM(AF146:AF148)</f>
        <v>0</v>
      </c>
      <c r="AG149" s="16"/>
      <c r="AH149" s="108">
        <f>SUM(AH146:AH148)</f>
        <v>0</v>
      </c>
      <c r="AI149"/>
      <c r="AJ149" s="108">
        <f>SUM(AJ146:AJ148)</f>
        <v>0</v>
      </c>
      <c r="AK149"/>
      <c r="AL149" s="108">
        <f>SUM(AL146:AL148)</f>
        <v>0</v>
      </c>
      <c r="AM149"/>
      <c r="AN149" s="108">
        <f>SUM(AN146:AN148)</f>
        <v>0</v>
      </c>
      <c r="AO149" s="16"/>
      <c r="AP149" s="108">
        <f>SUM(AP146:AP148)</f>
        <v>0</v>
      </c>
      <c r="AQ149" s="16"/>
      <c r="AR149" s="108">
        <f>SUM(AR146:AR148)</f>
        <v>0</v>
      </c>
      <c r="AS149" s="16"/>
      <c r="AT149" s="108">
        <f>SUM(AT146:AT148)</f>
        <v>0</v>
      </c>
      <c r="AU149" s="103"/>
      <c r="AV149" s="108">
        <f>SUM(AV146:AV148)</f>
        <v>0</v>
      </c>
      <c r="AW149" s="103"/>
      <c r="AX149" s="108">
        <f>SUM(AX146:AX148)</f>
        <v>0</v>
      </c>
      <c r="AY149" s="103"/>
      <c r="AZ149" s="108">
        <f>SUM(AZ146:AZ148)</f>
        <v>310380</v>
      </c>
      <c r="BA149" s="103"/>
      <c r="BB149" s="108">
        <f>SUM(BB146:BB148)</f>
        <v>1670726</v>
      </c>
      <c r="BC149" s="103"/>
      <c r="BD149" s="108">
        <f>SUM(BD146:BD148)</f>
        <v>-127637.5</v>
      </c>
      <c r="BE149"/>
      <c r="BF149" s="108">
        <f>SUM(BF146:BF148)</f>
        <v>0</v>
      </c>
      <c r="BG149"/>
      <c r="BH149" s="108">
        <f>SUM(BH146:BH148)</f>
        <v>0</v>
      </c>
      <c r="BI149"/>
      <c r="BJ149" s="108">
        <f>SUM(BJ146:BJ148)</f>
        <v>0</v>
      </c>
      <c r="BK149"/>
      <c r="BL149" s="108">
        <f>SUM(BL146:BL148)</f>
        <v>1853468.5</v>
      </c>
      <c r="BM149"/>
      <c r="BN149" s="108">
        <f>SUM(BN146:BN148)</f>
        <v>0</v>
      </c>
      <c r="BO149"/>
      <c r="BP149" s="108">
        <f>SUM(BP146:BP148)</f>
        <v>0</v>
      </c>
      <c r="BQ149" s="16"/>
      <c r="BR149" s="108">
        <f>SUM(BR146:BR148)</f>
        <v>1853468.5</v>
      </c>
      <c r="BS149" s="16"/>
      <c r="BT149" s="108">
        <f>SUM(BT146:BT148)</f>
        <v>-353468.5</v>
      </c>
      <c r="BU149" s="16"/>
    </row>
    <row r="150" spans="1:73" s="104" customFormat="1">
      <c r="A150" s="32"/>
      <c r="B150" s="77"/>
      <c r="C150" s="21"/>
      <c r="D150" s="21"/>
      <c r="E150" s="21"/>
      <c r="F150" s="21"/>
      <c r="G150" s="21"/>
      <c r="H150" s="21"/>
      <c r="I150" s="21"/>
      <c r="J150" s="8"/>
      <c r="K150" s="21"/>
      <c r="L150" s="143"/>
      <c r="M150" s="16"/>
      <c r="N150" s="103"/>
      <c r="O150" s="16"/>
      <c r="P150" s="103"/>
      <c r="Q150" s="16"/>
      <c r="R150" s="103"/>
      <c r="S150" s="16"/>
      <c r="T150" s="103"/>
      <c r="U150" s="16"/>
      <c r="V150" s="103"/>
      <c r="W150" s="16"/>
      <c r="X150" s="103"/>
      <c r="Y150" s="16"/>
      <c r="Z150" s="103"/>
      <c r="AA150" s="16"/>
      <c r="AB150" s="103"/>
      <c r="AC150" s="16"/>
      <c r="AD150" s="103"/>
      <c r="AE150" s="16"/>
      <c r="AF150" s="103"/>
      <c r="AG150" s="16"/>
      <c r="AH150" s="103"/>
      <c r="AI150"/>
      <c r="AJ150" s="103"/>
      <c r="AK150"/>
      <c r="AL150" s="103"/>
      <c r="AM150"/>
      <c r="AN150" s="103"/>
      <c r="AO150" s="16"/>
      <c r="AP150" s="103"/>
      <c r="AQ150" s="16"/>
      <c r="AR150" s="103"/>
      <c r="AS150" s="16"/>
      <c r="AT150" s="103"/>
      <c r="AU150" s="103"/>
      <c r="AV150" s="103"/>
      <c r="AW150" s="103"/>
      <c r="AX150" s="103"/>
      <c r="AY150" s="103"/>
      <c r="AZ150" s="103"/>
      <c r="BA150" s="103"/>
      <c r="BB150" s="103"/>
      <c r="BC150" s="103"/>
      <c r="BD150" s="103"/>
      <c r="BE150"/>
      <c r="BF150" s="103"/>
      <c r="BG150"/>
      <c r="BH150" s="103"/>
      <c r="BI150"/>
      <c r="BJ150" s="103"/>
      <c r="BK150"/>
      <c r="BL150" s="103"/>
      <c r="BM150"/>
      <c r="BN150" s="103"/>
      <c r="BO150"/>
      <c r="BP150" s="103"/>
      <c r="BQ150" s="16"/>
      <c r="BR150" s="103"/>
      <c r="BS150" s="16"/>
      <c r="BT150" s="103"/>
      <c r="BU150" s="16"/>
    </row>
    <row r="151" spans="1:73" s="31" customFormat="1">
      <c r="A151" s="58" t="s">
        <v>31</v>
      </c>
      <c r="J151" s="159"/>
      <c r="L151" s="145" t="s">
        <v>202</v>
      </c>
      <c r="M151" s="10"/>
      <c r="N151" s="10">
        <v>0</v>
      </c>
      <c r="O151" s="10"/>
      <c r="P151" s="10">
        <v>0</v>
      </c>
      <c r="Q151" s="10"/>
      <c r="R151" s="9">
        <v>150000</v>
      </c>
      <c r="S151" s="10"/>
      <c r="T151" s="10">
        <v>0</v>
      </c>
      <c r="U151" s="10"/>
      <c r="V151" s="10">
        <v>0</v>
      </c>
      <c r="W151" s="10"/>
      <c r="X151" s="10">
        <v>0</v>
      </c>
      <c r="Y151" s="10"/>
      <c r="Z151" s="10">
        <v>0</v>
      </c>
      <c r="AA151" s="10"/>
      <c r="AB151" s="10">
        <v>0</v>
      </c>
      <c r="AC151" s="10"/>
      <c r="AD151" s="10">
        <v>0</v>
      </c>
      <c r="AE151" s="10"/>
      <c r="AF151" s="10">
        <v>0</v>
      </c>
      <c r="AG151" s="10"/>
      <c r="AH151" s="10">
        <v>0</v>
      </c>
      <c r="AI151"/>
      <c r="AJ151" s="10">
        <v>0</v>
      </c>
      <c r="AK151"/>
      <c r="AL151" s="10">
        <v>0</v>
      </c>
      <c r="AM151"/>
      <c r="AN151" s="10">
        <v>0</v>
      </c>
      <c r="AO151" s="10"/>
      <c r="AP151" s="10">
        <v>0</v>
      </c>
      <c r="AQ151" s="10"/>
      <c r="AR151" s="10">
        <v>266248.5</v>
      </c>
      <c r="AS151" s="10"/>
      <c r="AT151" s="10">
        <v>0</v>
      </c>
      <c r="AU151" s="10"/>
      <c r="AV151" s="10">
        <v>0</v>
      </c>
      <c r="AW151" s="10"/>
      <c r="AX151" s="10">
        <v>0</v>
      </c>
      <c r="AY151" s="10"/>
      <c r="AZ151" s="10">
        <v>5000</v>
      </c>
      <c r="BA151" s="10"/>
      <c r="BB151" s="10">
        <v>0</v>
      </c>
      <c r="BC151" s="10"/>
      <c r="BD151" s="10">
        <v>0</v>
      </c>
      <c r="BE151"/>
      <c r="BF151" s="10">
        <v>59.75</v>
      </c>
      <c r="BG151"/>
      <c r="BH151" s="10">
        <v>0</v>
      </c>
      <c r="BI151"/>
      <c r="BJ151" s="10">
        <v>0</v>
      </c>
      <c r="BK151"/>
      <c r="BL151" s="10">
        <f>SUM(T151:BK151)</f>
        <v>271308.25</v>
      </c>
      <c r="BM151"/>
      <c r="BN151" s="10">
        <v>0</v>
      </c>
      <c r="BO151"/>
      <c r="BP151" s="6">
        <f>IF(+R151-BL151+BN151&gt;0,R151-BL151+BN151,0)</f>
        <v>0</v>
      </c>
      <c r="BQ151" s="10"/>
      <c r="BR151" s="9">
        <f>+BL151+BP151</f>
        <v>271308.25</v>
      </c>
      <c r="BS151" s="10"/>
      <c r="BT151" s="9">
        <f>+R151-BR151</f>
        <v>-121308.25</v>
      </c>
      <c r="BU151" s="10"/>
    </row>
    <row r="152" spans="1:73"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c r="AJ152" s="22"/>
      <c r="AK152"/>
      <c r="AL152" s="22"/>
      <c r="AM152"/>
      <c r="AN152" s="22"/>
      <c r="AO152" s="22"/>
      <c r="AP152" s="22"/>
      <c r="AQ152" s="22"/>
      <c r="AR152" s="22"/>
      <c r="AS152" s="22"/>
      <c r="AT152" s="22"/>
      <c r="AU152" s="22"/>
      <c r="AV152" s="22"/>
      <c r="AW152" s="22"/>
      <c r="AX152" s="22"/>
      <c r="AY152" s="22"/>
      <c r="AZ152" s="22"/>
      <c r="BA152" s="22"/>
      <c r="BB152" s="22"/>
      <c r="BC152" s="22"/>
      <c r="BD152" s="22"/>
      <c r="BE152"/>
      <c r="BF152" s="22"/>
      <c r="BG152"/>
      <c r="BH152" s="22"/>
      <c r="BI152"/>
      <c r="BJ152" s="22"/>
      <c r="BK152"/>
      <c r="BL152" s="22"/>
      <c r="BM152"/>
      <c r="BN152" s="22"/>
      <c r="BO152"/>
      <c r="BP152" s="22"/>
      <c r="BQ152" s="22"/>
      <c r="BR152" s="22"/>
      <c r="BS152" s="22"/>
      <c r="BT152" s="22"/>
      <c r="BU152" s="22"/>
    </row>
    <row r="153" spans="1:73" s="31" customFormat="1">
      <c r="A153" s="58" t="s">
        <v>32</v>
      </c>
      <c r="J153" s="159"/>
      <c r="L153" s="145" t="s">
        <v>202</v>
      </c>
      <c r="M153" s="10"/>
      <c r="N153" s="10">
        <v>0</v>
      </c>
      <c r="O153" s="10"/>
      <c r="P153" s="10">
        <v>0</v>
      </c>
      <c r="Q153" s="10"/>
      <c r="R153" s="9">
        <v>200000</v>
      </c>
      <c r="S153" s="10"/>
      <c r="T153" s="10">
        <v>0</v>
      </c>
      <c r="U153" s="10"/>
      <c r="V153" s="10">
        <v>0</v>
      </c>
      <c r="W153" s="10"/>
      <c r="X153" s="10"/>
      <c r="Y153" s="10"/>
      <c r="Z153" s="10">
        <v>0</v>
      </c>
      <c r="AA153" s="10"/>
      <c r="AB153" s="10">
        <v>0</v>
      </c>
      <c r="AC153" s="10"/>
      <c r="AD153" s="10">
        <v>29401.83</v>
      </c>
      <c r="AE153" s="10"/>
      <c r="AF153" s="10">
        <v>13770.85</v>
      </c>
      <c r="AG153" s="10"/>
      <c r="AH153" s="10">
        <v>7745.74</v>
      </c>
      <c r="AI153"/>
      <c r="AJ153" s="10">
        <v>6275.69</v>
      </c>
      <c r="AK153"/>
      <c r="AL153" s="10">
        <v>0</v>
      </c>
      <c r="AM153"/>
      <c r="AN153" s="10">
        <v>0</v>
      </c>
      <c r="AO153" s="10"/>
      <c r="AP153" s="10">
        <v>0</v>
      </c>
      <c r="AQ153" s="10"/>
      <c r="AR153" s="10">
        <v>0</v>
      </c>
      <c r="AS153" s="10"/>
      <c r="AT153" s="10">
        <v>0</v>
      </c>
      <c r="AU153" s="10"/>
      <c r="AV153" s="10">
        <v>0</v>
      </c>
      <c r="AW153" s="10"/>
      <c r="AX153" s="10">
        <v>9119.08</v>
      </c>
      <c r="AY153" s="10"/>
      <c r="AZ153" s="10">
        <v>9717.4500000000007</v>
      </c>
      <c r="BA153" s="10"/>
      <c r="BB153" s="10">
        <v>33664</v>
      </c>
      <c r="BC153" s="10"/>
      <c r="BD153" s="10">
        <v>0</v>
      </c>
      <c r="BE153"/>
      <c r="BF153" s="10">
        <v>0</v>
      </c>
      <c r="BG153"/>
      <c r="BH153" s="10">
        <v>0</v>
      </c>
      <c r="BI153"/>
      <c r="BJ153" s="10">
        <v>0</v>
      </c>
      <c r="BK153"/>
      <c r="BL153" s="10">
        <f>SUM(T153:BK153)</f>
        <v>109694.64</v>
      </c>
      <c r="BM153"/>
      <c r="BN153" s="10">
        <v>-90305</v>
      </c>
      <c r="BO153"/>
      <c r="BP153" s="6">
        <f>IF(+R153-BL153+BN153&gt;0,R153-BL153+BN153,0)</f>
        <v>0.36000000000058208</v>
      </c>
      <c r="BQ153" s="10"/>
      <c r="BR153" s="9">
        <f>+BL153+BP153</f>
        <v>109695</v>
      </c>
      <c r="BS153" s="10"/>
      <c r="BT153" s="6">
        <f>+R153-BR153</f>
        <v>90305</v>
      </c>
      <c r="BU153" s="10"/>
    </row>
    <row r="154" spans="1:73" s="15" customFormat="1">
      <c r="A154" s="14"/>
      <c r="B154" s="60"/>
      <c r="C154"/>
      <c r="D154"/>
      <c r="E154"/>
      <c r="F154"/>
      <c r="G154"/>
      <c r="H154"/>
      <c r="I154"/>
      <c r="J154" s="49"/>
      <c r="K154"/>
      <c r="L154" s="134"/>
      <c r="M154" s="22"/>
      <c r="N154" s="22"/>
      <c r="O154" s="22"/>
      <c r="P154" s="22"/>
      <c r="Q154" s="22"/>
      <c r="R154" s="22"/>
      <c r="S154" s="22"/>
      <c r="T154" s="22"/>
      <c r="U154" s="22"/>
      <c r="V154" s="22"/>
      <c r="W154" s="22"/>
      <c r="X154" s="22"/>
      <c r="Y154" s="22"/>
      <c r="Z154" s="22"/>
      <c r="AA154" s="22"/>
      <c r="AB154" s="22"/>
      <c r="AC154" s="22"/>
      <c r="AD154" s="22"/>
      <c r="AE154" s="22"/>
      <c r="AF154" s="22"/>
      <c r="AG154" s="22"/>
      <c r="AH154" s="22"/>
      <c r="AI154"/>
      <c r="AJ154" s="22"/>
      <c r="AK154"/>
      <c r="AL154" s="22"/>
      <c r="AM154"/>
      <c r="AN154" s="22"/>
      <c r="AO154" s="22"/>
      <c r="AP154" s="22"/>
      <c r="AQ154" s="22"/>
      <c r="AR154" s="22"/>
      <c r="AS154" s="22"/>
      <c r="AT154" s="22"/>
      <c r="AU154" s="22"/>
      <c r="AV154" s="22"/>
      <c r="AW154" s="22"/>
      <c r="AX154" s="22"/>
      <c r="AY154" s="22"/>
      <c r="AZ154" s="22"/>
      <c r="BA154" s="22"/>
      <c r="BB154" s="22"/>
      <c r="BC154" s="22"/>
      <c r="BD154" s="22"/>
      <c r="BE154"/>
      <c r="BF154" s="22"/>
      <c r="BG154"/>
      <c r="BH154" s="22"/>
      <c r="BI154"/>
      <c r="BJ154" s="22"/>
      <c r="BK154"/>
      <c r="BL154" s="22"/>
      <c r="BM154"/>
      <c r="BN154" s="22"/>
      <c r="BO154"/>
      <c r="BP154" s="22"/>
      <c r="BQ154" s="22"/>
      <c r="BR154" s="22"/>
      <c r="BS154" s="22"/>
      <c r="BT154" s="22"/>
      <c r="BU154" s="22"/>
    </row>
    <row r="155" spans="1:73">
      <c r="A155" s="56" t="s">
        <v>33</v>
      </c>
      <c r="B155" s="11"/>
      <c r="C155"/>
      <c r="D155"/>
      <c r="E155"/>
      <c r="F155"/>
      <c r="G155"/>
      <c r="H155"/>
      <c r="I155"/>
      <c r="J155" s="49"/>
      <c r="K155"/>
      <c r="L155" s="134"/>
      <c r="M155" s="6"/>
      <c r="O155" s="6"/>
      <c r="Q155" s="6"/>
      <c r="S155" s="6"/>
      <c r="T155" s="6"/>
      <c r="U155" s="6"/>
      <c r="V155" s="6"/>
      <c r="X155" s="6"/>
      <c r="Z155" s="6"/>
      <c r="AB155" s="6"/>
      <c r="AD155" s="6"/>
      <c r="AI155"/>
      <c r="BJ155" s="6"/>
      <c r="BL155" s="22"/>
      <c r="BN155" s="6"/>
      <c r="BU155" s="6"/>
    </row>
    <row r="156" spans="1:73" s="11" customFormat="1">
      <c r="A156" s="17"/>
      <c r="B156" s="11" t="s">
        <v>184</v>
      </c>
      <c r="J156" s="160"/>
      <c r="L156" s="146" t="s">
        <v>203</v>
      </c>
      <c r="M156" s="12"/>
      <c r="N156" s="12">
        <v>200000</v>
      </c>
      <c r="O156" s="12"/>
      <c r="P156" s="12">
        <v>0</v>
      </c>
      <c r="Q156" s="12"/>
      <c r="R156" s="6">
        <v>35000</v>
      </c>
      <c r="S156" s="12"/>
      <c r="T156" s="12">
        <v>0</v>
      </c>
      <c r="U156" s="12"/>
      <c r="V156" s="12">
        <v>0</v>
      </c>
      <c r="W156" s="12"/>
      <c r="X156" s="12">
        <v>22604</v>
      </c>
      <c r="Y156" s="12"/>
      <c r="Z156" s="12">
        <v>0</v>
      </c>
      <c r="AA156" s="12"/>
      <c r="AB156" s="12">
        <v>7949</v>
      </c>
      <c r="AC156" s="12"/>
      <c r="AD156" s="12">
        <v>0</v>
      </c>
      <c r="AE156" s="12"/>
      <c r="AF156" s="12"/>
      <c r="AG156" s="12"/>
      <c r="AH156" s="12">
        <v>0</v>
      </c>
      <c r="AI156"/>
      <c r="AJ156" s="12">
        <v>0</v>
      </c>
      <c r="AK156"/>
      <c r="AL156" s="12">
        <v>6591.41</v>
      </c>
      <c r="AM156"/>
      <c r="AN156" s="12">
        <v>0</v>
      </c>
      <c r="AO156" s="12"/>
      <c r="AP156" s="12">
        <v>0</v>
      </c>
      <c r="AQ156" s="12"/>
      <c r="AR156" s="12">
        <v>0</v>
      </c>
      <c r="AS156" s="12"/>
      <c r="AT156" s="12">
        <v>0</v>
      </c>
      <c r="AU156" s="12"/>
      <c r="AV156" s="12">
        <v>19123.98</v>
      </c>
      <c r="AW156" s="12"/>
      <c r="AX156" s="12">
        <v>0</v>
      </c>
      <c r="AY156" s="12"/>
      <c r="AZ156" s="12">
        <v>0</v>
      </c>
      <c r="BA156" s="12"/>
      <c r="BB156" s="12">
        <f>-56268+[1]Wilton!$Y$62</f>
        <v>-33664</v>
      </c>
      <c r="BC156" s="12"/>
      <c r="BD156" s="12">
        <v>0</v>
      </c>
      <c r="BE156"/>
      <c r="BF156" s="12">
        <v>0</v>
      </c>
      <c r="BG156"/>
      <c r="BH156" s="12">
        <v>0</v>
      </c>
      <c r="BI156"/>
      <c r="BJ156" s="12">
        <v>0</v>
      </c>
      <c r="BK156"/>
      <c r="BL156" s="80">
        <f t="shared" ref="BL156:BL161" si="27">SUM(T156:BK156)</f>
        <v>22604.39</v>
      </c>
      <c r="BM156"/>
      <c r="BN156" s="12">
        <v>-12396</v>
      </c>
      <c r="BO156"/>
      <c r="BP156" s="6">
        <f t="shared" ref="BP156:BP161" si="28">IF(+R156-BL156+BN156&gt;0,R156-BL156+BN156,0)</f>
        <v>0</v>
      </c>
      <c r="BQ156" s="12"/>
      <c r="BR156" s="6">
        <f t="shared" ref="BR156:BR161" si="29">+BL156+BP156</f>
        <v>22604.39</v>
      </c>
      <c r="BS156" s="12"/>
      <c r="BT156" s="6">
        <f t="shared" ref="BT156:BT161" si="30">+R156-BR156</f>
        <v>12395.61</v>
      </c>
      <c r="BU156" s="12"/>
    </row>
    <row r="157" spans="1:73" s="11" customFormat="1">
      <c r="A157" s="17"/>
      <c r="B157" s="11" t="s">
        <v>34</v>
      </c>
      <c r="J157" s="160"/>
      <c r="L157" s="146" t="s">
        <v>203</v>
      </c>
      <c r="M157" s="12"/>
      <c r="N157" s="12">
        <v>0</v>
      </c>
      <c r="O157" s="12"/>
      <c r="P157" s="12">
        <v>50000</v>
      </c>
      <c r="Q157" s="12"/>
      <c r="R157" s="6">
        <v>45000</v>
      </c>
      <c r="S157" s="12"/>
      <c r="T157" s="12">
        <v>0</v>
      </c>
      <c r="U157" s="12"/>
      <c r="V157" s="12">
        <v>1236</v>
      </c>
      <c r="W157" s="12"/>
      <c r="X157" s="12">
        <v>9770</v>
      </c>
      <c r="Y157" s="12"/>
      <c r="Z157" s="12">
        <v>5706</v>
      </c>
      <c r="AA157" s="12"/>
      <c r="AB157" s="12">
        <v>9652</v>
      </c>
      <c r="AC157" s="12"/>
      <c r="AD157" s="12">
        <v>3504</v>
      </c>
      <c r="AE157" s="12"/>
      <c r="AF157" s="12">
        <v>5185.43</v>
      </c>
      <c r="AG157" s="12"/>
      <c r="AH157" s="12">
        <v>3598.69</v>
      </c>
      <c r="AI157"/>
      <c r="AJ157" s="12">
        <v>3892.71</v>
      </c>
      <c r="AK157"/>
      <c r="AL157" s="12">
        <v>6342.74</v>
      </c>
      <c r="AM157"/>
      <c r="AN157" s="12">
        <v>1599.42</v>
      </c>
      <c r="AO157" s="12"/>
      <c r="AP157" s="12">
        <v>3506.18</v>
      </c>
      <c r="AQ157" s="12"/>
      <c r="AR157" s="12">
        <v>5695.65</v>
      </c>
      <c r="AS157" s="12"/>
      <c r="AT157" s="12">
        <f>1559.48+7479.23</f>
        <v>9038.7099999999991</v>
      </c>
      <c r="AU157" s="12"/>
      <c r="AV157" s="12">
        <v>3164.35</v>
      </c>
      <c r="AW157" s="12"/>
      <c r="AX157" s="12">
        <v>3884.55</v>
      </c>
      <c r="AY157" s="12"/>
      <c r="AZ157" s="12">
        <v>1293.25</v>
      </c>
      <c r="BA157" s="12"/>
      <c r="BB157" s="12">
        <f>661.15+767.53</f>
        <v>1428.6799999999998</v>
      </c>
      <c r="BC157" s="12"/>
      <c r="BD157" s="12">
        <v>0</v>
      </c>
      <c r="BE157"/>
      <c r="BF157" s="12">
        <v>0</v>
      </c>
      <c r="BG157"/>
      <c r="BH157" s="12">
        <v>0</v>
      </c>
      <c r="BI157"/>
      <c r="BJ157" s="12">
        <v>0</v>
      </c>
      <c r="BK157"/>
      <c r="BL157" s="80">
        <f t="shared" si="27"/>
        <v>78498.36</v>
      </c>
      <c r="BM157"/>
      <c r="BN157" s="12">
        <v>6683</v>
      </c>
      <c r="BO157"/>
      <c r="BP157" s="6">
        <f t="shared" si="28"/>
        <v>0</v>
      </c>
      <c r="BQ157" s="12"/>
      <c r="BR157" s="6">
        <f t="shared" si="29"/>
        <v>78498.36</v>
      </c>
      <c r="BS157" s="12"/>
      <c r="BT157" s="6">
        <f t="shared" si="30"/>
        <v>-33498.36</v>
      </c>
      <c r="BU157" s="12"/>
    </row>
    <row r="158" spans="1:73" s="11" customFormat="1">
      <c r="A158" s="17"/>
      <c r="B158" s="11" t="s">
        <v>321</v>
      </c>
      <c r="J158" s="160"/>
      <c r="L158" s="146" t="s">
        <v>203</v>
      </c>
      <c r="M158" s="12"/>
      <c r="N158" s="12">
        <v>0</v>
      </c>
      <c r="O158" s="12"/>
      <c r="P158" s="12">
        <v>24235</v>
      </c>
      <c r="Q158" s="12"/>
      <c r="R158" s="6">
        <v>0</v>
      </c>
      <c r="S158" s="12"/>
      <c r="T158" s="12">
        <v>0</v>
      </c>
      <c r="U158" s="12"/>
      <c r="V158" s="12">
        <v>0</v>
      </c>
      <c r="W158" s="12"/>
      <c r="X158" s="12">
        <v>0</v>
      </c>
      <c r="Y158" s="12"/>
      <c r="Z158" s="12">
        <v>0</v>
      </c>
      <c r="AA158" s="12"/>
      <c r="AB158" s="12">
        <v>0</v>
      </c>
      <c r="AC158" s="12"/>
      <c r="AD158" s="12">
        <v>0</v>
      </c>
      <c r="AE158" s="12"/>
      <c r="AF158" s="12">
        <v>0</v>
      </c>
      <c r="AG158" s="12"/>
      <c r="AH158" s="12">
        <v>0</v>
      </c>
      <c r="AI158"/>
      <c r="AJ158" s="12">
        <v>0</v>
      </c>
      <c r="AK158"/>
      <c r="AL158" s="12">
        <v>0</v>
      </c>
      <c r="AM158"/>
      <c r="AN158" s="12">
        <v>37759.78</v>
      </c>
      <c r="AO158" s="12"/>
      <c r="AP158" s="12">
        <v>42194.99</v>
      </c>
      <c r="AQ158" s="12"/>
      <c r="AR158" s="12">
        <v>35999.89</v>
      </c>
      <c r="AS158" s="12"/>
      <c r="AT158" s="12">
        <v>35401.089999999997</v>
      </c>
      <c r="AU158" s="12"/>
      <c r="AV158" s="12">
        <v>38258.9</v>
      </c>
      <c r="AW158" s="12"/>
      <c r="AX158" s="12">
        <v>64824.959999999999</v>
      </c>
      <c r="AY158" s="12"/>
      <c r="AZ158" s="12">
        <v>99822</v>
      </c>
      <c r="BA158" s="12"/>
      <c r="BB158" s="12">
        <v>0</v>
      </c>
      <c r="BC158" s="12"/>
      <c r="BD158" s="12">
        <f>73972.18+57369.39</f>
        <v>131341.57</v>
      </c>
      <c r="BE158"/>
      <c r="BF158" s="12">
        <v>0</v>
      </c>
      <c r="BG158"/>
      <c r="BH158" s="12">
        <v>0</v>
      </c>
      <c r="BI158"/>
      <c r="BJ158" s="12">
        <v>0</v>
      </c>
      <c r="BK158"/>
      <c r="BL158" s="80">
        <f t="shared" si="27"/>
        <v>485603.18</v>
      </c>
      <c r="BM158"/>
      <c r="BN158" s="12">
        <v>79955</v>
      </c>
      <c r="BO158"/>
      <c r="BP158" s="6">
        <f t="shared" si="28"/>
        <v>0</v>
      </c>
      <c r="BQ158" s="12"/>
      <c r="BR158" s="6">
        <f t="shared" si="29"/>
        <v>485603.18</v>
      </c>
      <c r="BS158" s="12"/>
      <c r="BT158" s="6">
        <f t="shared" si="30"/>
        <v>-485603.18</v>
      </c>
      <c r="BU158" s="12"/>
    </row>
    <row r="159" spans="1:73" s="11" customFormat="1">
      <c r="A159" s="17"/>
      <c r="B159" s="11" t="s">
        <v>121</v>
      </c>
      <c r="J159" s="160"/>
      <c r="L159" s="146" t="s">
        <v>203</v>
      </c>
      <c r="M159" s="12"/>
      <c r="N159" s="12">
        <v>400000</v>
      </c>
      <c r="O159" s="12"/>
      <c r="P159" s="12">
        <f>49065-N159-6000</f>
        <v>-356935</v>
      </c>
      <c r="Q159" s="12"/>
      <c r="R159" s="6">
        <f>129593+5000</f>
        <v>134593</v>
      </c>
      <c r="S159" s="12"/>
      <c r="T159" s="12">
        <v>0</v>
      </c>
      <c r="U159" s="12"/>
      <c r="V159" s="12">
        <v>0</v>
      </c>
      <c r="W159" s="12"/>
      <c r="X159" s="12">
        <v>46735</v>
      </c>
      <c r="Y159" s="12"/>
      <c r="Z159" s="12">
        <v>21114</v>
      </c>
      <c r="AA159" s="12"/>
      <c r="AB159" s="12">
        <v>1899</v>
      </c>
      <c r="AC159" s="12"/>
      <c r="AD159" s="12">
        <v>8288</v>
      </c>
      <c r="AE159" s="12"/>
      <c r="AF159" s="12">
        <f>3330+7426.97+30387.78+738+100+50+20+10+11200+31000</f>
        <v>84262.75</v>
      </c>
      <c r="AG159" s="12"/>
      <c r="AH159" s="12">
        <f>10000+838.34</f>
        <v>10838.34</v>
      </c>
      <c r="AI159"/>
      <c r="AJ159" s="12">
        <v>0</v>
      </c>
      <c r="AK159"/>
      <c r="AL159" s="12">
        <v>20657.14</v>
      </c>
      <c r="AM159"/>
      <c r="AN159" s="12">
        <f>46225.52-37759.78</f>
        <v>8465.739999999998</v>
      </c>
      <c r="AO159" s="12"/>
      <c r="AP159" s="12">
        <f>1415.06+712.75</f>
        <v>2127.81</v>
      </c>
      <c r="AQ159" s="12"/>
      <c r="AR159" s="12">
        <f>2610+1500+540+200</f>
        <v>4850</v>
      </c>
      <c r="AS159" s="12"/>
      <c r="AT159" s="12">
        <f>1890.2+1000+2500+400.16+838.34</f>
        <v>6628.7</v>
      </c>
      <c r="AU159" s="12"/>
      <c r="AV159" s="12">
        <v>822.91</v>
      </c>
      <c r="AW159" s="12"/>
      <c r="AX159" s="12">
        <f>1450+1015+420+300+562.5+209+1085.4</f>
        <v>5041.8999999999996</v>
      </c>
      <c r="AY159" s="12"/>
      <c r="AZ159" s="12">
        <f>17+17+540+1</f>
        <v>575</v>
      </c>
      <c r="BA159" s="12"/>
      <c r="BB159" s="12">
        <f>58425.46+17.25+1500-1450-1015</f>
        <v>57477.71</v>
      </c>
      <c r="BC159" s="12"/>
      <c r="BD159" s="12">
        <f>21906+540+39105</f>
        <v>61551</v>
      </c>
      <c r="BE159"/>
      <c r="BF159" s="12">
        <f>17899.3+13668.55</f>
        <v>31567.85</v>
      </c>
      <c r="BG159"/>
      <c r="BH159" s="12">
        <v>0</v>
      </c>
      <c r="BI159"/>
      <c r="BJ159" s="12">
        <v>0</v>
      </c>
      <c r="BK159"/>
      <c r="BL159" s="80">
        <f t="shared" si="27"/>
        <v>372902.85</v>
      </c>
      <c r="BM159"/>
      <c r="BN159" s="12">
        <v>106842</v>
      </c>
      <c r="BO159"/>
      <c r="BP159" s="6">
        <f t="shared" si="28"/>
        <v>0</v>
      </c>
      <c r="BQ159" s="12"/>
      <c r="BR159" s="6">
        <f t="shared" si="29"/>
        <v>372902.85</v>
      </c>
      <c r="BS159" s="12"/>
      <c r="BT159" s="6">
        <f t="shared" si="30"/>
        <v>-238309.84999999998</v>
      </c>
      <c r="BU159" s="12"/>
    </row>
    <row r="160" spans="1:73" s="11" customFormat="1">
      <c r="A160" s="17"/>
      <c r="B160" s="11" t="s">
        <v>439</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c r="AG160" s="12"/>
      <c r="AH160" s="12"/>
      <c r="AI160"/>
      <c r="AJ160" s="12"/>
      <c r="AK160"/>
      <c r="AL160" s="12"/>
      <c r="AM160"/>
      <c r="AN160" s="12"/>
      <c r="AO160" s="12"/>
      <c r="AP160" s="12">
        <v>83333.33</v>
      </c>
      <c r="AQ160" s="12"/>
      <c r="AR160" s="12">
        <f>82333.33+25346.23</f>
        <v>107679.56</v>
      </c>
      <c r="AS160" s="12"/>
      <c r="AT160" s="12"/>
      <c r="AU160" s="12"/>
      <c r="AV160" s="12"/>
      <c r="AW160" s="12"/>
      <c r="AX160" s="12"/>
      <c r="AY160" s="12"/>
      <c r="AZ160" s="12"/>
      <c r="BA160" s="12"/>
      <c r="BB160" s="12"/>
      <c r="BC160" s="12"/>
      <c r="BE160"/>
      <c r="BF160" s="12"/>
      <c r="BG160"/>
      <c r="BH160" s="12"/>
      <c r="BI160"/>
      <c r="BJ160" s="12"/>
      <c r="BK160"/>
      <c r="BL160" s="80">
        <f t="shared" si="27"/>
        <v>191012.89</v>
      </c>
      <c r="BM160"/>
      <c r="BN160" s="12">
        <v>0</v>
      </c>
      <c r="BO160"/>
      <c r="BP160" s="6">
        <f t="shared" si="28"/>
        <v>0</v>
      </c>
      <c r="BQ160" s="12"/>
      <c r="BR160" s="6">
        <f t="shared" si="29"/>
        <v>191012.89</v>
      </c>
      <c r="BS160" s="12"/>
      <c r="BT160" s="6">
        <f t="shared" si="30"/>
        <v>-191012.89</v>
      </c>
      <c r="BU160" s="12"/>
    </row>
    <row r="161" spans="1:122" s="11" customFormat="1">
      <c r="A161" s="17"/>
      <c r="B161" s="11" t="s">
        <v>283</v>
      </c>
      <c r="J161" s="160"/>
      <c r="L161" s="146"/>
      <c r="M161" s="12"/>
      <c r="N161" s="12"/>
      <c r="O161" s="12"/>
      <c r="P161" s="12"/>
      <c r="Q161" s="12"/>
      <c r="R161" s="6">
        <v>0</v>
      </c>
      <c r="S161" s="12"/>
      <c r="T161" s="12"/>
      <c r="U161" s="12"/>
      <c r="V161" s="12"/>
      <c r="W161" s="12"/>
      <c r="X161" s="12"/>
      <c r="Y161" s="12"/>
      <c r="Z161" s="12"/>
      <c r="AA161" s="12"/>
      <c r="AB161" s="12"/>
      <c r="AC161" s="12"/>
      <c r="AD161" s="12"/>
      <c r="AE161" s="12"/>
      <c r="AF161" s="12">
        <f>199867.23-30387.78-11200-31000</f>
        <v>127279.45000000001</v>
      </c>
      <c r="AG161" s="12"/>
      <c r="AH161" s="12">
        <f>1916.6+566.91+3047.17+16608.78+17351.65+10439.68</f>
        <v>49930.79</v>
      </c>
      <c r="AI161"/>
      <c r="AJ161" s="12">
        <v>29848.78</v>
      </c>
      <c r="AK161"/>
      <c r="AL161" s="12"/>
      <c r="AM161"/>
      <c r="AN161" s="12"/>
      <c r="AO161" s="12"/>
      <c r="AP161" s="12"/>
      <c r="AQ161" s="12"/>
      <c r="AR161" s="12"/>
      <c r="AS161" s="12"/>
      <c r="AT161" s="12"/>
      <c r="AU161" s="12"/>
      <c r="AV161" s="12"/>
      <c r="AW161" s="12"/>
      <c r="AX161" s="12"/>
      <c r="AY161" s="12"/>
      <c r="AZ161" s="12"/>
      <c r="BA161" s="12"/>
      <c r="BB161" s="12"/>
      <c r="BC161" s="12"/>
      <c r="BD161" s="12"/>
      <c r="BE161"/>
      <c r="BF161" s="12"/>
      <c r="BG161"/>
      <c r="BH161" s="12"/>
      <c r="BI161"/>
      <c r="BJ161" s="12"/>
      <c r="BK161"/>
      <c r="BL161" s="80">
        <f t="shared" si="27"/>
        <v>207059.02000000002</v>
      </c>
      <c r="BM161"/>
      <c r="BN161" s="12">
        <v>207059</v>
      </c>
      <c r="BO161"/>
      <c r="BP161" s="6">
        <f t="shared" si="28"/>
        <v>0</v>
      </c>
      <c r="BQ161" s="12"/>
      <c r="BR161" s="6">
        <f t="shared" si="29"/>
        <v>207059.02000000002</v>
      </c>
      <c r="BS161" s="12"/>
      <c r="BT161" s="6">
        <f t="shared" si="30"/>
        <v>-207059.02000000002</v>
      </c>
      <c r="BU161" s="12"/>
    </row>
    <row r="162" spans="1:122" s="21" customFormat="1">
      <c r="A162" s="56"/>
      <c r="B162" s="31" t="s">
        <v>40</v>
      </c>
      <c r="J162" s="8"/>
      <c r="L162" s="143"/>
      <c r="M162" s="9"/>
      <c r="N162" s="102">
        <f>SUM(N156:N159)</f>
        <v>600000</v>
      </c>
      <c r="O162" s="9"/>
      <c r="P162" s="102">
        <f>SUM(P156:P159)</f>
        <v>-282700</v>
      </c>
      <c r="Q162" s="9"/>
      <c r="R162" s="102">
        <f t="shared" ref="R162:AD162" si="31">SUM(R156:R161)</f>
        <v>214593</v>
      </c>
      <c r="S162" s="102">
        <f t="shared" si="31"/>
        <v>0</v>
      </c>
      <c r="T162" s="102">
        <f t="shared" si="31"/>
        <v>0</v>
      </c>
      <c r="U162" s="102">
        <f t="shared" si="31"/>
        <v>0</v>
      </c>
      <c r="V162" s="102">
        <f t="shared" si="31"/>
        <v>1236</v>
      </c>
      <c r="W162" s="102">
        <f t="shared" si="31"/>
        <v>0</v>
      </c>
      <c r="X162" s="102">
        <f t="shared" si="31"/>
        <v>79109</v>
      </c>
      <c r="Y162" s="102">
        <f t="shared" si="31"/>
        <v>0</v>
      </c>
      <c r="Z162" s="102">
        <f t="shared" si="31"/>
        <v>26820</v>
      </c>
      <c r="AA162" s="102">
        <f t="shared" si="31"/>
        <v>0</v>
      </c>
      <c r="AB162" s="102">
        <f t="shared" si="31"/>
        <v>19500</v>
      </c>
      <c r="AC162" s="102">
        <f t="shared" si="31"/>
        <v>0</v>
      </c>
      <c r="AD162" s="102">
        <f t="shared" si="31"/>
        <v>11792</v>
      </c>
      <c r="AE162" s="102"/>
      <c r="AF162" s="102">
        <f>SUM(AF156:AF161)</f>
        <v>216727.63</v>
      </c>
      <c r="AG162" s="102"/>
      <c r="AH162" s="102">
        <f t="shared" ref="AH162:BL162" si="32">SUM(AH156:AH161)</f>
        <v>64367.82</v>
      </c>
      <c r="AI162"/>
      <c r="AJ162" s="102">
        <f t="shared" si="32"/>
        <v>33741.49</v>
      </c>
      <c r="AK162"/>
      <c r="AL162" s="102">
        <f t="shared" si="32"/>
        <v>33591.29</v>
      </c>
      <c r="AM162"/>
      <c r="AN162" s="102">
        <f t="shared" si="32"/>
        <v>47824.939999999995</v>
      </c>
      <c r="AO162" s="102">
        <f t="shared" si="32"/>
        <v>0</v>
      </c>
      <c r="AP162" s="102">
        <f t="shared" si="32"/>
        <v>131162.31</v>
      </c>
      <c r="AQ162" s="102">
        <f t="shared" si="32"/>
        <v>0</v>
      </c>
      <c r="AR162" s="102">
        <f t="shared" si="32"/>
        <v>154225.1</v>
      </c>
      <c r="AS162" s="102">
        <f t="shared" si="32"/>
        <v>0</v>
      </c>
      <c r="AT162" s="102">
        <f t="shared" si="32"/>
        <v>51068.499999999993</v>
      </c>
      <c r="AU162" s="102">
        <f t="shared" si="32"/>
        <v>0</v>
      </c>
      <c r="AV162" s="102">
        <f t="shared" si="32"/>
        <v>61370.14</v>
      </c>
      <c r="AW162" s="102">
        <f t="shared" si="32"/>
        <v>0</v>
      </c>
      <c r="AX162" s="102">
        <f t="shared" si="32"/>
        <v>73751.409999999989</v>
      </c>
      <c r="AY162" s="102">
        <f t="shared" si="32"/>
        <v>0</v>
      </c>
      <c r="AZ162" s="102">
        <f t="shared" si="32"/>
        <v>101690.25</v>
      </c>
      <c r="BA162" s="102">
        <f t="shared" si="32"/>
        <v>0</v>
      </c>
      <c r="BB162" s="102">
        <f t="shared" si="32"/>
        <v>25242.39</v>
      </c>
      <c r="BC162" s="102"/>
      <c r="BD162" s="102">
        <f t="shared" si="32"/>
        <v>192892.57</v>
      </c>
      <c r="BE162"/>
      <c r="BF162" s="102">
        <f t="shared" si="32"/>
        <v>31567.85</v>
      </c>
      <c r="BG162"/>
      <c r="BH162" s="102">
        <f t="shared" si="32"/>
        <v>0</v>
      </c>
      <c r="BI162"/>
      <c r="BJ162" s="102">
        <f t="shared" si="32"/>
        <v>0</v>
      </c>
      <c r="BK162"/>
      <c r="BL162" s="102">
        <f t="shared" si="32"/>
        <v>1357680.69</v>
      </c>
      <c r="BM162"/>
      <c r="BN162" s="102">
        <f t="shared" ref="BN162:BT162" si="33">SUM(BN156:BN161)</f>
        <v>388143</v>
      </c>
      <c r="BO162"/>
      <c r="BP162" s="102">
        <f t="shared" si="33"/>
        <v>0</v>
      </c>
      <c r="BQ162" s="102">
        <f t="shared" si="33"/>
        <v>0</v>
      </c>
      <c r="BR162" s="102">
        <f t="shared" si="33"/>
        <v>1357680.69</v>
      </c>
      <c r="BS162" s="102">
        <f t="shared" si="33"/>
        <v>0</v>
      </c>
      <c r="BT162" s="102">
        <f t="shared" si="33"/>
        <v>-1143087.69</v>
      </c>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21" customFormat="1">
      <c r="A163" s="56"/>
      <c r="B163" s="31"/>
      <c r="J163" s="8"/>
      <c r="L163" s="143"/>
      <c r="M163" s="9"/>
      <c r="N163" s="10"/>
      <c r="O163" s="9"/>
      <c r="P163" s="10"/>
      <c r="Q163" s="9"/>
      <c r="R163" s="10"/>
      <c r="S163" s="9"/>
      <c r="T163" s="10"/>
      <c r="U163" s="9"/>
      <c r="V163" s="10"/>
      <c r="W163" s="9"/>
      <c r="X163" s="10"/>
      <c r="Y163" s="9"/>
      <c r="Z163" s="10"/>
      <c r="AA163" s="9"/>
      <c r="AB163" s="10"/>
      <c r="AC163" s="9"/>
      <c r="AD163" s="10"/>
      <c r="AE163" s="9"/>
      <c r="AF163" s="10"/>
      <c r="AG163" s="9"/>
      <c r="AH163" s="10"/>
      <c r="AI163"/>
      <c r="AJ163" s="10"/>
      <c r="AK163"/>
      <c r="AL163" s="10"/>
      <c r="AM163"/>
      <c r="AN163" s="10"/>
      <c r="AO163" s="9"/>
      <c r="AP163" s="10"/>
      <c r="AQ163" s="9"/>
      <c r="AR163" s="10"/>
      <c r="AS163" s="9"/>
      <c r="AT163" s="10"/>
      <c r="AU163" s="10"/>
      <c r="AV163" s="10"/>
      <c r="AW163" s="10"/>
      <c r="AX163" s="10"/>
      <c r="AY163" s="10"/>
      <c r="AZ163" s="10"/>
      <c r="BA163" s="10"/>
      <c r="BB163" s="10"/>
      <c r="BC163" s="10"/>
      <c r="BD163" s="10"/>
      <c r="BE163"/>
      <c r="BF163" s="10"/>
      <c r="BG163"/>
      <c r="BH163" s="10"/>
      <c r="BI163"/>
      <c r="BJ163" s="10"/>
      <c r="BK163"/>
      <c r="BL163" s="10"/>
      <c r="BM163"/>
      <c r="BN163" s="10"/>
      <c r="BO163"/>
      <c r="BP163" s="10"/>
      <c r="BQ163" s="9"/>
      <c r="BR163" s="10"/>
      <c r="BS163" s="9"/>
      <c r="BT163" s="10"/>
      <c r="BU163" s="9"/>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c r="A164" s="56" t="s">
        <v>35</v>
      </c>
      <c r="B164" s="11"/>
      <c r="C164"/>
      <c r="D164"/>
      <c r="E164"/>
      <c r="F164"/>
      <c r="G164"/>
      <c r="H164"/>
      <c r="I164"/>
      <c r="J164" s="49"/>
      <c r="K164"/>
      <c r="L164" s="134"/>
      <c r="M164" s="6"/>
      <c r="O164" s="6"/>
      <c r="Q164" s="6"/>
      <c r="S164" s="6"/>
      <c r="T164" s="6"/>
      <c r="U164" s="12"/>
      <c r="V164" s="6"/>
      <c r="W164" s="12"/>
      <c r="X164" s="6"/>
      <c r="Y164" s="12"/>
      <c r="Z164" s="6"/>
      <c r="AA164" s="12"/>
      <c r="AB164" s="6"/>
      <c r="AC164" s="12"/>
      <c r="AD164" s="6"/>
      <c r="AE164" s="12"/>
      <c r="AG164" s="12"/>
      <c r="AI164"/>
      <c r="AO164" s="12"/>
      <c r="AQ164" s="12"/>
      <c r="AS164" s="12"/>
      <c r="BJ164" s="6"/>
      <c r="BN164" s="6"/>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37</v>
      </c>
      <c r="J165" s="160"/>
      <c r="L165" s="146" t="s">
        <v>203</v>
      </c>
      <c r="M165" s="12"/>
      <c r="N165" s="12">
        <v>0</v>
      </c>
      <c r="O165" s="12"/>
      <c r="P165" s="12">
        <f>300000-5511</f>
        <v>294489</v>
      </c>
      <c r="Q165" s="12"/>
      <c r="R165" s="6">
        <v>6751</v>
      </c>
      <c r="S165" s="12"/>
      <c r="T165" s="12">
        <v>0</v>
      </c>
      <c r="U165" s="12"/>
      <c r="V165" s="12">
        <v>0</v>
      </c>
      <c r="W165" s="12"/>
      <c r="X165" s="12">
        <v>0</v>
      </c>
      <c r="Y165" s="12"/>
      <c r="Z165" s="12">
        <v>0</v>
      </c>
      <c r="AA165" s="12"/>
      <c r="AB165" s="12">
        <v>0</v>
      </c>
      <c r="AC165" s="12"/>
      <c r="AD165" s="12">
        <v>605</v>
      </c>
      <c r="AE165" s="12"/>
      <c r="AF165" s="12">
        <v>0</v>
      </c>
      <c r="AG165" s="12"/>
      <c r="AH165" s="12">
        <v>0</v>
      </c>
      <c r="AI165"/>
      <c r="AJ165" s="12">
        <v>0</v>
      </c>
      <c r="AK165"/>
      <c r="AL165" s="12">
        <v>0</v>
      </c>
      <c r="AM165"/>
      <c r="AN165" s="12">
        <v>0</v>
      </c>
      <c r="AO165" s="12"/>
      <c r="AP165" s="12">
        <v>0</v>
      </c>
      <c r="AQ165" s="12"/>
      <c r="AR165" s="12">
        <v>0</v>
      </c>
      <c r="AS165" s="12"/>
      <c r="AT165" s="12">
        <v>0</v>
      </c>
      <c r="AU165" s="12"/>
      <c r="AV165" s="12">
        <v>0</v>
      </c>
      <c r="AW165" s="12"/>
      <c r="AX165" s="12">
        <v>0</v>
      </c>
      <c r="AY165" s="12"/>
      <c r="AZ165" s="12">
        <v>0</v>
      </c>
      <c r="BA165" s="12"/>
      <c r="BB165" s="12">
        <v>0</v>
      </c>
      <c r="BC165" s="12"/>
      <c r="BD165" s="12">
        <v>0</v>
      </c>
      <c r="BE165"/>
      <c r="BF165" s="12">
        <v>0</v>
      </c>
      <c r="BG165"/>
      <c r="BH165" s="12">
        <v>0</v>
      </c>
      <c r="BI165"/>
      <c r="BJ165" s="12">
        <v>0</v>
      </c>
      <c r="BK165"/>
      <c r="BL165" s="12">
        <f>SUM(T165:BK165)</f>
        <v>605</v>
      </c>
      <c r="BM165"/>
      <c r="BN165" s="12">
        <v>0</v>
      </c>
      <c r="BO165"/>
      <c r="BP165" s="6">
        <f>IF(+R165-BL165+BN165&gt;0,R165-BL165+BN165,0)</f>
        <v>6146</v>
      </c>
      <c r="BQ165" s="12"/>
      <c r="BR165" s="6">
        <f>+BL165+BP165</f>
        <v>6751</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448</v>
      </c>
      <c r="J166" s="160"/>
      <c r="L166" s="146"/>
      <c r="M166" s="12"/>
      <c r="N166" s="12"/>
      <c r="O166" s="12"/>
      <c r="P166" s="12"/>
      <c r="Q166" s="12"/>
      <c r="R166" s="6"/>
      <c r="S166" s="12"/>
      <c r="T166" s="12"/>
      <c r="U166" s="12"/>
      <c r="V166" s="12"/>
      <c r="W166" s="12"/>
      <c r="X166" s="12"/>
      <c r="Y166" s="12"/>
      <c r="Z166" s="12"/>
      <c r="AA166" s="12"/>
      <c r="AB166" s="12"/>
      <c r="AC166" s="12"/>
      <c r="AD166" s="12"/>
      <c r="AE166" s="12"/>
      <c r="AF166" s="12"/>
      <c r="AG166" s="12"/>
      <c r="AH166" s="12"/>
      <c r="AI166"/>
      <c r="AJ166" s="12"/>
      <c r="AK166"/>
      <c r="AL166" s="12"/>
      <c r="AM166"/>
      <c r="AN166" s="12"/>
      <c r="AO166" s="12"/>
      <c r="AP166" s="12"/>
      <c r="AQ166" s="12"/>
      <c r="AR166" s="12">
        <v>252208.46</v>
      </c>
      <c r="AS166" s="12"/>
      <c r="AT166" s="12">
        <v>49463.67</v>
      </c>
      <c r="AU166" s="12"/>
      <c r="AV166" s="12"/>
      <c r="AW166" s="12"/>
      <c r="AX166" s="12"/>
      <c r="AY166" s="12"/>
      <c r="AZ166" s="12"/>
      <c r="BA166" s="12"/>
      <c r="BB166" s="12"/>
      <c r="BC166" s="12"/>
      <c r="BD166" s="12"/>
      <c r="BE166"/>
      <c r="BF166" s="12"/>
      <c r="BG166"/>
      <c r="BH166" s="12"/>
      <c r="BI166"/>
      <c r="BJ166" s="12"/>
      <c r="BK166"/>
      <c r="BL166" s="12">
        <f>SUM(T166:BK166)</f>
        <v>301672.13</v>
      </c>
      <c r="BM166"/>
      <c r="BN166" s="12">
        <v>0</v>
      </c>
      <c r="BO166"/>
      <c r="BP166" s="6">
        <f>IF(+R166-BL166+BN166&gt;0,R166-BL166+BN166,0)</f>
        <v>0</v>
      </c>
      <c r="BQ166" s="12"/>
      <c r="BR166" s="6">
        <f>+BL166+BP166</f>
        <v>301672.13</v>
      </c>
      <c r="BS166" s="12"/>
      <c r="BT166" s="6">
        <f>+R166-BR166</f>
        <v>-301672.13</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B167" s="11" t="s">
        <v>121</v>
      </c>
      <c r="J167" s="160"/>
      <c r="L167" s="146" t="s">
        <v>203</v>
      </c>
      <c r="M167" s="12"/>
      <c r="N167" s="12">
        <v>500000</v>
      </c>
      <c r="O167" s="12"/>
      <c r="P167" s="12">
        <v>-300000</v>
      </c>
      <c r="Q167" s="12"/>
      <c r="R167" s="6">
        <v>250000</v>
      </c>
      <c r="S167" s="12"/>
      <c r="T167" s="12">
        <v>0</v>
      </c>
      <c r="U167" s="12"/>
      <c r="V167" s="12">
        <v>0</v>
      </c>
      <c r="W167" s="12"/>
      <c r="X167" s="12">
        <v>0</v>
      </c>
      <c r="Y167" s="12"/>
      <c r="Z167" s="12">
        <v>0</v>
      </c>
      <c r="AA167" s="12"/>
      <c r="AB167" s="12"/>
      <c r="AC167" s="12"/>
      <c r="AD167" s="12"/>
      <c r="AE167" s="12"/>
      <c r="AF167" s="12">
        <v>0</v>
      </c>
      <c r="AG167" s="12"/>
      <c r="AH167" s="12">
        <v>21422.91</v>
      </c>
      <c r="AI167"/>
      <c r="AJ167" s="12">
        <v>0</v>
      </c>
      <c r="AK167"/>
      <c r="AL167" s="12">
        <v>75</v>
      </c>
      <c r="AM167"/>
      <c r="AN167" s="12">
        <v>6749.05</v>
      </c>
      <c r="AO167" s="12"/>
      <c r="AP167" s="12">
        <v>4454.9799999999996</v>
      </c>
      <c r="AQ167" s="12"/>
      <c r="AR167" s="12">
        <v>0</v>
      </c>
      <c r="AS167" s="12"/>
      <c r="AT167" s="12">
        <v>0</v>
      </c>
      <c r="AU167" s="12"/>
      <c r="AV167" s="12">
        <v>0</v>
      </c>
      <c r="AW167" s="12"/>
      <c r="AX167" s="12">
        <v>10000</v>
      </c>
      <c r="AY167" s="12"/>
      <c r="AZ167" s="12">
        <v>0</v>
      </c>
      <c r="BA167" s="12"/>
      <c r="BB167" s="12">
        <v>0</v>
      </c>
      <c r="BC167" s="12"/>
      <c r="BD167" s="12">
        <f>105510.2+158699.47</f>
        <v>264209.67</v>
      </c>
      <c r="BE167"/>
      <c r="BF167" s="12">
        <v>0</v>
      </c>
      <c r="BG167"/>
      <c r="BH167" s="12">
        <v>0</v>
      </c>
      <c r="BI167"/>
      <c r="BJ167" s="12">
        <v>0</v>
      </c>
      <c r="BK167"/>
      <c r="BL167" s="12">
        <f>SUM(T167:BK167)</f>
        <v>306911.61</v>
      </c>
      <c r="BM167"/>
      <c r="BN167" s="12">
        <v>9703</v>
      </c>
      <c r="BO167"/>
      <c r="BP167" s="6">
        <f>IF(+R167-BL167+BN167&gt;0,R167-BL167+BN167,0)</f>
        <v>0</v>
      </c>
      <c r="BQ167" s="12"/>
      <c r="BR167" s="6">
        <f>BP167+BN167+BL167</f>
        <v>316614.61</v>
      </c>
      <c r="BS167" s="12"/>
      <c r="BT167" s="6">
        <f>+R167-BR167</f>
        <v>-66614.609999999986</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11" customFormat="1">
      <c r="A168" s="17"/>
      <c r="J168" s="160"/>
      <c r="L168" s="146"/>
      <c r="M168" s="12"/>
      <c r="N168" s="12"/>
      <c r="O168" s="12"/>
      <c r="P168" s="12">
        <v>5511</v>
      </c>
      <c r="Q168" s="12"/>
      <c r="R168" s="6"/>
      <c r="S168" s="12"/>
      <c r="T168" s="12"/>
      <c r="U168" s="12"/>
      <c r="V168" s="12"/>
      <c r="W168" s="12"/>
      <c r="X168" s="12"/>
      <c r="Y168" s="12"/>
      <c r="Z168" s="12"/>
      <c r="AA168" s="12"/>
      <c r="AB168" s="12"/>
      <c r="AC168" s="12"/>
      <c r="AD168" s="12"/>
      <c r="AE168" s="12"/>
      <c r="AF168" s="12"/>
      <c r="AG168" s="12"/>
      <c r="AH168" s="12"/>
      <c r="AI168"/>
      <c r="AJ168" s="12"/>
      <c r="AK168"/>
      <c r="AL168" s="12"/>
      <c r="AM168"/>
      <c r="AN168" s="12"/>
      <c r="AO168" s="12"/>
      <c r="AP168" s="12"/>
      <c r="AQ168" s="12"/>
      <c r="AR168" s="12"/>
      <c r="AS168" s="12"/>
      <c r="AT168" s="12"/>
      <c r="AU168" s="12"/>
      <c r="AV168" s="12"/>
      <c r="AW168" s="12"/>
      <c r="AX168" s="12"/>
      <c r="AY168" s="12"/>
      <c r="AZ168" s="12"/>
      <c r="BA168" s="12"/>
      <c r="BB168" s="12"/>
      <c r="BC168" s="12"/>
      <c r="BD168" s="12"/>
      <c r="BE168"/>
      <c r="BF168" s="12"/>
      <c r="BG168"/>
      <c r="BH168" s="12"/>
      <c r="BI168"/>
      <c r="BJ168" s="12"/>
      <c r="BK168"/>
      <c r="BL168" s="12">
        <f>SUM(T168:BK168)</f>
        <v>0</v>
      </c>
      <c r="BM168"/>
      <c r="BN168" s="12">
        <v>0</v>
      </c>
      <c r="BO168"/>
      <c r="BP168" s="6">
        <f>IF(+R168-BL168+BN168&gt;0,R168-BL168+BN168,0)</f>
        <v>0</v>
      </c>
      <c r="BQ168" s="12"/>
      <c r="BR168" s="6">
        <f>+BL168+BP168</f>
        <v>0</v>
      </c>
      <c r="BS168" s="12"/>
      <c r="BT168" s="6">
        <f>+R168-BR168</f>
        <v>0</v>
      </c>
      <c r="BU168" s="12"/>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6"/>
      <c r="B169" s="31" t="s">
        <v>41</v>
      </c>
      <c r="J169" s="8"/>
      <c r="L169" s="143"/>
      <c r="M169" s="9"/>
      <c r="N169" s="102">
        <f>SUM(N165:N168)</f>
        <v>500000</v>
      </c>
      <c r="O169" s="102">
        <f>SUM(O165:O168)</f>
        <v>0</v>
      </c>
      <c r="P169" s="102">
        <f>SUM(P165:P168)</f>
        <v>0</v>
      </c>
      <c r="Q169" s="102">
        <f>SUM(Q165:Q168)</f>
        <v>0</v>
      </c>
      <c r="R169" s="102">
        <f>SUM(R165:R168)</f>
        <v>256751</v>
      </c>
      <c r="S169" s="9"/>
      <c r="T169" s="102">
        <f>SUM(T165:T168)</f>
        <v>0</v>
      </c>
      <c r="U169" s="9"/>
      <c r="V169" s="102">
        <f>SUM(V165:V168)</f>
        <v>0</v>
      </c>
      <c r="W169" s="9"/>
      <c r="X169" s="102">
        <f>SUM(X165:X168)</f>
        <v>0</v>
      </c>
      <c r="Y169" s="9"/>
      <c r="Z169" s="102">
        <f>SUM(Z165:Z168)</f>
        <v>0</v>
      </c>
      <c r="AA169" s="9"/>
      <c r="AB169" s="102">
        <f>SUM(AB165:AB168)</f>
        <v>0</v>
      </c>
      <c r="AC169" s="9"/>
      <c r="AD169" s="102">
        <f>SUM(AD165:AD168)</f>
        <v>605</v>
      </c>
      <c r="AE169" s="9"/>
      <c r="AF169" s="102">
        <f>SUM(AF165:AF168)</f>
        <v>0</v>
      </c>
      <c r="AG169" s="9"/>
      <c r="AH169" s="102">
        <f>SUM(AH165:AH168)</f>
        <v>21422.91</v>
      </c>
      <c r="AI169"/>
      <c r="AJ169" s="102">
        <f>SUM(AJ165:AJ168)</f>
        <v>0</v>
      </c>
      <c r="AK169"/>
      <c r="AL169" s="102">
        <f>SUM(AL165:AL168)</f>
        <v>75</v>
      </c>
      <c r="AM169"/>
      <c r="AN169" s="102">
        <f>SUM(AN165:AN168)</f>
        <v>6749.05</v>
      </c>
      <c r="AO169" s="9"/>
      <c r="AP169" s="102">
        <f>SUM(AP165:AP168)</f>
        <v>4454.9799999999996</v>
      </c>
      <c r="AQ169" s="9"/>
      <c r="AR169" s="102">
        <f>SUM(AR165:AR168)</f>
        <v>252208.46</v>
      </c>
      <c r="AS169" s="9"/>
      <c r="AT169" s="102">
        <f>SUM(AT165:AT168)</f>
        <v>49463.67</v>
      </c>
      <c r="AU169" s="10"/>
      <c r="AV169" s="102">
        <f>SUM(AV165:AV168)</f>
        <v>0</v>
      </c>
      <c r="AW169" s="10"/>
      <c r="AX169" s="102">
        <f>SUM(AX165:AX168)</f>
        <v>10000</v>
      </c>
      <c r="AY169" s="10"/>
      <c r="AZ169" s="102">
        <f>SUM(AZ165:AZ168)</f>
        <v>0</v>
      </c>
      <c r="BA169" s="10"/>
      <c r="BB169" s="102">
        <f>SUM(BB165:BB168)</f>
        <v>0</v>
      </c>
      <c r="BC169" s="10"/>
      <c r="BD169" s="102">
        <f>SUM(BD165:BD168)</f>
        <v>264209.67</v>
      </c>
      <c r="BE169"/>
      <c r="BF169" s="102">
        <f>SUM(BF165:BF168)</f>
        <v>0</v>
      </c>
      <c r="BG169"/>
      <c r="BH169" s="102">
        <f>SUM(BH165:BH168)</f>
        <v>0</v>
      </c>
      <c r="BI169"/>
      <c r="BJ169" s="102">
        <f>SUM(BJ165:BJ168)</f>
        <v>0</v>
      </c>
      <c r="BK169"/>
      <c r="BL169" s="102">
        <f>SUM(BL165:BL168)</f>
        <v>609188.74</v>
      </c>
      <c r="BM169"/>
      <c r="BN169" s="102">
        <f>SUM(BN165:BN168)</f>
        <v>9703</v>
      </c>
      <c r="BO169"/>
      <c r="BP169" s="102">
        <f>SUM(BP165:BP168)</f>
        <v>6146</v>
      </c>
      <c r="BQ169" s="9"/>
      <c r="BR169" s="102">
        <f>SUM(BR165:BR168)</f>
        <v>625037.74</v>
      </c>
      <c r="BS169" s="9"/>
      <c r="BT169" s="102">
        <f>SUM(BT165:BT168)</f>
        <v>-368286.74</v>
      </c>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8"/>
      <c r="B170" s="31"/>
      <c r="J170" s="8"/>
      <c r="L170" s="143"/>
      <c r="M170" s="9"/>
      <c r="N170" s="10"/>
      <c r="O170" s="10"/>
      <c r="P170" s="10"/>
      <c r="Q170" s="10"/>
      <c r="R170" s="10"/>
      <c r="S170" s="9"/>
      <c r="T170" s="10"/>
      <c r="U170" s="9"/>
      <c r="V170" s="10"/>
      <c r="W170" s="9"/>
      <c r="X170" s="10"/>
      <c r="Y170" s="9"/>
      <c r="Z170" s="10"/>
      <c r="AA170" s="9"/>
      <c r="AB170" s="10"/>
      <c r="AC170" s="9"/>
      <c r="AD170" s="10"/>
      <c r="AE170" s="9"/>
      <c r="AF170" s="10"/>
      <c r="AG170" s="9"/>
      <c r="AH170" s="10"/>
      <c r="AI170"/>
      <c r="AJ170" s="10"/>
      <c r="AK170"/>
      <c r="AL170" s="10"/>
      <c r="AM170"/>
      <c r="AN170" s="10"/>
      <c r="AO170" s="9"/>
      <c r="AP170" s="10"/>
      <c r="AQ170" s="9"/>
      <c r="AR170" s="10"/>
      <c r="AS170" s="9"/>
      <c r="AT170" s="10"/>
      <c r="AU170" s="10"/>
      <c r="AV170" s="10"/>
      <c r="AW170" s="10"/>
      <c r="AX170" s="10"/>
      <c r="AY170" s="10"/>
      <c r="AZ170" s="10"/>
      <c r="BA170" s="10"/>
      <c r="BB170" s="10"/>
      <c r="BC170" s="10"/>
      <c r="BD170" s="10"/>
      <c r="BE170"/>
      <c r="BF170" s="10"/>
      <c r="BG170"/>
      <c r="BH170" s="10"/>
      <c r="BI170"/>
      <c r="BJ170" s="10"/>
      <c r="BK170"/>
      <c r="BL170" s="10"/>
      <c r="BM170"/>
      <c r="BN170" s="10"/>
      <c r="BO170"/>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31" customFormat="1">
      <c r="A171" s="58" t="s">
        <v>249</v>
      </c>
      <c r="J171" s="159"/>
      <c r="L171" s="145" t="s">
        <v>202</v>
      </c>
      <c r="M171" s="10"/>
      <c r="N171" s="10">
        <v>10922239</v>
      </c>
      <c r="O171" s="10"/>
      <c r="P171" s="10">
        <f>10969926-N171</f>
        <v>47687</v>
      </c>
      <c r="Q171" s="10"/>
      <c r="R171" s="9">
        <v>12808124</v>
      </c>
      <c r="S171" s="10"/>
      <c r="T171" s="10">
        <v>340000</v>
      </c>
      <c r="U171" s="10"/>
      <c r="V171" s="10">
        <v>46410</v>
      </c>
      <c r="W171" s="10"/>
      <c r="X171" s="10">
        <v>139384</v>
      </c>
      <c r="Y171" s="10"/>
      <c r="Z171" s="10">
        <v>227439</v>
      </c>
      <c r="AA171" s="10"/>
      <c r="AB171" s="10">
        <v>231444</v>
      </c>
      <c r="AC171" s="10"/>
      <c r="AD171" s="10">
        <v>419367</v>
      </c>
      <c r="AE171" s="10"/>
      <c r="AF171" s="10">
        <v>378615.01085416664</v>
      </c>
      <c r="AG171" s="10"/>
      <c r="AH171" s="10">
        <v>426069.82412684895</v>
      </c>
      <c r="AI171"/>
      <c r="AJ171" s="10">
        <f>[1]Wilton!$K$40</f>
        <v>463711.37538870639</v>
      </c>
      <c r="AK171"/>
      <c r="AL171" s="10">
        <f>[1]Wilton!$L$40</f>
        <v>505639.68570277008</v>
      </c>
      <c r="AM171"/>
      <c r="AN171" s="10">
        <v>568176</v>
      </c>
      <c r="AO171" s="10"/>
      <c r="AP171" s="10">
        <f>[1]Wilton!$N$40</f>
        <v>663422.29387704656</v>
      </c>
      <c r="AQ171" s="10"/>
      <c r="AR171" s="10">
        <f>[1]Wilton!$O$40</f>
        <v>873819.32529526937</v>
      </c>
      <c r="AS171" s="10"/>
      <c r="AT171" s="10">
        <f>[1]Wilton!$P$40</f>
        <v>891069.81590450753</v>
      </c>
      <c r="AU171" s="10"/>
      <c r="AV171" s="10">
        <f>[1]Wilton!$Q$40</f>
        <v>1048965.8687712126</v>
      </c>
      <c r="AW171" s="10"/>
      <c r="AX171" s="10">
        <f>[1]Wilton!$R$40</f>
        <v>1175441.8444909456</v>
      </c>
      <c r="AY171" s="10"/>
      <c r="AZ171" s="10">
        <v>1292974</v>
      </c>
      <c r="BA171" s="10"/>
      <c r="BB171" s="10">
        <v>1330970.160947216</v>
      </c>
      <c r="BC171" s="10"/>
      <c r="BD171" s="10"/>
      <c r="BE171"/>
      <c r="BF171" s="10">
        <v>0</v>
      </c>
      <c r="BG171"/>
      <c r="BH171" s="10">
        <v>0</v>
      </c>
      <c r="BI171"/>
      <c r="BJ171" s="10">
        <v>0</v>
      </c>
      <c r="BK171"/>
      <c r="BL171" s="10">
        <f>SUM(T171:BK171)</f>
        <v>11022919.20535869</v>
      </c>
      <c r="BM171"/>
      <c r="BN171" s="10"/>
      <c r="BO171"/>
      <c r="BP171" s="6">
        <f>IF(+R171-BL171+BN171&gt;0,R171-BL171+BN171,0)-R171+[1]Wilton!$Y$40</f>
        <v>1.2261786516755819</v>
      </c>
      <c r="BQ171" s="10"/>
      <c r="BR171" s="9">
        <f>+BL171+BP171</f>
        <v>11022920.431537341</v>
      </c>
      <c r="BS171" s="10"/>
      <c r="BT171" s="9">
        <f>+R171-BR171</f>
        <v>1785203.5684626587</v>
      </c>
      <c r="BU171" s="10"/>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c r="AJ172" s="10"/>
      <c r="AK172"/>
      <c r="AL172" s="10"/>
      <c r="AM172"/>
      <c r="AN172" s="10"/>
      <c r="AO172" s="9"/>
      <c r="AP172" s="10"/>
      <c r="AQ172" s="9"/>
      <c r="AR172" s="10"/>
      <c r="AS172" s="9"/>
      <c r="AT172" s="10"/>
      <c r="AU172" s="10"/>
      <c r="AV172" s="10"/>
      <c r="AW172" s="10"/>
      <c r="AX172" s="10"/>
      <c r="AY172" s="10"/>
      <c r="AZ172" s="10"/>
      <c r="BA172" s="10"/>
      <c r="BB172" s="10"/>
      <c r="BC172" s="10"/>
      <c r="BD172" s="10"/>
      <c r="BE172"/>
      <c r="BF172" s="10"/>
      <c r="BG172"/>
      <c r="BH172" s="10"/>
      <c r="BI172"/>
      <c r="BJ172" s="10"/>
      <c r="BK172"/>
      <c r="BL172" s="10"/>
      <c r="BM172"/>
      <c r="BN172" s="10"/>
      <c r="BO172"/>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105" customFormat="1">
      <c r="A173" s="84" t="s">
        <v>248</v>
      </c>
      <c r="B173" s="54"/>
      <c r="J173" s="158"/>
      <c r="L173" s="144"/>
      <c r="M173" s="13"/>
      <c r="N173" s="120"/>
      <c r="O173" s="13"/>
      <c r="P173" s="120"/>
      <c r="Q173" s="13"/>
      <c r="R173" s="120">
        <f t="shared" ref="R173:AW173" si="34">R171+R162+R153+R151+R149+R143+R139+R132+R125+R123+R121+R184+R117+R169+R141</f>
        <v>24972135</v>
      </c>
      <c r="S173" s="120">
        <f t="shared" si="34"/>
        <v>0</v>
      </c>
      <c r="T173" s="120">
        <f t="shared" si="34"/>
        <v>340000</v>
      </c>
      <c r="U173" s="120">
        <f t="shared" si="34"/>
        <v>0</v>
      </c>
      <c r="V173" s="120">
        <f t="shared" si="34"/>
        <v>47646</v>
      </c>
      <c r="W173" s="120">
        <f t="shared" si="34"/>
        <v>0</v>
      </c>
      <c r="X173" s="120">
        <f t="shared" si="34"/>
        <v>218493</v>
      </c>
      <c r="Y173" s="120">
        <f t="shared" si="34"/>
        <v>0</v>
      </c>
      <c r="Z173" s="120">
        <f t="shared" si="34"/>
        <v>282259</v>
      </c>
      <c r="AA173" s="120">
        <f t="shared" si="34"/>
        <v>0</v>
      </c>
      <c r="AB173" s="120">
        <f t="shared" si="34"/>
        <v>1722017</v>
      </c>
      <c r="AC173" s="120">
        <f t="shared" si="34"/>
        <v>0</v>
      </c>
      <c r="AD173" s="120">
        <f t="shared" si="34"/>
        <v>540746.83000000007</v>
      </c>
      <c r="AE173" s="120">
        <f t="shared" si="34"/>
        <v>0</v>
      </c>
      <c r="AF173" s="120">
        <f t="shared" si="34"/>
        <v>622375.14085416659</v>
      </c>
      <c r="AG173" s="120">
        <f t="shared" si="34"/>
        <v>0</v>
      </c>
      <c r="AH173" s="120">
        <f t="shared" si="34"/>
        <v>1381148.8641268488</v>
      </c>
      <c r="AI173" s="120">
        <f t="shared" si="34"/>
        <v>0</v>
      </c>
      <c r="AJ173" s="120">
        <f t="shared" si="34"/>
        <v>515549.77538870636</v>
      </c>
      <c r="AK173" s="120">
        <f t="shared" si="34"/>
        <v>0</v>
      </c>
      <c r="AL173" s="120">
        <f t="shared" si="34"/>
        <v>551052.15570277011</v>
      </c>
      <c r="AM173" s="120">
        <f t="shared" si="34"/>
        <v>0</v>
      </c>
      <c r="AN173" s="120">
        <f t="shared" si="34"/>
        <v>693677.65</v>
      </c>
      <c r="AO173" s="120">
        <f t="shared" si="34"/>
        <v>0</v>
      </c>
      <c r="AP173" s="120">
        <f t="shared" si="34"/>
        <v>997479.58387704659</v>
      </c>
      <c r="AQ173" s="120">
        <f t="shared" si="34"/>
        <v>0</v>
      </c>
      <c r="AR173" s="120">
        <f t="shared" si="34"/>
        <v>1810970.3252952693</v>
      </c>
      <c r="AS173" s="120">
        <f t="shared" si="34"/>
        <v>0</v>
      </c>
      <c r="AT173" s="120">
        <f t="shared" si="34"/>
        <v>1294710.1259045072</v>
      </c>
      <c r="AU173" s="120">
        <f t="shared" si="34"/>
        <v>0</v>
      </c>
      <c r="AV173" s="120">
        <f t="shared" si="34"/>
        <v>1582025.6787712125</v>
      </c>
      <c r="AW173" s="120">
        <f t="shared" si="34"/>
        <v>0</v>
      </c>
      <c r="AX173" s="120">
        <f t="shared" ref="AX173:BS173" si="35">AX171+AX162+AX153+AX151+AX149+AX143+AX139+AX132+AX125+AX123+AX121+AX184+AX117+AX169+AX141</f>
        <v>1578800.3344909456</v>
      </c>
      <c r="AY173" s="120">
        <f t="shared" si="35"/>
        <v>0</v>
      </c>
      <c r="AZ173" s="120">
        <f t="shared" si="35"/>
        <v>1875329.53</v>
      </c>
      <c r="BA173" s="120">
        <f t="shared" si="35"/>
        <v>0</v>
      </c>
      <c r="BB173" s="120">
        <f>BB171+BB162+BB153+BB151+BB149+BB143+BB139+BB132+BB125+BB123+BB121+BB117+BB169+BB141</f>
        <v>7508652.3809472164</v>
      </c>
      <c r="BC173" s="120"/>
      <c r="BD173" s="120">
        <f t="shared" si="35"/>
        <v>568602.37</v>
      </c>
      <c r="BE173"/>
      <c r="BF173" s="120">
        <f t="shared" si="35"/>
        <v>373521.64999999997</v>
      </c>
      <c r="BG173"/>
      <c r="BH173" s="120">
        <f t="shared" si="35"/>
        <v>0</v>
      </c>
      <c r="BI173"/>
      <c r="BJ173" s="120">
        <f t="shared" si="35"/>
        <v>0</v>
      </c>
      <c r="BK173"/>
      <c r="BL173" s="120">
        <f>BL171+BL162+BL153+BL151+BL149+BL143+BL139+BL132+BL125+BL123+BL121+BL117+BL169+BL141</f>
        <v>24505057.395358689</v>
      </c>
      <c r="BM173"/>
      <c r="BN173" s="120">
        <f t="shared" si="35"/>
        <v>7936102.4900000002</v>
      </c>
      <c r="BO173"/>
      <c r="BP173" s="120">
        <f>BP117+BP121+BP123+BP125+BP132+BP139+BP141+BP143+BP149+BP151+BP153+BP162+BP169+BP171</f>
        <v>8758992.7061786521</v>
      </c>
      <c r="BQ173" s="120">
        <f t="shared" si="35"/>
        <v>0</v>
      </c>
      <c r="BR173" s="120">
        <f>BR117+BR121+BR123+BR125+BR132+BR139+BR141+BR143+BR149+BR151+BR153+BR162+BR169+BR171</f>
        <v>33273753.101537343</v>
      </c>
      <c r="BS173" s="120">
        <f t="shared" si="35"/>
        <v>0</v>
      </c>
      <c r="BT173" s="120">
        <f>BT117+BT121+BT123+BT125+BT132+BT139+BT141+BT143+BT149+BT151+BT153+BT162+BT169+BT171</f>
        <v>-8301618.1015373413</v>
      </c>
      <c r="BU173" s="120">
        <f>BU171+BU162+BU153+BU151+BU149+BU143+BU139+BU132+BU125+BU123+BU121+BU184+BU117+BU169</f>
        <v>0</v>
      </c>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c r="AJ174" s="10"/>
      <c r="AK174"/>
      <c r="AL174" s="10"/>
      <c r="AM174"/>
      <c r="AN174" s="10"/>
      <c r="AO174" s="9"/>
      <c r="AP174" s="10"/>
      <c r="AQ174" s="9"/>
      <c r="AR174" s="10"/>
      <c r="AS174" s="9"/>
      <c r="AT174" s="10"/>
      <c r="AU174" s="10"/>
      <c r="AV174" s="10"/>
      <c r="AW174" s="10"/>
      <c r="AX174" s="10"/>
      <c r="AY174" s="10"/>
      <c r="AZ174" s="10"/>
      <c r="BA174" s="10"/>
      <c r="BB174" s="10"/>
      <c r="BC174" s="10"/>
      <c r="BD174" s="10"/>
      <c r="BE174"/>
      <c r="BF174" s="10"/>
      <c r="BG174"/>
      <c r="BH174" s="10"/>
      <c r="BI174"/>
      <c r="BJ174" s="10"/>
      <c r="BK174"/>
      <c r="BL174" s="10"/>
      <c r="BM174"/>
      <c r="BN174" s="10"/>
      <c r="BO174"/>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t="s">
        <v>190</v>
      </c>
      <c r="B175" s="31"/>
      <c r="J175" s="8"/>
      <c r="L175" s="143" t="s">
        <v>202</v>
      </c>
      <c r="M175" s="9"/>
      <c r="N175" s="9">
        <v>5395729</v>
      </c>
      <c r="O175" s="9"/>
      <c r="P175" s="9">
        <f>5463580+-N175</f>
        <v>67851</v>
      </c>
      <c r="Q175" s="9"/>
      <c r="R175" s="9">
        <v>4408071.75</v>
      </c>
      <c r="S175" s="9"/>
      <c r="T175" s="9"/>
      <c r="U175" s="9"/>
      <c r="V175" s="9"/>
      <c r="W175" s="9"/>
      <c r="X175" s="9"/>
      <c r="Y175" s="9"/>
      <c r="Z175" s="9"/>
      <c r="AA175" s="9"/>
      <c r="AB175" s="9"/>
      <c r="AC175" s="9"/>
      <c r="AD175" s="9"/>
      <c r="AE175" s="9"/>
      <c r="AF175" s="9">
        <v>0</v>
      </c>
      <c r="AG175" s="9"/>
      <c r="AH175" s="9"/>
      <c r="AI175"/>
      <c r="AJ175" s="9"/>
      <c r="AK175"/>
      <c r="AL175" s="9"/>
      <c r="AM175"/>
      <c r="AN175" s="9"/>
      <c r="AO175" s="9"/>
      <c r="AP175" s="9"/>
      <c r="AQ175" s="9"/>
      <c r="AR175" s="9"/>
      <c r="AS175" s="9"/>
      <c r="AT175" s="9"/>
      <c r="AU175" s="9"/>
      <c r="AV175" s="9"/>
      <c r="AW175" s="9"/>
      <c r="AX175" s="9"/>
      <c r="AY175" s="9"/>
      <c r="AZ175" s="9"/>
      <c r="BA175" s="9"/>
      <c r="BB175" s="9"/>
      <c r="BC175" s="9"/>
      <c r="BD175" s="9"/>
      <c r="BE175"/>
      <c r="BF175" s="9"/>
      <c r="BG175"/>
      <c r="BH175" s="9"/>
      <c r="BI175"/>
      <c r="BJ175" s="9"/>
      <c r="BK175"/>
      <c r="BL175" s="10">
        <f>SUM(T175:BK175)</f>
        <v>0</v>
      </c>
      <c r="BM175"/>
      <c r="BN175" s="9">
        <v>-4408072</v>
      </c>
      <c r="BO175"/>
      <c r="BP175" s="6">
        <f>IF(+R175-BL175+BN175&gt;0,R175-BL175+BN175,0)</f>
        <v>0</v>
      </c>
      <c r="BQ175" s="9">
        <v>2030320</v>
      </c>
      <c r="BR175" s="9">
        <f>+BL175+BP175</f>
        <v>0</v>
      </c>
      <c r="BS175" s="9">
        <v>2030320</v>
      </c>
      <c r="BT175" s="6">
        <f>+R175-BR175</f>
        <v>4408071.75</v>
      </c>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c r="BF176" s="10"/>
      <c r="BG176"/>
      <c r="BH176" s="10"/>
      <c r="BI176"/>
      <c r="BJ176" s="10"/>
      <c r="BK176"/>
      <c r="BL176" s="10"/>
      <c r="BM176"/>
      <c r="BN176" s="10"/>
      <c r="BO176"/>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c r="AJ177" s="10"/>
      <c r="AK177"/>
      <c r="AL177" s="10"/>
      <c r="AM177"/>
      <c r="AN177" s="10"/>
      <c r="AO177" s="9"/>
      <c r="AP177" s="10"/>
      <c r="AQ177" s="9"/>
      <c r="AR177" s="10"/>
      <c r="AS177" s="9"/>
      <c r="AT177" s="10"/>
      <c r="AU177" s="10"/>
      <c r="AV177" s="10"/>
      <c r="AW177" s="10"/>
      <c r="AX177" s="10"/>
      <c r="AY177" s="10"/>
      <c r="AZ177" s="10"/>
      <c r="BA177" s="10"/>
      <c r="BB177" s="10"/>
      <c r="BC177" s="10"/>
      <c r="BD177" s="10"/>
      <c r="BE177"/>
      <c r="BF177" s="10"/>
      <c r="BG177"/>
      <c r="BH177" s="10"/>
      <c r="BI177"/>
      <c r="BJ177" s="10"/>
      <c r="BK177"/>
      <c r="BL177" s="10"/>
      <c r="BM177"/>
      <c r="BN177" s="10"/>
      <c r="BO177"/>
      <c r="BP177" s="10"/>
      <c r="BQ177" s="9"/>
      <c r="BR177" s="10"/>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170" customFormat="1">
      <c r="A178" s="169" t="s">
        <v>253</v>
      </c>
      <c r="J178" s="171"/>
      <c r="L178" s="172"/>
      <c r="M178" s="173"/>
      <c r="N178" s="173"/>
      <c r="O178" s="173"/>
      <c r="P178" s="173"/>
      <c r="Q178" s="173"/>
      <c r="R178" s="168">
        <f t="shared" ref="R178:AD178" si="36">R33+R99+R89+R108+R173+R175</f>
        <v>239675467.75</v>
      </c>
      <c r="S178" s="168">
        <f t="shared" si="36"/>
        <v>0</v>
      </c>
      <c r="T178" s="168">
        <f t="shared" si="36"/>
        <v>7140000</v>
      </c>
      <c r="U178" s="168">
        <f t="shared" si="36"/>
        <v>0</v>
      </c>
      <c r="V178" s="168">
        <f t="shared" si="36"/>
        <v>1297646</v>
      </c>
      <c r="W178" s="168">
        <f t="shared" si="36"/>
        <v>0</v>
      </c>
      <c r="X178" s="168">
        <f t="shared" si="36"/>
        <v>33103293</v>
      </c>
      <c r="Y178" s="168">
        <f t="shared" si="36"/>
        <v>0</v>
      </c>
      <c r="Z178" s="168">
        <f t="shared" si="36"/>
        <v>282259</v>
      </c>
      <c r="AA178" s="168">
        <f t="shared" si="36"/>
        <v>0</v>
      </c>
      <c r="AB178" s="168">
        <f t="shared" si="36"/>
        <v>1722017</v>
      </c>
      <c r="AC178" s="168">
        <f t="shared" si="36"/>
        <v>0</v>
      </c>
      <c r="AD178" s="168">
        <f t="shared" si="36"/>
        <v>18851273.829999998</v>
      </c>
      <c r="AE178" s="168"/>
      <c r="AF178" s="168">
        <f>AF33+AF99+AF89+AF108+AF173+AF175</f>
        <v>8237655.1408541668</v>
      </c>
      <c r="AG178" s="168"/>
      <c r="AH178" s="168">
        <f>AH33+AH99+AH89+AH108+AH173+AH175</f>
        <v>8871230.9374601822</v>
      </c>
      <c r="AI178"/>
      <c r="AJ178" s="168">
        <f>AJ33+AJ99+AJ89+AJ108+AJ173+AJ175</f>
        <v>6989210.1253887061</v>
      </c>
      <c r="AK178"/>
      <c r="AL178" s="168">
        <f>AL33+AL99+AL89+AL108+AL173+AL175</f>
        <v>7789231.1557027698</v>
      </c>
      <c r="AM178"/>
      <c r="AN178" s="168">
        <f t="shared" ref="AN178:BS178" si="37">AN33+AN99+AN89+AN108+AN173+AN175</f>
        <v>11600775.180000002</v>
      </c>
      <c r="AO178" s="168">
        <f t="shared" si="37"/>
        <v>0</v>
      </c>
      <c r="AP178" s="168">
        <f t="shared" si="37"/>
        <v>17679120.913877048</v>
      </c>
      <c r="AQ178" s="168">
        <f t="shared" si="37"/>
        <v>0</v>
      </c>
      <c r="AR178" s="168">
        <f t="shared" si="37"/>
        <v>39304333.695295267</v>
      </c>
      <c r="AS178" s="168">
        <f t="shared" si="37"/>
        <v>0</v>
      </c>
      <c r="AT178" s="168">
        <f t="shared" si="37"/>
        <v>2943898.2559045074</v>
      </c>
      <c r="AU178" s="168">
        <f t="shared" si="37"/>
        <v>0</v>
      </c>
      <c r="AV178" s="168">
        <f t="shared" si="37"/>
        <v>29327061.258771211</v>
      </c>
      <c r="AW178" s="168">
        <f t="shared" si="37"/>
        <v>0</v>
      </c>
      <c r="AX178" s="168">
        <f t="shared" si="37"/>
        <v>23466763.284490943</v>
      </c>
      <c r="AY178" s="168">
        <f t="shared" si="37"/>
        <v>0</v>
      </c>
      <c r="AZ178" s="168">
        <f t="shared" si="37"/>
        <v>22126233.530000001</v>
      </c>
      <c r="BA178" s="168">
        <f t="shared" si="37"/>
        <v>0</v>
      </c>
      <c r="BB178" s="168">
        <f t="shared" si="37"/>
        <v>8412940.5109472163</v>
      </c>
      <c r="BC178" s="168"/>
      <c r="BD178" s="168">
        <f t="shared" si="37"/>
        <v>11789115.699999999</v>
      </c>
      <c r="BE178"/>
      <c r="BF178" s="168">
        <f t="shared" si="37"/>
        <v>1350600.65</v>
      </c>
      <c r="BG178"/>
      <c r="BH178" s="168">
        <f t="shared" si="37"/>
        <v>0</v>
      </c>
      <c r="BI178"/>
      <c r="BJ178" s="168">
        <f t="shared" si="37"/>
        <v>0</v>
      </c>
      <c r="BK178"/>
      <c r="BL178" s="168">
        <f t="shared" si="37"/>
        <v>262284659.16869202</v>
      </c>
      <c r="BM178"/>
      <c r="BN178" s="168">
        <f t="shared" si="37"/>
        <v>31616382.490000002</v>
      </c>
      <c r="BO178"/>
      <c r="BP178" s="168">
        <f>BP33+BP89+BP99+BP108+BP173</f>
        <v>9768827.7061786521</v>
      </c>
      <c r="BQ178" s="168">
        <f t="shared" si="37"/>
        <v>2030320</v>
      </c>
      <c r="BR178" s="168">
        <f t="shared" si="37"/>
        <v>272231760.87487066</v>
      </c>
      <c r="BS178" s="168">
        <f t="shared" si="37"/>
        <v>2030320</v>
      </c>
      <c r="BT178" s="168">
        <f>BT33+BT89+BT99+BT108+BT175+BT173</f>
        <v>-32556293.124870673</v>
      </c>
      <c r="BU178" s="173"/>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t="s">
        <v>251</v>
      </c>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c r="BF179" s="10"/>
      <c r="BG179"/>
      <c r="BH179" s="10"/>
      <c r="BI179"/>
      <c r="BJ179" s="10"/>
      <c r="BK179"/>
      <c r="BL179" s="10"/>
      <c r="BM179"/>
      <c r="BN179" s="10"/>
      <c r="BO179"/>
      <c r="BP179" s="10"/>
      <c r="BQ179" s="9"/>
      <c r="BR179" s="10">
        <f>BR178/B4</f>
        <v>447749.60670208989</v>
      </c>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c r="AJ180" s="10"/>
      <c r="AK180"/>
      <c r="AL180" s="10"/>
      <c r="AM180"/>
      <c r="AN180" s="10"/>
      <c r="AO180" s="9"/>
      <c r="AP180" s="10"/>
      <c r="AQ180" s="9"/>
      <c r="AR180" s="10"/>
      <c r="AS180" s="9"/>
      <c r="AT180" s="10"/>
      <c r="AU180" s="10"/>
      <c r="AV180" s="10"/>
      <c r="AW180" s="10"/>
      <c r="AX180" s="10"/>
      <c r="AY180" s="10"/>
      <c r="AZ180" s="10"/>
      <c r="BA180" s="10"/>
      <c r="BB180" s="10"/>
      <c r="BC180" s="10"/>
      <c r="BD180" s="10"/>
      <c r="BE180"/>
      <c r="BF180" s="10"/>
      <c r="BG180"/>
      <c r="BH180" s="10"/>
      <c r="BI180"/>
      <c r="BJ180" s="10"/>
      <c r="BK180"/>
      <c r="BL180" s="10"/>
      <c r="BM180"/>
      <c r="BN180" s="10"/>
      <c r="BO180"/>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8" t="s">
        <v>219</v>
      </c>
      <c r="B181" s="31"/>
      <c r="J181" s="8"/>
      <c r="L181" s="143" t="s">
        <v>202</v>
      </c>
      <c r="M181" s="9"/>
      <c r="N181" s="9">
        <v>0</v>
      </c>
      <c r="O181" s="9"/>
      <c r="P181" s="9">
        <f>21557+23365.91</f>
        <v>44922.91</v>
      </c>
      <c r="Q181" s="9"/>
      <c r="R181" s="9">
        <v>-6078</v>
      </c>
      <c r="S181" s="9"/>
      <c r="T181" s="9"/>
      <c r="U181" s="9"/>
      <c r="V181" s="9"/>
      <c r="W181" s="9"/>
      <c r="X181" s="9"/>
      <c r="Y181" s="9"/>
      <c r="Z181" s="9">
        <v>-21556.400000000001</v>
      </c>
      <c r="AA181" s="9"/>
      <c r="AB181" s="9">
        <f>43113+23365.91</f>
        <v>66478.91</v>
      </c>
      <c r="AC181" s="9"/>
      <c r="AD181" s="9">
        <v>-51000</v>
      </c>
      <c r="AE181" s="9"/>
      <c r="AF181" s="9"/>
      <c r="AG181" s="9"/>
      <c r="AH181" s="9"/>
      <c r="AI181"/>
      <c r="AJ181" s="9"/>
      <c r="AK181"/>
      <c r="AL181" s="9"/>
      <c r="AM181"/>
      <c r="AN181" s="9"/>
      <c r="AO181" s="9"/>
      <c r="AP181" s="9"/>
      <c r="AQ181" s="9"/>
      <c r="AR181" s="9"/>
      <c r="AS181" s="9"/>
      <c r="AT181" s="9"/>
      <c r="AU181" s="9"/>
      <c r="AV181" s="9"/>
      <c r="AW181" s="9"/>
      <c r="AX181" s="9"/>
      <c r="AY181" s="9"/>
      <c r="AZ181" s="9"/>
      <c r="BA181" s="9"/>
      <c r="BB181" s="9"/>
      <c r="BC181" s="9"/>
      <c r="BD181" s="9"/>
      <c r="BE181"/>
      <c r="BF181" s="9"/>
      <c r="BG181"/>
      <c r="BH181" s="9"/>
      <c r="BI181"/>
      <c r="BJ181" s="9"/>
      <c r="BK181"/>
      <c r="BL181" s="10">
        <f>SUM(T181:BK181)</f>
        <v>-6077.489999999998</v>
      </c>
      <c r="BM181"/>
      <c r="BN181" s="10">
        <v>0</v>
      </c>
      <c r="BO181"/>
      <c r="BP181" s="6">
        <f>IF(+R181-BL181+BN181&gt;0,R181-BL181+BN181,0)</f>
        <v>0</v>
      </c>
      <c r="BQ181" s="10"/>
      <c r="BR181" s="9">
        <f>+BL181+BP181</f>
        <v>-6077.489999999998</v>
      </c>
      <c r="BS181" s="10"/>
      <c r="BT181" s="9">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c r="AJ182" s="10"/>
      <c r="AK182"/>
      <c r="AL182" s="10"/>
      <c r="AM182"/>
      <c r="AN182" s="10"/>
      <c r="AO182" s="9"/>
      <c r="AP182" s="10"/>
      <c r="AQ182" s="9"/>
      <c r="AR182" s="10"/>
      <c r="AS182" s="9"/>
      <c r="AT182" s="10"/>
      <c r="AU182" s="10"/>
      <c r="AV182" s="10"/>
      <c r="AW182" s="10"/>
      <c r="AX182" s="10"/>
      <c r="AY182" s="10"/>
      <c r="AZ182" s="10"/>
      <c r="BA182" s="10"/>
      <c r="BB182" s="10"/>
      <c r="BC182" s="10"/>
      <c r="BD182" s="10"/>
      <c r="BE182"/>
      <c r="BF182" s="10"/>
      <c r="BG182"/>
      <c r="BH182" s="10"/>
      <c r="BI182"/>
      <c r="BJ182" s="10"/>
      <c r="BK182"/>
      <c r="BL182" s="10"/>
      <c r="BM182"/>
      <c r="BN182" s="10"/>
      <c r="BO182"/>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t="s">
        <v>319</v>
      </c>
      <c r="B183" s="31"/>
      <c r="J183" s="8"/>
      <c r="L183" s="143"/>
      <c r="M183" s="9"/>
      <c r="N183" s="10"/>
      <c r="O183" s="9"/>
      <c r="P183" s="10"/>
      <c r="Q183" s="9"/>
      <c r="R183" s="10">
        <v>0</v>
      </c>
      <c r="S183" s="9"/>
      <c r="T183" s="10"/>
      <c r="U183" s="9"/>
      <c r="V183" s="10"/>
      <c r="W183" s="9"/>
      <c r="X183" s="10"/>
      <c r="Y183" s="9"/>
      <c r="Z183" s="10"/>
      <c r="AA183" s="9"/>
      <c r="AB183" s="10">
        <v>0</v>
      </c>
      <c r="AC183" s="9"/>
      <c r="AD183" s="10">
        <v>100</v>
      </c>
      <c r="AE183" s="9"/>
      <c r="AF183" s="10"/>
      <c r="AG183" s="9"/>
      <c r="AH183" s="10"/>
      <c r="AI183"/>
      <c r="AJ183" s="10">
        <f>220+59</f>
        <v>279</v>
      </c>
      <c r="AK183"/>
      <c r="AL183" s="10">
        <v>10</v>
      </c>
      <c r="AM183"/>
      <c r="AN183" s="10"/>
      <c r="AO183" s="9"/>
      <c r="AP183" s="10">
        <v>800</v>
      </c>
      <c r="AQ183" s="9"/>
      <c r="AR183" s="10"/>
      <c r="AS183" s="9"/>
      <c r="AT183" s="10"/>
      <c r="AU183" s="10"/>
      <c r="AV183" s="10"/>
      <c r="AW183" s="10"/>
      <c r="AX183" s="10"/>
      <c r="AY183" s="10"/>
      <c r="AZ183" s="10"/>
      <c r="BA183" s="10"/>
      <c r="BB183" s="10">
        <v>100</v>
      </c>
      <c r="BC183" s="10"/>
      <c r="BD183" s="10"/>
      <c r="BE183"/>
      <c r="BF183" s="10"/>
      <c r="BG183"/>
      <c r="BH183" s="10"/>
      <c r="BI183"/>
      <c r="BJ183" s="10"/>
      <c r="BK183"/>
      <c r="BL183" s="10">
        <f>SUM(T183:BK183)</f>
        <v>1289</v>
      </c>
      <c r="BM183"/>
      <c r="BN183" s="10">
        <v>0</v>
      </c>
      <c r="BO183"/>
      <c r="BP183" s="6">
        <f>IF(+R183-BL183+BN183&gt;0,R183-BL183+BN183,0)</f>
        <v>0</v>
      </c>
      <c r="BQ183" s="9"/>
      <c r="BR183" s="9">
        <f>+BL183+BP183</f>
        <v>1289</v>
      </c>
      <c r="BS183" s="9"/>
      <c r="BT183" s="6"/>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62" t="s">
        <v>562</v>
      </c>
      <c r="B184" s="58"/>
      <c r="J184" s="8" t="s">
        <v>0</v>
      </c>
      <c r="L184" s="143" t="s">
        <v>202</v>
      </c>
      <c r="M184" s="9"/>
      <c r="N184" s="9">
        <v>0</v>
      </c>
      <c r="O184" s="9"/>
      <c r="P184" s="9">
        <v>0</v>
      </c>
      <c r="Q184" s="9"/>
      <c r="R184" s="9">
        <v>0</v>
      </c>
      <c r="S184" s="9"/>
      <c r="T184" s="9">
        <v>0</v>
      </c>
      <c r="U184" s="9"/>
      <c r="V184" s="9">
        <v>0</v>
      </c>
      <c r="W184" s="9"/>
      <c r="X184" s="9">
        <v>0</v>
      </c>
      <c r="Y184" s="9"/>
      <c r="Z184" s="9">
        <v>0</v>
      </c>
      <c r="AA184" s="9"/>
      <c r="AB184" s="9">
        <v>0</v>
      </c>
      <c r="AC184" s="9"/>
      <c r="AD184" s="9">
        <v>0</v>
      </c>
      <c r="AE184" s="9"/>
      <c r="AF184" s="9">
        <v>0</v>
      </c>
      <c r="AG184" s="9"/>
      <c r="AH184" s="9">
        <v>0</v>
      </c>
      <c r="AI184"/>
      <c r="AJ184" s="9">
        <v>0</v>
      </c>
      <c r="AK184"/>
      <c r="AL184" s="9">
        <v>0</v>
      </c>
      <c r="AM184"/>
      <c r="AN184" s="9">
        <v>0</v>
      </c>
      <c r="AO184" s="9"/>
      <c r="AP184" s="9">
        <v>0</v>
      </c>
      <c r="AQ184" s="9"/>
      <c r="AR184" s="9">
        <v>0</v>
      </c>
      <c r="AS184" s="9"/>
      <c r="AT184" s="9">
        <v>0</v>
      </c>
      <c r="AU184" s="9"/>
      <c r="AV184" s="9">
        <v>0</v>
      </c>
      <c r="AW184" s="9"/>
      <c r="AX184" s="9">
        <v>0</v>
      </c>
      <c r="AY184" s="9"/>
      <c r="AZ184" s="9">
        <v>0</v>
      </c>
      <c r="BA184" s="9"/>
      <c r="BB184" s="9">
        <v>80000</v>
      </c>
      <c r="BC184" s="9"/>
      <c r="BD184" s="9">
        <v>0</v>
      </c>
      <c r="BE184"/>
      <c r="BF184" s="9">
        <v>0</v>
      </c>
      <c r="BG184"/>
      <c r="BH184" s="9">
        <v>0</v>
      </c>
      <c r="BI184"/>
      <c r="BJ184" s="9">
        <v>0</v>
      </c>
      <c r="BK184"/>
      <c r="BL184" s="16">
        <f>SUM(T184:BK184)</f>
        <v>80000</v>
      </c>
      <c r="BM184"/>
      <c r="BN184" s="9">
        <v>0</v>
      </c>
      <c r="BO184"/>
      <c r="BP184" s="6">
        <f>IF(+R184-BL184+BN184&gt;0,R184-BL184+BN184,0)</f>
        <v>0</v>
      </c>
      <c r="BQ184" s="9"/>
      <c r="BR184" s="9">
        <f>+BL184+BP184</f>
        <v>80000</v>
      </c>
      <c r="BS184" s="9"/>
      <c r="BT184" s="6"/>
      <c r="BU184" s="9"/>
    </row>
    <row r="185" spans="1:122" s="21" customFormat="1">
      <c r="A185" s="58" t="s">
        <v>269</v>
      </c>
      <c r="B185" s="31"/>
      <c r="J185" s="8"/>
      <c r="L185" s="143"/>
      <c r="M185" s="9"/>
      <c r="N185" s="10"/>
      <c r="O185" s="9"/>
      <c r="P185" s="10"/>
      <c r="Q185" s="9"/>
      <c r="R185" s="10">
        <v>-56499</v>
      </c>
      <c r="S185" s="9"/>
      <c r="T185" s="10"/>
      <c r="U185" s="9"/>
      <c r="V185" s="10"/>
      <c r="W185" s="9"/>
      <c r="X185" s="10"/>
      <c r="Y185" s="9"/>
      <c r="Z185" s="10"/>
      <c r="AA185" s="9"/>
      <c r="AB185" s="10">
        <v>-56500</v>
      </c>
      <c r="AC185" s="9"/>
      <c r="AD185" s="10">
        <f>1-35</f>
        <v>-34</v>
      </c>
      <c r="AE185" s="9"/>
      <c r="AF185" s="10">
        <v>-69954</v>
      </c>
      <c r="AG185" s="9"/>
      <c r="AH185" s="10">
        <v>-22011</v>
      </c>
      <c r="AI185"/>
      <c r="AJ185" s="10">
        <f>-861-98</f>
        <v>-959</v>
      </c>
      <c r="AK185"/>
      <c r="AL185" s="10">
        <v>-3</v>
      </c>
      <c r="AM185"/>
      <c r="AN185" s="10">
        <f>52264-47</f>
        <v>52217</v>
      </c>
      <c r="AO185" s="9"/>
      <c r="AP185" s="10">
        <f>-233-52264</f>
        <v>-52497</v>
      </c>
      <c r="AQ185" s="9"/>
      <c r="AR185" s="10"/>
      <c r="AS185" s="9"/>
      <c r="AT185" s="10"/>
      <c r="AU185" s="10"/>
      <c r="AV185" s="10"/>
      <c r="AW185" s="10"/>
      <c r="AX185" s="10"/>
      <c r="AY185" s="10"/>
      <c r="AZ185" s="10"/>
      <c r="BA185" s="10"/>
      <c r="BB185" s="10"/>
      <c r="BC185" s="10"/>
      <c r="BD185" s="10"/>
      <c r="BE185"/>
      <c r="BF185" s="10"/>
      <c r="BG185"/>
      <c r="BH185" s="10"/>
      <c r="BI185"/>
      <c r="BJ185" s="10"/>
      <c r="BK185"/>
      <c r="BL185" s="10">
        <f>SUM(T185:BK185)</f>
        <v>-149741</v>
      </c>
      <c r="BM185"/>
      <c r="BN185" s="10"/>
      <c r="BO185"/>
      <c r="BP185" s="6">
        <v>0</v>
      </c>
      <c r="BQ185" s="9"/>
      <c r="BR185" s="9">
        <f>+BL185+BP185</f>
        <v>-149741</v>
      </c>
      <c r="BS185" s="9"/>
      <c r="BT185" s="6"/>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c r="AJ186" s="10"/>
      <c r="AK186"/>
      <c r="AL186" s="10"/>
      <c r="AM186"/>
      <c r="AN186" s="10"/>
      <c r="AO186" s="9"/>
      <c r="AP186" s="10"/>
      <c r="AQ186" s="9"/>
      <c r="AR186" s="10"/>
      <c r="AS186" s="9"/>
      <c r="AT186" s="10"/>
      <c r="AU186" s="10"/>
      <c r="AV186" s="10"/>
      <c r="AW186" s="10"/>
      <c r="AX186" s="10"/>
      <c r="AY186" s="10"/>
      <c r="AZ186" s="10"/>
      <c r="BA186" s="10"/>
      <c r="BB186" s="10"/>
      <c r="BC186" s="10"/>
      <c r="BD186" s="10"/>
      <c r="BE186"/>
      <c r="BF186" s="10"/>
      <c r="BG186"/>
      <c r="BH186" s="10"/>
      <c r="BI186"/>
      <c r="BJ186" s="10"/>
      <c r="BK186"/>
      <c r="BL186" s="10"/>
      <c r="BM186"/>
      <c r="BN186" s="10"/>
      <c r="BO186"/>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t="s">
        <v>252</v>
      </c>
      <c r="B187" s="31"/>
      <c r="J187" s="8"/>
      <c r="L187" s="143"/>
      <c r="M187" s="9"/>
      <c r="N187" s="10"/>
      <c r="O187" s="9"/>
      <c r="P187" s="10"/>
      <c r="Q187" s="9"/>
      <c r="R187" s="10">
        <f t="shared" ref="R187:BJ187" si="38">R178+R181+R183+R185</f>
        <v>239612890.75</v>
      </c>
      <c r="S187" s="10">
        <f t="shared" si="38"/>
        <v>0</v>
      </c>
      <c r="T187" s="10">
        <f t="shared" si="38"/>
        <v>7140000</v>
      </c>
      <c r="U187" s="10">
        <f t="shared" si="38"/>
        <v>0</v>
      </c>
      <c r="V187" s="10">
        <f t="shared" si="38"/>
        <v>1297646</v>
      </c>
      <c r="W187" s="10">
        <f t="shared" si="38"/>
        <v>0</v>
      </c>
      <c r="X187" s="10">
        <f t="shared" si="38"/>
        <v>33103293</v>
      </c>
      <c r="Y187" s="10">
        <f t="shared" si="38"/>
        <v>0</v>
      </c>
      <c r="Z187" s="10">
        <f t="shared" si="38"/>
        <v>260702.6</v>
      </c>
      <c r="AA187" s="10">
        <f t="shared" si="38"/>
        <v>0</v>
      </c>
      <c r="AB187" s="10">
        <f t="shared" si="38"/>
        <v>1731995.91</v>
      </c>
      <c r="AC187" s="10">
        <f t="shared" si="38"/>
        <v>0</v>
      </c>
      <c r="AD187" s="10">
        <f t="shared" si="38"/>
        <v>18800339.829999998</v>
      </c>
      <c r="AE187" s="10"/>
      <c r="AF187" s="10">
        <f t="shared" si="38"/>
        <v>8167701.1408541668</v>
      </c>
      <c r="AG187" s="10"/>
      <c r="AH187" s="10">
        <f t="shared" si="38"/>
        <v>8849219.9374601822</v>
      </c>
      <c r="AI187"/>
      <c r="AJ187" s="10">
        <f>AJ178+AJ181+AJ183+AJ185</f>
        <v>6988530.1253887061</v>
      </c>
      <c r="AK187"/>
      <c r="AL187" s="10">
        <f t="shared" si="38"/>
        <v>7789238.1557027698</v>
      </c>
      <c r="AM187"/>
      <c r="AN187" s="10">
        <f t="shared" si="38"/>
        <v>11652992.180000002</v>
      </c>
      <c r="AO187" s="10">
        <f t="shared" si="38"/>
        <v>0</v>
      </c>
      <c r="AP187" s="10">
        <f t="shared" si="38"/>
        <v>17627423.913877048</v>
      </c>
      <c r="AQ187" s="10">
        <f t="shared" si="38"/>
        <v>0</v>
      </c>
      <c r="AR187" s="10">
        <f t="shared" si="38"/>
        <v>39304333.695295267</v>
      </c>
      <c r="AS187" s="10">
        <f t="shared" si="38"/>
        <v>0</v>
      </c>
      <c r="AT187" s="10">
        <f t="shared" si="38"/>
        <v>2943898.2559045074</v>
      </c>
      <c r="AU187" s="10">
        <f t="shared" si="38"/>
        <v>0</v>
      </c>
      <c r="AV187" s="10">
        <f t="shared" si="38"/>
        <v>29327061.258771211</v>
      </c>
      <c r="AW187" s="10">
        <f t="shared" si="38"/>
        <v>0</v>
      </c>
      <c r="AX187" s="10">
        <f t="shared" si="38"/>
        <v>23466763.284490943</v>
      </c>
      <c r="AY187" s="10">
        <f t="shared" si="38"/>
        <v>0</v>
      </c>
      <c r="AZ187" s="10">
        <f t="shared" si="38"/>
        <v>22126233.530000001</v>
      </c>
      <c r="BA187" s="10">
        <f t="shared" si="38"/>
        <v>0</v>
      </c>
      <c r="BB187" s="10">
        <f>BB178+BB181+BB183+BB185+BB184</f>
        <v>8493040.5109472163</v>
      </c>
      <c r="BC187" s="10"/>
      <c r="BD187" s="10">
        <f t="shared" si="38"/>
        <v>11789115.699999999</v>
      </c>
      <c r="BE187"/>
      <c r="BF187" s="10">
        <f t="shared" si="38"/>
        <v>1350600.65</v>
      </c>
      <c r="BG187"/>
      <c r="BH187" s="10">
        <f t="shared" si="38"/>
        <v>0</v>
      </c>
      <c r="BI187"/>
      <c r="BJ187" s="10">
        <f t="shared" si="38"/>
        <v>0</v>
      </c>
      <c r="BK187"/>
      <c r="BL187" s="10">
        <f>BL178+BL181+BL183+BL185+BL184</f>
        <v>262210129.67869201</v>
      </c>
      <c r="BM187"/>
      <c r="BN187" s="10">
        <f t="shared" ref="BN187:BT187" si="39">BN178+BN181+BN183+BN185+BN184</f>
        <v>31616382.490000002</v>
      </c>
      <c r="BO187"/>
      <c r="BP187" s="10">
        <f t="shared" si="39"/>
        <v>9768827.7061786521</v>
      </c>
      <c r="BQ187" s="10">
        <f t="shared" si="39"/>
        <v>2030320</v>
      </c>
      <c r="BR187" s="10">
        <f t="shared" si="39"/>
        <v>272157231.38487065</v>
      </c>
      <c r="BS187" s="10">
        <f t="shared" si="39"/>
        <v>2030320</v>
      </c>
      <c r="BT187" s="10">
        <f t="shared" si="39"/>
        <v>-32556293.124870673</v>
      </c>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s="21" customFormat="1">
      <c r="A188" s="58"/>
      <c r="B188" s="31"/>
      <c r="J188" s="8"/>
      <c r="L188" s="143"/>
      <c r="M188" s="9"/>
      <c r="N188" s="10"/>
      <c r="O188" s="9"/>
      <c r="P188" s="10"/>
      <c r="Q188" s="9"/>
      <c r="R188" s="10"/>
      <c r="S188" s="9"/>
      <c r="T188" s="10"/>
      <c r="U188" s="9"/>
      <c r="V188" s="10"/>
      <c r="W188" s="9"/>
      <c r="X188" s="10"/>
      <c r="Y188" s="9"/>
      <c r="Z188" s="10"/>
      <c r="AA188" s="9"/>
      <c r="AB188" s="10"/>
      <c r="AC188" s="9"/>
      <c r="AD188" s="10"/>
      <c r="AE188" s="9"/>
      <c r="AF188" s="10"/>
      <c r="AG188" s="9"/>
      <c r="AH188" s="39"/>
      <c r="AI188"/>
      <c r="AJ188" s="10"/>
      <c r="AK188"/>
      <c r="AL188" s="10"/>
      <c r="AM188"/>
      <c r="AN188" s="10"/>
      <c r="AO188" s="9"/>
      <c r="AP188" s="10"/>
      <c r="AQ188" s="9"/>
      <c r="AR188" s="10"/>
      <c r="AS188" s="9"/>
      <c r="AT188" s="10"/>
      <c r="AU188" s="10"/>
      <c r="AV188" s="10"/>
      <c r="AW188" s="10"/>
      <c r="AX188" s="10"/>
      <c r="AY188" s="10"/>
      <c r="AZ188" s="10"/>
      <c r="BA188" s="10"/>
      <c r="BB188" s="10"/>
      <c r="BC188" s="10"/>
      <c r="BD188" s="10"/>
      <c r="BE188"/>
      <c r="BF188" s="10"/>
      <c r="BG188"/>
      <c r="BH188" s="10"/>
      <c r="BI188"/>
      <c r="BJ188" s="10"/>
      <c r="BK188"/>
      <c r="BL188" s="10"/>
      <c r="BM188"/>
      <c r="BN188" s="10"/>
      <c r="BO188"/>
      <c r="BP188" s="10"/>
      <c r="BQ188" s="9"/>
      <c r="BR188" s="10"/>
      <c r="BS188" s="9"/>
      <c r="BT188" s="10"/>
      <c r="BU188" s="9"/>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C189"/>
      <c r="D189"/>
      <c r="E189"/>
      <c r="F189"/>
      <c r="G189"/>
      <c r="H189"/>
      <c r="I189"/>
      <c r="J189" s="49"/>
      <c r="K189"/>
      <c r="L189" s="134"/>
      <c r="M189" s="6"/>
      <c r="O189" s="6"/>
      <c r="Q189" s="6"/>
      <c r="S189" s="6"/>
      <c r="T189" s="6"/>
      <c r="U189" s="6"/>
      <c r="V189" s="6"/>
      <c r="X189" s="6"/>
      <c r="Z189" s="6"/>
      <c r="AB189" s="6"/>
      <c r="AD189" s="6"/>
      <c r="AH189" s="10"/>
      <c r="AI189"/>
      <c r="AJ189" s="10"/>
      <c r="BJ189" s="6"/>
      <c r="BN189" s="6"/>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ht="15.75">
      <c r="A190" s="131" t="s">
        <v>196</v>
      </c>
      <c r="B190" s="132"/>
      <c r="C190" s="119"/>
      <c r="D190" s="119"/>
      <c r="E190" s="119"/>
      <c r="F190" s="119"/>
      <c r="G190" s="119"/>
      <c r="H190" s="119"/>
      <c r="I190" s="119"/>
      <c r="J190" s="161"/>
      <c r="K190" s="119"/>
      <c r="L190" s="148"/>
      <c r="M190" s="133"/>
      <c r="N190" s="133"/>
      <c r="O190" s="133"/>
      <c r="P190" s="133"/>
      <c r="Q190" s="133"/>
      <c r="R190" s="133"/>
      <c r="S190" s="133"/>
      <c r="T190" s="133"/>
      <c r="U190" s="133"/>
      <c r="V190" s="133"/>
      <c r="W190" s="133"/>
      <c r="X190" s="133"/>
      <c r="Y190" s="133"/>
      <c r="Z190" s="133"/>
      <c r="AA190" s="133"/>
      <c r="AB190" s="133"/>
      <c r="AC190" s="133"/>
      <c r="AD190" s="133"/>
      <c r="AE190" s="133"/>
      <c r="AF190" s="133"/>
      <c r="AG190" s="133"/>
      <c r="AH190" s="133"/>
      <c r="AI190"/>
      <c r="AJ190" s="133"/>
      <c r="AL190" s="133"/>
      <c r="AN190" s="133"/>
      <c r="AO190" s="133"/>
      <c r="AP190" s="133"/>
      <c r="AQ190" s="133"/>
      <c r="AR190" s="133"/>
      <c r="AS190" s="133"/>
      <c r="AT190" s="133"/>
      <c r="AU190" s="133"/>
      <c r="AV190" s="133"/>
      <c r="AW190" s="133"/>
      <c r="AX190" s="133"/>
      <c r="AY190" s="133"/>
      <c r="AZ190" s="133"/>
      <c r="BA190" s="133"/>
      <c r="BB190" s="133"/>
      <c r="BC190" s="133"/>
      <c r="BD190" s="133"/>
      <c r="BF190" s="133"/>
      <c r="BH190" s="133"/>
      <c r="BJ190" s="133"/>
      <c r="BL190" s="133"/>
      <c r="BN190" s="133"/>
      <c r="BP190" s="133"/>
      <c r="BQ190" s="133"/>
      <c r="BR190" s="13"/>
      <c r="BS190" s="133"/>
      <c r="BT190" s="133"/>
      <c r="BU190" s="133"/>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32</v>
      </c>
      <c r="C191"/>
      <c r="D191"/>
      <c r="E191"/>
      <c r="F191"/>
      <c r="G191"/>
      <c r="H191"/>
      <c r="I191"/>
      <c r="J191" s="49"/>
      <c r="K191"/>
      <c r="L191" s="134" t="s">
        <v>203</v>
      </c>
      <c r="M191" s="6"/>
      <c r="N191" s="6">
        <v>0</v>
      </c>
      <c r="O191" s="6"/>
      <c r="P191" s="6">
        <v>220000</v>
      </c>
      <c r="Q191" s="6"/>
      <c r="R191" s="9"/>
      <c r="S191" s="6"/>
      <c r="T191" s="22"/>
      <c r="U191" s="6"/>
      <c r="V191" s="22"/>
      <c r="X191" s="22">
        <f>982.5+18746.43</f>
        <v>19728.93</v>
      </c>
      <c r="Z191" s="22">
        <v>0</v>
      </c>
      <c r="AB191" s="22"/>
      <c r="AD191" s="22">
        <v>12698.23</v>
      </c>
      <c r="AF191" s="22"/>
      <c r="AH191" s="22">
        <f>5134.27+591.18</f>
        <v>5725.4500000000007</v>
      </c>
      <c r="AI191"/>
      <c r="AJ191" s="22"/>
      <c r="AL191" s="22">
        <v>591.45000000000005</v>
      </c>
      <c r="AN191" s="22"/>
      <c r="AP191" s="22"/>
      <c r="AR191" s="22">
        <v>1242.3</v>
      </c>
      <c r="AT191" s="22"/>
      <c r="AU191" s="22"/>
      <c r="AV191" s="22"/>
      <c r="AW191" s="22"/>
      <c r="AX191" s="22"/>
      <c r="AY191" s="22"/>
      <c r="AZ191" s="22"/>
      <c r="BA191" s="22"/>
      <c r="BB191" s="22"/>
      <c r="BC191" s="22"/>
      <c r="BD191" s="22"/>
      <c r="BF191" s="22"/>
      <c r="BH191" s="22"/>
      <c r="BJ191" s="22"/>
      <c r="BL191" s="9">
        <f t="shared" ref="BL191:BL196" si="40">SUM(T191:BK191)</f>
        <v>39986.36</v>
      </c>
      <c r="BN191" s="22"/>
      <c r="BP191" s="6">
        <f>IF(+R191-BL191+BN191&gt;0,R191-BL191+BN191,0)</f>
        <v>0</v>
      </c>
      <c r="BR191" s="9">
        <f t="shared" ref="BR191:BR196" si="41">+BP191+BL191</f>
        <v>39986.36</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30000</v>
      </c>
      <c r="Q192" s="6"/>
      <c r="R192" s="9"/>
      <c r="S192" s="6"/>
      <c r="T192" s="22"/>
      <c r="U192" s="6"/>
      <c r="V192" s="22">
        <v>1342.96</v>
      </c>
      <c r="X192" s="22">
        <f>24234.66+4681.29</f>
        <v>28915.95</v>
      </c>
      <c r="Z192" s="22">
        <f>18740.38+287.37+30.79+269.69</f>
        <v>19328.23</v>
      </c>
      <c r="AB192" s="22">
        <v>567.63</v>
      </c>
      <c r="AD192" s="22">
        <f>558.5+6000+11878.22+34085.81+15896.29</f>
        <v>68418.820000000007</v>
      </c>
      <c r="AF192" s="22"/>
      <c r="AH192" s="22"/>
      <c r="AI192"/>
      <c r="AJ192" s="22"/>
      <c r="AL192" s="22"/>
      <c r="AN192" s="22"/>
      <c r="AP192" s="22"/>
      <c r="AR192" s="22"/>
      <c r="AT192" s="22"/>
      <c r="AU192" s="22"/>
      <c r="AV192" s="22"/>
      <c r="AW192" s="22"/>
      <c r="AX192" s="22"/>
      <c r="AY192" s="22"/>
      <c r="AZ192" s="22"/>
      <c r="BA192" s="22"/>
      <c r="BB192" s="22"/>
      <c r="BC192" s="22"/>
      <c r="BD192" s="22"/>
      <c r="BF192" s="22"/>
      <c r="BH192" s="22"/>
      <c r="BJ192" s="22"/>
      <c r="BL192" s="9">
        <f t="shared" si="40"/>
        <v>118573.59</v>
      </c>
      <c r="BN192" s="22"/>
      <c r="BP192" s="6">
        <f>IF(+R192-BL192+BN192&gt;0,R192-BL192+BN192,0)</f>
        <v>0</v>
      </c>
      <c r="BR192" s="9">
        <f t="shared" si="41"/>
        <v>118573.59</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56" t="s">
        <v>35</v>
      </c>
      <c r="C193"/>
      <c r="D193"/>
      <c r="E193"/>
      <c r="F193"/>
      <c r="G193"/>
      <c r="H193"/>
      <c r="I193"/>
      <c r="J193" s="49"/>
      <c r="K193"/>
      <c r="L193" s="134" t="s">
        <v>203</v>
      </c>
      <c r="M193" s="6"/>
      <c r="N193" s="6">
        <v>0</v>
      </c>
      <c r="O193" s="6"/>
      <c r="P193" s="6">
        <v>35000</v>
      </c>
      <c r="Q193" s="6"/>
      <c r="R193" s="9"/>
      <c r="S193" s="6"/>
      <c r="T193" s="22">
        <v>52133</v>
      </c>
      <c r="U193" s="6"/>
      <c r="V193" s="22"/>
      <c r="X193" s="22"/>
      <c r="Z193" s="22"/>
      <c r="AB193" s="22">
        <v>1331.32</v>
      </c>
      <c r="AD193" s="22"/>
      <c r="AF193" s="22"/>
      <c r="AH193" s="22"/>
      <c r="AI193"/>
      <c r="AJ193" s="22"/>
      <c r="AL193" s="22"/>
      <c r="AN193" s="22"/>
      <c r="AP193" s="22"/>
      <c r="AR193" s="22"/>
      <c r="AT193" s="22"/>
      <c r="AU193" s="22"/>
      <c r="AV193" s="22"/>
      <c r="AW193" s="22"/>
      <c r="AX193" s="22"/>
      <c r="AY193" s="22"/>
      <c r="AZ193" s="22"/>
      <c r="BA193" s="22"/>
      <c r="BB193" s="22"/>
      <c r="BC193" s="22"/>
      <c r="BD193" s="22"/>
      <c r="BF193" s="22"/>
      <c r="BH193" s="22"/>
      <c r="BJ193" s="22"/>
      <c r="BL193" s="9">
        <f t="shared" si="40"/>
        <v>53464.32</v>
      </c>
      <c r="BN193" s="22"/>
      <c r="BP193" s="6">
        <f>IF(+R193-BL193+BN193&gt;0,R193-BL193+BN193,0)</f>
        <v>0</v>
      </c>
      <c r="BR193" s="9">
        <f t="shared" si="41"/>
        <v>53464.32</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 r="A194" s="21" t="s">
        <v>198</v>
      </c>
      <c r="C194"/>
      <c r="D194"/>
      <c r="E194"/>
      <c r="F194"/>
      <c r="G194"/>
      <c r="H194"/>
      <c r="I194"/>
      <c r="J194" s="49"/>
      <c r="K194"/>
      <c r="L194" s="134" t="s">
        <v>203</v>
      </c>
      <c r="M194" s="6"/>
      <c r="N194" s="6">
        <v>0</v>
      </c>
      <c r="O194" s="6"/>
      <c r="P194" s="6">
        <v>20000</v>
      </c>
      <c r="Q194" s="6"/>
      <c r="R194" s="9"/>
      <c r="S194" s="6"/>
      <c r="T194" s="22">
        <v>87500</v>
      </c>
      <c r="U194" s="6"/>
      <c r="V194" s="22"/>
      <c r="X194" s="22"/>
      <c r="Z194" s="22"/>
      <c r="AB194" s="22"/>
      <c r="AD194" s="22"/>
      <c r="AF194" s="22"/>
      <c r="AH194" s="22"/>
      <c r="AI194"/>
      <c r="AJ194" s="22"/>
      <c r="AL194" s="22"/>
      <c r="AN194" s="22"/>
      <c r="AP194" s="22"/>
      <c r="AR194" s="22"/>
      <c r="AT194" s="22"/>
      <c r="AU194" s="22"/>
      <c r="AV194" s="22"/>
      <c r="AW194" s="22"/>
      <c r="AX194" s="22">
        <v>15000</v>
      </c>
      <c r="AY194" s="22"/>
      <c r="AZ194" s="22"/>
      <c r="BA194" s="22"/>
      <c r="BB194" s="22"/>
      <c r="BC194" s="22"/>
      <c r="BD194" s="22"/>
      <c r="BF194" s="22"/>
      <c r="BH194" s="22"/>
      <c r="BJ194" s="22"/>
      <c r="BL194" s="9">
        <f t="shared" si="40"/>
        <v>102500</v>
      </c>
      <c r="BN194" s="22"/>
      <c r="BP194" s="6">
        <f>IF(+R194-BL194+BN194&gt;0,R194-BL194+BN194,0)</f>
        <v>0</v>
      </c>
      <c r="BR194" s="9">
        <f t="shared" si="41"/>
        <v>102500</v>
      </c>
      <c r="BT194" s="9">
        <v>0</v>
      </c>
      <c r="BU194" s="6"/>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customFormat="1">
      <c r="BP195" s="6">
        <f>IF(+R195-BL195+BN195&gt;0,R195-BL195+BN195,0)</f>
        <v>0</v>
      </c>
    </row>
    <row r="196" spans="1:122" s="105" customFormat="1" ht="13.5" thickBot="1">
      <c r="A196" s="128" t="s">
        <v>197</v>
      </c>
      <c r="B196" s="54"/>
      <c r="J196" s="158"/>
      <c r="L196" s="144"/>
      <c r="M196" s="13"/>
      <c r="N196" s="121">
        <f>SUM(N191:N195)</f>
        <v>0</v>
      </c>
      <c r="O196" s="13"/>
      <c r="P196" s="121">
        <f>SUM(P191:P195)</f>
        <v>305000</v>
      </c>
      <c r="Q196" s="13"/>
      <c r="R196" s="121">
        <f>SUM(R191:R195)</f>
        <v>0</v>
      </c>
      <c r="S196" s="13"/>
      <c r="T196" s="121">
        <f>SUM(T191:T195)</f>
        <v>139633</v>
      </c>
      <c r="U196" s="120"/>
      <c r="V196" s="121">
        <f>SUM(V191:V195)</f>
        <v>1342.96</v>
      </c>
      <c r="W196" s="120"/>
      <c r="X196" s="121">
        <f>SUM(X191:X195)</f>
        <v>48644.880000000005</v>
      </c>
      <c r="Y196" s="120"/>
      <c r="Z196" s="121">
        <f>SUM(Z191:Z195)</f>
        <v>19328.23</v>
      </c>
      <c r="AA196" s="121">
        <f>SUM(AA191:AA195)</f>
        <v>0</v>
      </c>
      <c r="AB196" s="121">
        <f>SUM(AB191:AB195)</f>
        <v>1898.9499999999998</v>
      </c>
      <c r="AC196" s="121">
        <f>SUM(AC191:AC195)</f>
        <v>0</v>
      </c>
      <c r="AD196" s="121">
        <f>SUM(AD191:AD195)</f>
        <v>81117.05</v>
      </c>
      <c r="AE196" s="121"/>
      <c r="AF196" s="121">
        <f t="shared" ref="AF196:BJ196" si="42">SUM(AF191:AF195)</f>
        <v>0</v>
      </c>
      <c r="AG196" s="121"/>
      <c r="AH196" s="121">
        <f t="shared" si="42"/>
        <v>5725.4500000000007</v>
      </c>
      <c r="AI196" s="121"/>
      <c r="AJ196" s="121">
        <f t="shared" si="42"/>
        <v>0</v>
      </c>
      <c r="AK196"/>
      <c r="AL196" s="121">
        <f t="shared" si="42"/>
        <v>591.45000000000005</v>
      </c>
      <c r="AM196"/>
      <c r="AN196" s="121">
        <f t="shared" si="42"/>
        <v>0</v>
      </c>
      <c r="AO196" s="121">
        <f t="shared" si="42"/>
        <v>0</v>
      </c>
      <c r="AP196" s="121">
        <f t="shared" si="42"/>
        <v>0</v>
      </c>
      <c r="AQ196" s="121">
        <f t="shared" si="42"/>
        <v>0</v>
      </c>
      <c r="AR196" s="121">
        <f t="shared" si="42"/>
        <v>1242.3</v>
      </c>
      <c r="AS196" s="121">
        <f t="shared" si="42"/>
        <v>0</v>
      </c>
      <c r="AT196" s="121">
        <f t="shared" si="42"/>
        <v>0</v>
      </c>
      <c r="AU196" s="121">
        <f t="shared" si="42"/>
        <v>0</v>
      </c>
      <c r="AV196" s="121">
        <f t="shared" si="42"/>
        <v>0</v>
      </c>
      <c r="AW196" s="121">
        <f t="shared" si="42"/>
        <v>0</v>
      </c>
      <c r="AX196" s="121">
        <f t="shared" si="42"/>
        <v>15000</v>
      </c>
      <c r="AY196" s="121">
        <f t="shared" si="42"/>
        <v>0</v>
      </c>
      <c r="AZ196" s="121">
        <f t="shared" si="42"/>
        <v>0</v>
      </c>
      <c r="BA196" s="121">
        <f t="shared" si="42"/>
        <v>0</v>
      </c>
      <c r="BB196" s="121">
        <f t="shared" si="42"/>
        <v>0</v>
      </c>
      <c r="BC196" s="121"/>
      <c r="BD196" s="121">
        <f t="shared" si="42"/>
        <v>0</v>
      </c>
      <c r="BE196"/>
      <c r="BF196" s="121">
        <f t="shared" si="42"/>
        <v>0</v>
      </c>
      <c r="BG196"/>
      <c r="BH196" s="121">
        <f t="shared" si="42"/>
        <v>0</v>
      </c>
      <c r="BI196"/>
      <c r="BJ196" s="121">
        <f t="shared" si="42"/>
        <v>0</v>
      </c>
      <c r="BK196"/>
      <c r="BL196" s="121">
        <f t="shared" si="40"/>
        <v>314524.27</v>
      </c>
      <c r="BM196"/>
      <c r="BN196" s="121"/>
      <c r="BO196"/>
      <c r="BP196" s="121">
        <f>SUM(BP190:BP195)</f>
        <v>0</v>
      </c>
      <c r="BQ196" s="13"/>
      <c r="BR196" s="121">
        <f t="shared" si="41"/>
        <v>314524.27</v>
      </c>
      <c r="BS196" s="13"/>
      <c r="BT196" s="121">
        <v>0</v>
      </c>
      <c r="BU196" s="120"/>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ht="13.5" thickTop="1">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F197" s="22"/>
      <c r="BH197" s="22"/>
      <c r="BJ197" s="22"/>
      <c r="BL197" s="22"/>
      <c r="BN197" s="22"/>
      <c r="BR197" s="58"/>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F198" s="22"/>
      <c r="BH198" s="22"/>
      <c r="BJ198" s="22"/>
      <c r="BL198" s="22"/>
      <c r="BN198" s="22"/>
      <c r="BR198" s="9"/>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F199" s="22"/>
      <c r="BH199" s="22"/>
      <c r="BJ199" s="22"/>
      <c r="BL199" s="22"/>
      <c r="BN199" s="22"/>
      <c r="BR199" s="22"/>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c r="C200"/>
      <c r="D200"/>
      <c r="E200"/>
      <c r="F200"/>
      <c r="G200"/>
      <c r="H200"/>
      <c r="I200"/>
      <c r="J200" s="49"/>
      <c r="K200"/>
      <c r="L200" s="134"/>
      <c r="M200" s="6"/>
      <c r="O200" s="6"/>
      <c r="Q200" s="6"/>
      <c r="S200" s="6"/>
      <c r="T200" s="22"/>
      <c r="U200" s="6"/>
      <c r="V200" s="22"/>
      <c r="X200" s="22"/>
      <c r="Z200" s="22"/>
      <c r="AB200" s="22"/>
      <c r="AD200" s="22"/>
      <c r="AF200" s="22"/>
      <c r="AH200" s="22"/>
      <c r="AJ200" s="22"/>
      <c r="AL200" s="22"/>
      <c r="AN200" s="22"/>
      <c r="AP200" s="22"/>
      <c r="AR200" s="22"/>
      <c r="AT200" s="22"/>
      <c r="AU200" s="22"/>
      <c r="AV200" s="22"/>
      <c r="AW200" s="22"/>
      <c r="AX200" s="22"/>
      <c r="AY200" s="22"/>
      <c r="AZ200" s="22"/>
      <c r="BA200" s="22"/>
      <c r="BB200" s="22"/>
      <c r="BC200" s="22"/>
      <c r="BD200" s="22"/>
      <c r="BF200" s="22"/>
      <c r="BH200" s="22"/>
      <c r="BJ200" s="22"/>
      <c r="BL200" s="22"/>
      <c r="BN200" s="22"/>
      <c r="BU200" s="6"/>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s="132" customFormat="1" ht="16.5" thickBot="1">
      <c r="A201" s="131" t="s">
        <v>533</v>
      </c>
      <c r="C201" s="119"/>
      <c r="D201" s="119"/>
      <c r="E201" s="119"/>
      <c r="F201" s="119"/>
      <c r="G201" s="119"/>
      <c r="H201" s="119"/>
      <c r="I201" s="119"/>
      <c r="J201" s="161"/>
      <c r="K201" s="119"/>
      <c r="L201" s="148"/>
      <c r="M201" s="133"/>
      <c r="N201" s="121" t="e">
        <f>#REF!+N198</f>
        <v>#REF!</v>
      </c>
      <c r="O201" s="121"/>
      <c r="P201" s="121" t="e">
        <f>#REF!+P198</f>
        <v>#REF!</v>
      </c>
      <c r="Q201" s="121"/>
      <c r="R201" s="121">
        <f>R187+R196</f>
        <v>239612890.75</v>
      </c>
      <c r="S201" s="121">
        <f t="shared" ref="S201:BT201" si="43">S187+S196</f>
        <v>0</v>
      </c>
      <c r="T201" s="121">
        <f t="shared" si="43"/>
        <v>7279633</v>
      </c>
      <c r="U201" s="121">
        <f t="shared" si="43"/>
        <v>0</v>
      </c>
      <c r="V201" s="121">
        <f t="shared" si="43"/>
        <v>1298988.96</v>
      </c>
      <c r="W201" s="121">
        <f t="shared" si="43"/>
        <v>0</v>
      </c>
      <c r="X201" s="121">
        <f t="shared" si="43"/>
        <v>33151937.879999999</v>
      </c>
      <c r="Y201" s="121">
        <f t="shared" si="43"/>
        <v>0</v>
      </c>
      <c r="Z201" s="121">
        <f t="shared" si="43"/>
        <v>280030.83</v>
      </c>
      <c r="AA201" s="121">
        <f t="shared" si="43"/>
        <v>0</v>
      </c>
      <c r="AB201" s="121">
        <f t="shared" si="43"/>
        <v>1733894.8599999999</v>
      </c>
      <c r="AC201" s="121">
        <f t="shared" si="43"/>
        <v>0</v>
      </c>
      <c r="AD201" s="121">
        <f t="shared" si="43"/>
        <v>18881456.879999999</v>
      </c>
      <c r="AE201" s="121"/>
      <c r="AF201" s="121">
        <f t="shared" si="43"/>
        <v>8167701.1408541668</v>
      </c>
      <c r="AG201" s="121"/>
      <c r="AH201" s="121">
        <f t="shared" si="43"/>
        <v>8854945.3874601815</v>
      </c>
      <c r="AI201" s="121"/>
      <c r="AJ201" s="121">
        <f t="shared" si="43"/>
        <v>6988530.1253887061</v>
      </c>
      <c r="AK201"/>
      <c r="AL201" s="121">
        <f t="shared" si="43"/>
        <v>7789829.6057027699</v>
      </c>
      <c r="AM201"/>
      <c r="AN201" s="121">
        <f t="shared" si="43"/>
        <v>11652992.180000002</v>
      </c>
      <c r="AO201" s="121">
        <f t="shared" si="43"/>
        <v>0</v>
      </c>
      <c r="AP201" s="121">
        <f t="shared" si="43"/>
        <v>17627423.913877048</v>
      </c>
      <c r="AQ201" s="121">
        <f t="shared" si="43"/>
        <v>0</v>
      </c>
      <c r="AR201" s="121">
        <f t="shared" si="43"/>
        <v>39305575.995295264</v>
      </c>
      <c r="AS201" s="121">
        <f t="shared" si="43"/>
        <v>0</v>
      </c>
      <c r="AT201" s="121">
        <f t="shared" si="43"/>
        <v>2943898.2559045074</v>
      </c>
      <c r="AU201" s="121">
        <f t="shared" si="43"/>
        <v>0</v>
      </c>
      <c r="AV201" s="121">
        <f t="shared" si="43"/>
        <v>29327061.258771211</v>
      </c>
      <c r="AW201" s="121">
        <f t="shared" si="43"/>
        <v>0</v>
      </c>
      <c r="AX201" s="121">
        <f t="shared" si="43"/>
        <v>23481763.284490943</v>
      </c>
      <c r="AY201" s="121">
        <f t="shared" si="43"/>
        <v>0</v>
      </c>
      <c r="AZ201" s="121">
        <f t="shared" si="43"/>
        <v>22126233.530000001</v>
      </c>
      <c r="BA201" s="121">
        <f t="shared" si="43"/>
        <v>0</v>
      </c>
      <c r="BB201" s="121">
        <f t="shared" si="43"/>
        <v>8493040.5109472163</v>
      </c>
      <c r="BC201" s="121"/>
      <c r="BD201" s="121">
        <f t="shared" si="43"/>
        <v>11789115.699999999</v>
      </c>
      <c r="BE201"/>
      <c r="BF201" s="121">
        <f t="shared" si="43"/>
        <v>1350600.65</v>
      </c>
      <c r="BG201"/>
      <c r="BH201" s="121">
        <f t="shared" si="43"/>
        <v>0</v>
      </c>
      <c r="BI201"/>
      <c r="BJ201" s="121">
        <f t="shared" si="43"/>
        <v>0</v>
      </c>
      <c r="BK201"/>
      <c r="BL201" s="121">
        <f t="shared" si="43"/>
        <v>262524653.94869202</v>
      </c>
      <c r="BM201"/>
      <c r="BN201" s="121">
        <f t="shared" si="43"/>
        <v>31616382.490000002</v>
      </c>
      <c r="BO201"/>
      <c r="BP201" s="121">
        <f t="shared" si="43"/>
        <v>9768827.7061786521</v>
      </c>
      <c r="BQ201" s="121">
        <f t="shared" si="43"/>
        <v>2030320</v>
      </c>
      <c r="BR201" s="121">
        <f t="shared" si="43"/>
        <v>272471755.65487063</v>
      </c>
      <c r="BS201" s="121">
        <f t="shared" si="43"/>
        <v>2030320</v>
      </c>
      <c r="BT201" s="121">
        <f t="shared" si="43"/>
        <v>-32556293.124870673</v>
      </c>
      <c r="BU201" s="133"/>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row>
    <row r="202" spans="1:122" customFormat="1" ht="13.5" thickTop="1"/>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F203" s="22"/>
      <c r="BH203" s="22"/>
      <c r="BJ203" s="22"/>
      <c r="BL203" s="22"/>
      <c r="BN203" s="22"/>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C204"/>
      <c r="D204"/>
      <c r="E204"/>
      <c r="F204"/>
      <c r="G204"/>
      <c r="H204"/>
      <c r="I204"/>
      <c r="J204" s="49"/>
      <c r="K204"/>
      <c r="L204" s="134"/>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F204" s="22"/>
      <c r="BH204" s="22"/>
      <c r="BJ204" s="22"/>
      <c r="BL204" s="22"/>
      <c r="BN204" s="22"/>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F205" s="22"/>
      <c r="BH205" s="22"/>
      <c r="BJ205" s="22"/>
      <c r="BL205" s="22"/>
      <c r="BN205" s="22"/>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F206" s="22"/>
      <c r="BH206" s="22"/>
      <c r="BJ206" s="22"/>
      <c r="BL206" s="22"/>
      <c r="BN206" s="22"/>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F207" s="22"/>
      <c r="BH207" s="22"/>
      <c r="BJ207" s="22"/>
      <c r="BL207" s="22"/>
      <c r="BN207" s="22"/>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F208" s="22"/>
      <c r="BH208" s="22"/>
      <c r="BJ208" s="22"/>
      <c r="BL208" s="22"/>
      <c r="BN208" s="22"/>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F209" s="22"/>
      <c r="BH209" s="22"/>
      <c r="BJ209" s="22"/>
      <c r="BL209" s="22"/>
      <c r="BM209" s="33"/>
      <c r="BN209" s="22"/>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566</v>
      </c>
      <c r="BF210" s="22"/>
      <c r="BH210" s="22"/>
      <c r="BJ210" s="22"/>
      <c r="BL210" s="22">
        <v>166466044</v>
      </c>
      <c r="BM210" s="33"/>
      <c r="BN210" s="22"/>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567</v>
      </c>
      <c r="BF211" s="22"/>
      <c r="BH211" s="22"/>
      <c r="BJ211" s="22"/>
      <c r="BL211" s="22">
        <f>93413104.03</f>
        <v>93413104.030000001</v>
      </c>
      <c r="BM211" s="33"/>
      <c r="BN211" s="22"/>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t="s">
        <v>568</v>
      </c>
      <c r="BF212" s="22"/>
      <c r="BH212" s="22"/>
      <c r="BJ212" s="22"/>
      <c r="BL212" s="22">
        <v>755906.13</v>
      </c>
      <c r="BM212" s="33"/>
      <c r="BN212" s="22"/>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t="s">
        <v>586</v>
      </c>
      <c r="BF213" s="22"/>
      <c r="BH213" s="22"/>
      <c r="BJ213" s="22"/>
      <c r="BL213" s="22">
        <v>-6077</v>
      </c>
      <c r="BM213" s="33"/>
      <c r="BN213" s="22"/>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t="s">
        <v>570</v>
      </c>
      <c r="BF214" s="22"/>
      <c r="BH214" s="22"/>
      <c r="BJ214" s="22"/>
      <c r="BL214" s="22">
        <v>80000</v>
      </c>
      <c r="BM214" s="33"/>
      <c r="BN214" s="22"/>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t="s">
        <v>571</v>
      </c>
      <c r="BF215" s="22"/>
      <c r="BH215" s="22"/>
      <c r="BJ215" s="22"/>
      <c r="BL215" s="22">
        <v>100</v>
      </c>
      <c r="BM215" s="33"/>
      <c r="BN215" s="22"/>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t="s">
        <v>572</v>
      </c>
      <c r="BF216" s="22"/>
      <c r="BH216" s="22"/>
      <c r="BJ216" s="22"/>
      <c r="BL216" s="22">
        <v>278090.26</v>
      </c>
      <c r="BN216" s="22"/>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AF217" s="22"/>
      <c r="AH217" s="22"/>
      <c r="AJ217" s="22"/>
      <c r="AL217" s="22"/>
      <c r="AN217" s="22"/>
      <c r="AP217" s="22"/>
      <c r="AR217" s="22"/>
      <c r="AT217" s="22"/>
      <c r="AU217" s="22"/>
      <c r="AV217" s="22"/>
      <c r="AW217" s="22"/>
      <c r="AX217" s="22"/>
      <c r="AY217" s="22"/>
      <c r="AZ217" s="22"/>
      <c r="BA217" s="22"/>
      <c r="BB217" s="22"/>
      <c r="BC217" s="22"/>
      <c r="BD217" s="22" t="s">
        <v>589</v>
      </c>
      <c r="BF217" s="22"/>
      <c r="BH217" s="22"/>
      <c r="BJ217" s="22"/>
      <c r="BL217" s="22">
        <f>BD147</f>
        <v>-127637.5</v>
      </c>
      <c r="BN217" s="22"/>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M218" s="6"/>
      <c r="O218" s="6"/>
      <c r="Q218" s="6"/>
      <c r="S218" s="6"/>
      <c r="T218" s="22"/>
      <c r="U218" s="6"/>
      <c r="V218" s="22"/>
      <c r="X218" s="22"/>
      <c r="Z218" s="22"/>
      <c r="AB218" s="22"/>
      <c r="AD218" s="22"/>
      <c r="BD218" s="22"/>
      <c r="BJ218" s="22"/>
      <c r="BL218" s="22">
        <f>SUM(BL210:BL217)</f>
        <v>260859529.91999999</v>
      </c>
      <c r="BN218" s="22"/>
      <c r="BU218" s="6"/>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row>
    <row r="219" spans="11:122" hidden="1">
      <c r="K219" s="5"/>
      <c r="L219" s="149"/>
      <c r="BL219" s="22"/>
    </row>
    <row r="220" spans="11:122" hidden="1">
      <c r="K220" s="5"/>
      <c r="L220" s="149"/>
      <c r="BD220" s="6" t="s">
        <v>574</v>
      </c>
      <c r="BL220" s="22">
        <f>BL187-BL218</f>
        <v>1350599.7586920261</v>
      </c>
    </row>
    <row r="221" spans="11:122" hidden="1">
      <c r="K221" s="5"/>
      <c r="L221" s="149"/>
      <c r="BL221" s="22"/>
    </row>
    <row r="222" spans="11:122">
      <c r="K222" s="5"/>
      <c r="L222" s="149"/>
      <c r="BL222" s="22"/>
    </row>
    <row r="223" spans="11:122">
      <c r="K223" s="5"/>
      <c r="L223" s="149"/>
      <c r="BL223" s="22"/>
    </row>
    <row r="224" spans="11:122">
      <c r="K224" s="5"/>
      <c r="L224" s="149"/>
      <c r="BL224" s="22"/>
    </row>
    <row r="225" spans="11:64">
      <c r="K225" s="5"/>
      <c r="L225" s="149"/>
      <c r="BL225" s="22"/>
    </row>
    <row r="226" spans="11:64">
      <c r="K226" s="5"/>
      <c r="L226" s="149"/>
      <c r="BL226" s="22"/>
    </row>
    <row r="227" spans="11:64">
      <c r="L227" s="134"/>
      <c r="BL227" s="22"/>
    </row>
    <row r="228" spans="11:64">
      <c r="BL228" s="22"/>
    </row>
    <row r="229" spans="11:64">
      <c r="BL229" s="22"/>
    </row>
    <row r="230" spans="11:64">
      <c r="BL230" s="22"/>
    </row>
    <row r="231" spans="11:64">
      <c r="BL231" s="22"/>
    </row>
    <row r="232" spans="11:64">
      <c r="BL232" s="22"/>
    </row>
    <row r="233" spans="11:64">
      <c r="BL233" s="22"/>
    </row>
    <row r="234" spans="11:64">
      <c r="BL234" s="22"/>
    </row>
    <row r="235" spans="11:64">
      <c r="BL235" s="22"/>
    </row>
    <row r="236" spans="11:64">
      <c r="BL236" s="22"/>
    </row>
    <row r="237" spans="11:64">
      <c r="BL237" s="22"/>
    </row>
    <row r="238" spans="11:64">
      <c r="BL238" s="22"/>
    </row>
    <row r="239" spans="11:64">
      <c r="BL239" s="22"/>
    </row>
    <row r="240" spans="11: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row r="256" spans="64:64">
      <c r="BL256"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147" activePane="bottomRight" state="frozen"/>
      <selection activeCell="K13" sqref="K13:K16"/>
      <selection pane="topRight" activeCell="K13" sqref="K13:K16"/>
      <selection pane="bottomLeft" activeCell="K13" sqref="K13:K16"/>
      <selection pane="bottomRight" activeCell="K13" sqref="K13:K16"/>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- 0731xls.xls]Wheatland</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36740.346731712962</v>
      </c>
      <c r="BT3" s="23"/>
      <c r="BV3" s="78" t="str">
        <f>Summary!A5</f>
        <v>Revision # 59</v>
      </c>
    </row>
    <row r="4" spans="1:76" s="18" customFormat="1" ht="15.75">
      <c r="A4" s="94"/>
      <c r="B4" s="19">
        <f>Summary!C13</f>
        <v>509</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69"/>
      <c r="AV7" s="82" t="str">
        <f>+Summary!$O$4</f>
        <v xml:space="preserve"> As of 07/31/00</v>
      </c>
      <c r="AW7" s="82"/>
      <c r="AX7" s="82" t="str">
        <f>+Summary!$O$4</f>
        <v xml:space="preserve"> As of 07/31/00</v>
      </c>
      <c r="AY7" s="82"/>
      <c r="AZ7" s="82" t="str">
        <f>+Summary!$O$4</f>
        <v xml:space="preserve"> As of 07/31/00</v>
      </c>
      <c r="BA7" s="82"/>
      <c r="BB7" s="82" t="str">
        <f>+Summary!$O$4</f>
        <v xml:space="preserve"> As of 07/31/00</v>
      </c>
      <c r="BC7" s="82"/>
      <c r="BD7" s="82" t="str">
        <f>+Summary!$O$4</f>
        <v xml:space="preserve"> As of 07/31/00</v>
      </c>
      <c r="BE7" s="82"/>
      <c r="BF7" s="82" t="str">
        <f>+Summary!$O$4</f>
        <v xml:space="preserve"> As of 07/31/00</v>
      </c>
      <c r="BG7" s="82"/>
      <c r="BH7" s="82" t="str">
        <f>+Summary!$O$4</f>
        <v xml:space="preserve"> As of 07/31/00</v>
      </c>
      <c r="BI7" s="82"/>
      <c r="BJ7" s="82" t="str">
        <f>+Summary!$O$4</f>
        <v xml:space="preserve"> As of 07/31/00</v>
      </c>
      <c r="BK7" s="82"/>
      <c r="BL7" s="82" t="str">
        <f>+Summary!$O$4</f>
        <v xml:space="preserve"> As of 07/31/00</v>
      </c>
      <c r="BN7" s="71" t="str">
        <f>+Summary!$O$4</f>
        <v xml:space="preserve"> As of 07/31/00</v>
      </c>
      <c r="BP7" s="64" t="str">
        <f>+Summary!$O$4</f>
        <v xml:space="preserve"> As of 07/31/00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6000</v>
      </c>
      <c r="AT149" s="6">
        <v>0</v>
      </c>
      <c r="AV149" s="6">
        <v>0</v>
      </c>
      <c r="AX149" s="6">
        <v>0</v>
      </c>
      <c r="AZ149" s="6">
        <v>0</v>
      </c>
      <c r="BB149" s="6">
        <v>0</v>
      </c>
      <c r="BD149" s="6">
        <v>6000</v>
      </c>
      <c r="BF149" s="6">
        <v>0</v>
      </c>
      <c r="BH149" s="6">
        <v>0</v>
      </c>
      <c r="BJ149" s="6">
        <v>0</v>
      </c>
      <c r="BL149" s="6">
        <v>0</v>
      </c>
      <c r="BM149" s="6"/>
      <c r="BN149" s="6">
        <f>SUM(T149:BM149)</f>
        <v>18000</v>
      </c>
      <c r="BO149" s="6"/>
      <c r="BP149" s="6">
        <v>0</v>
      </c>
      <c r="BQ149" s="6"/>
      <c r="BR149" s="6">
        <f>IF(+R149-BN149+BP149&gt;0,R149-BN149+BP149,0)</f>
        <v>0</v>
      </c>
      <c r="BT149" s="6">
        <f>+BN149+BR149</f>
        <v>18000</v>
      </c>
      <c r="BV149" s="6">
        <f>+R149-BT149</f>
        <v>-18000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592</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T151" s="6">
        <v>0</v>
      </c>
      <c r="AV151" s="6">
        <v>0</v>
      </c>
      <c r="AX151" s="6">
        <v>0</v>
      </c>
      <c r="AZ151" s="6">
        <v>0</v>
      </c>
      <c r="BB151" s="6">
        <v>0</v>
      </c>
      <c r="BD151" s="6">
        <v>0</v>
      </c>
      <c r="BF151" s="6">
        <v>0</v>
      </c>
      <c r="BH151" s="6">
        <v>0</v>
      </c>
      <c r="BJ151" s="6">
        <v>0</v>
      </c>
      <c r="BL151" s="6">
        <v>0</v>
      </c>
      <c r="BM151" s="6"/>
      <c r="BN151" s="6">
        <f>SUM(T151:BM151)</f>
        <v>294743.2</v>
      </c>
      <c r="BO151" s="6"/>
      <c r="BP151" s="6">
        <v>0</v>
      </c>
      <c r="BQ151" s="6"/>
      <c r="BR151" s="6">
        <f>IF(+R151-BN151+BP151&gt;0,R151-BN151+BP151,0)</f>
        <v>0</v>
      </c>
      <c r="BT151" s="6">
        <f>+BN151+BR151</f>
        <v>294743.2</v>
      </c>
      <c r="BV151" s="6">
        <f>+R151-BT151</f>
        <v>-294743.2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6000</v>
      </c>
      <c r="BE153" s="10"/>
      <c r="BF153" s="102">
        <f>SUM(BF149:BF152)</f>
        <v>0</v>
      </c>
      <c r="BG153" s="10"/>
      <c r="BH153" s="102">
        <f>SUM(BH149:BH152)</f>
        <v>0</v>
      </c>
      <c r="BI153" s="10"/>
      <c r="BJ153" s="102">
        <f>SUM(BJ149:BJ152)</f>
        <v>0</v>
      </c>
      <c r="BK153" s="10"/>
      <c r="BL153" s="102">
        <f>SUM(BL149:BL152)</f>
        <v>0</v>
      </c>
      <c r="BM153" s="9"/>
      <c r="BN153" s="102">
        <f>SUM(BN149:BN152)</f>
        <v>312743.2</v>
      </c>
      <c r="BO153" s="9"/>
      <c r="BP153" s="102">
        <f>SUM(BP149:BP152)</f>
        <v>0</v>
      </c>
      <c r="BQ153" s="9"/>
      <c r="BR153" s="102">
        <f>SUM(BR149:BR152)</f>
        <v>0</v>
      </c>
      <c r="BS153" s="9"/>
      <c r="BT153" s="102">
        <f>SUM(BT149:BT152)</f>
        <v>312743.2</v>
      </c>
      <c r="BU153" s="9"/>
      <c r="BV153" s="102">
        <f>SUM(BV149:BV152)</f>
        <v>-312743.2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'[1]Calvert City'!$I$38</f>
        <v>481371.22496666672</v>
      </c>
      <c r="AG198" s="10"/>
      <c r="AH198" s="10">
        <f>'[1]Calvert City'!$J$38</f>
        <v>488494.44316995825</v>
      </c>
      <c r="AI198" s="10"/>
      <c r="AJ198" s="10">
        <f>'[1]Calvert City'!$K$38</f>
        <v>500068.5242301845</v>
      </c>
      <c r="AK198" s="10"/>
      <c r="AL198" s="10">
        <f>-SUM(T198:AJ198)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SUM(T198:BM198)</f>
        <v>0</v>
      </c>
      <c r="BO198" s="10"/>
      <c r="BP198" s="10">
        <v>0</v>
      </c>
      <c r="BQ198" s="10"/>
      <c r="BR198" s="6">
        <f>IF(+R198-BN198+BP198&gt;0,R198-BN198+BP198,0)</f>
        <v>0</v>
      </c>
      <c r="BS198" s="10"/>
      <c r="BT198" s="9">
        <f>+BN198+BR198</f>
        <v>0</v>
      </c>
      <c r="BU198" s="10"/>
      <c r="BV198" s="9">
        <f>+R198-BT198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si="35"/>
        <v>666001.55496666674</v>
      </c>
      <c r="AG200" s="120"/>
      <c r="AH200" s="120">
        <f t="shared" si="35"/>
        <v>672045.7031699582</v>
      </c>
      <c r="AI200" s="120"/>
      <c r="AJ200" s="120">
        <f t="shared" si="35"/>
        <v>557205.69423018454</v>
      </c>
      <c r="AK200" s="120"/>
      <c r="AL200" s="120">
        <f t="shared"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6000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si="35"/>
        <v>1149584.83</v>
      </c>
      <c r="BO200" s="120">
        <f t="shared" si="35"/>
        <v>0</v>
      </c>
      <c r="BP200" s="120">
        <f t="shared" si="35"/>
        <v>0</v>
      </c>
      <c r="BQ200" s="120">
        <f t="shared" si="35"/>
        <v>0</v>
      </c>
      <c r="BR200" s="120">
        <f t="shared" si="35"/>
        <v>0.22999999999592546</v>
      </c>
      <c r="BS200" s="120">
        <f t="shared" si="35"/>
        <v>0</v>
      </c>
      <c r="BT200" s="120">
        <f>BT198+BT190+BT182+BT180+BT178+BT172+BT163+BT153+BT146+BT144+BT142+BT140+BT138+BT196</f>
        <v>1149585.06</v>
      </c>
      <c r="BU200" s="120">
        <f>BU198+BU190+BU182+BU180+BU178+BU172+BU163+BU153+BU146+BU144+BU142+BU140+BU138+BU196</f>
        <v>0</v>
      </c>
      <c r="BV200" s="120">
        <f>BV198+BV190+BV182+BV180+BV178+BV172+BV163+BV153+BV146+BV144+BV142+BV140+BV138+BV196</f>
        <v>-1149585.06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si="36"/>
        <v>666001.55496666674</v>
      </c>
      <c r="AG205" s="168"/>
      <c r="AH205" s="168">
        <f t="shared" si="36"/>
        <v>1386914.0565032915</v>
      </c>
      <c r="AI205" s="168"/>
      <c r="AJ205" s="168">
        <f t="shared" si="36"/>
        <v>2148326.5742301848</v>
      </c>
      <c r="AK205" s="168"/>
      <c r="AL205" s="168">
        <f t="shared"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6000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si="36"/>
        <v>1407085.4433333327</v>
      </c>
      <c r="BO205" s="168">
        <f t="shared" si="36"/>
        <v>2030320</v>
      </c>
      <c r="BP205" s="168">
        <f t="shared" si="36"/>
        <v>0</v>
      </c>
      <c r="BQ205" s="168">
        <f t="shared" si="36"/>
        <v>2030320</v>
      </c>
      <c r="BR205" s="168">
        <f t="shared" si="36"/>
        <v>0.62000000059197191</v>
      </c>
      <c r="BS205" s="168">
        <f t="shared" si="36"/>
        <v>2030320</v>
      </c>
      <c r="BT205" s="168">
        <f t="shared" si="36"/>
        <v>1407086.0633333332</v>
      </c>
      <c r="BU205" s="168">
        <f t="shared" si="36"/>
        <v>2030320</v>
      </c>
      <c r="BV205" s="168">
        <f t="shared" si="36"/>
        <v>-1407086.0633333332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BT205-'[1]Calvert City'!$X$64</f>
        <v>596051.19333333324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v>100</v>
      </c>
      <c r="BE212" s="10"/>
      <c r="BF212" s="10"/>
      <c r="BG212" s="10"/>
      <c r="BH212" s="10"/>
      <c r="BI212" s="10"/>
      <c r="BJ212" s="10"/>
      <c r="BK212" s="10"/>
      <c r="BL212" s="10"/>
      <c r="BM212" s="9"/>
      <c r="BN212" s="10">
        <f>SUM(T212:BM212)</f>
        <v>200</v>
      </c>
      <c r="BO212" s="9"/>
      <c r="BP212" s="10"/>
      <c r="BQ212" s="9"/>
      <c r="BR212" s="10"/>
      <c r="BS212" s="9"/>
      <c r="BT212" s="9">
        <f>+BN212+BR212</f>
        <v>200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si="38">AF205+AF208+AF210+AF214+AF212</f>
        <v>633142.55496666674</v>
      </c>
      <c r="AG216" s="121"/>
      <c r="AH216" s="121">
        <f t="shared" si="38"/>
        <v>1364257.0565032915</v>
      </c>
      <c r="AI216" s="121"/>
      <c r="AJ216" s="121">
        <f t="shared" si="38"/>
        <v>2148326.5742301848</v>
      </c>
      <c r="AK216" s="121"/>
      <c r="AL216" s="121">
        <f t="shared"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6100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si="38"/>
        <v>918970.44333333266</v>
      </c>
      <c r="BO216" s="121">
        <f t="shared" ref="BO216:BW216" si="39">BO205+BO208+BO210+BO214</f>
        <v>2030320</v>
      </c>
      <c r="BP216" s="121">
        <f t="shared" si="39"/>
        <v>0</v>
      </c>
      <c r="BQ216" s="121">
        <f t="shared" si="39"/>
        <v>2030320</v>
      </c>
      <c r="BR216" s="121">
        <f t="shared" si="39"/>
        <v>0.62000000059197191</v>
      </c>
      <c r="BS216" s="121">
        <f t="shared" si="39"/>
        <v>2030320</v>
      </c>
      <c r="BT216" s="121">
        <f>BT205+BT208+BT210+BT214+BT212</f>
        <v>918971.06333333324</v>
      </c>
      <c r="BU216" s="121">
        <f t="shared" si="39"/>
        <v>2030320</v>
      </c>
      <c r="BV216" s="121">
        <f t="shared" si="39"/>
        <v>-918771.06333333324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T294"/>
  <sheetViews>
    <sheetView zoomScale="80" zoomScaleNormal="80" workbookViewId="0">
      <pane xSplit="12" ySplit="8" topLeftCell="R89" activePane="bottomRight" state="frozen"/>
      <selection activeCell="K13" sqref="K13:K16"/>
      <selection pane="topRight" activeCell="K13" sqref="K13:K16"/>
      <selection pane="bottomLeft" activeCell="K13" sqref="K13:K16"/>
      <selection pane="bottomRight" activeCell="R98" sqref="R98"/>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2.2851562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hidden="1" customWidth="1"/>
    <col min="56" max="56" width="17.85546875" style="6" hidden="1" customWidth="1"/>
    <col min="57" max="57" width="0.85546875"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28515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c r="BD1" s="68"/>
      <c r="BE1"/>
      <c r="BF1" s="68"/>
      <c r="BG1" s="68"/>
      <c r="BH1" s="68"/>
      <c r="BI1" s="68"/>
      <c r="BJ1" s="68"/>
      <c r="BK1" s="68"/>
      <c r="BL1" s="81"/>
      <c r="BN1" s="78"/>
      <c r="BP1" s="81"/>
      <c r="BR1" s="78"/>
      <c r="BS1" s="78"/>
      <c r="BT1" s="78"/>
      <c r="BU1" s="78"/>
      <c r="BV1" s="68"/>
    </row>
    <row r="2" spans="1:76"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c r="BD2" s="68"/>
      <c r="BE2"/>
      <c r="BF2" s="68"/>
      <c r="BG2" s="68"/>
      <c r="BH2" s="68"/>
      <c r="BI2" s="68"/>
      <c r="BJ2" s="68"/>
      <c r="BK2" s="68"/>
      <c r="BL2" s="81"/>
      <c r="BN2" s="68"/>
      <c r="BP2" s="81"/>
      <c r="BR2" s="68"/>
      <c r="BS2" s="68"/>
      <c r="BT2" s="68"/>
      <c r="BU2" s="68"/>
      <c r="BV2" s="106" t="str">
        <f ca="1">CELL("filename")</f>
        <v>O:\Fin_Ops\Engysvc\PowerPlants\2000 Plants\Weekly Report\[2000 Weekly Report - 0731xls.xls]Wheatland</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c r="BD3" s="68"/>
      <c r="BE3"/>
      <c r="BF3" s="68"/>
      <c r="BG3" s="68"/>
      <c r="BH3" s="68"/>
      <c r="BI3" s="68"/>
      <c r="BJ3" s="68"/>
      <c r="BK3" s="68"/>
      <c r="BL3" s="81"/>
      <c r="BN3" s="23"/>
      <c r="BP3" s="81"/>
      <c r="BR3" s="23">
        <f ca="1">NOW()</f>
        <v>36740.346731712962</v>
      </c>
      <c r="BT3" s="23"/>
      <c r="BV3" s="78" t="str">
        <f>Summary!A5</f>
        <v>Revision # 59</v>
      </c>
    </row>
    <row r="4" spans="1:76" s="18" customFormat="1" ht="15.75">
      <c r="A4" s="94"/>
      <c r="B4" s="19">
        <f>Summary!C13</f>
        <v>509</v>
      </c>
      <c r="C4"/>
      <c r="G4" s="67"/>
      <c r="J4" s="67"/>
      <c r="L4" s="478" t="s">
        <v>47</v>
      </c>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c r="BD4" s="82" t="s">
        <v>122</v>
      </c>
      <c r="BE4"/>
      <c r="BF4" s="82" t="s">
        <v>122</v>
      </c>
      <c r="BG4" s="82"/>
      <c r="BH4" s="82" t="s">
        <v>122</v>
      </c>
      <c r="BI4" s="82"/>
      <c r="BJ4" s="82" t="s">
        <v>122</v>
      </c>
      <c r="BK4" s="82"/>
      <c r="BL4" s="82" t="s">
        <v>122</v>
      </c>
      <c r="BN4" s="71"/>
      <c r="BP4" s="70" t="s">
        <v>129</v>
      </c>
      <c r="BR4" s="71"/>
      <c r="BT4" s="71"/>
      <c r="BV4" s="71"/>
    </row>
    <row r="5" spans="1:76" s="18" customFormat="1" ht="15.75">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c r="BD5" s="82" t="s">
        <v>123</v>
      </c>
      <c r="BE5"/>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c r="BD6" s="83">
        <v>36677</v>
      </c>
      <c r="BE6"/>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69"/>
      <c r="AV7" s="82" t="str">
        <f>+Summary!$O$4</f>
        <v xml:space="preserve"> As of 07/31/00</v>
      </c>
      <c r="AW7" s="82"/>
      <c r="AX7" s="82" t="str">
        <f>+Summary!$O$4</f>
        <v xml:space="preserve"> As of 07/31/00</v>
      </c>
      <c r="AY7" s="82"/>
      <c r="AZ7" s="82" t="str">
        <f>+Summary!$O$4</f>
        <v xml:space="preserve"> As of 07/31/00</v>
      </c>
      <c r="BA7" s="82"/>
      <c r="BB7" s="82" t="str">
        <f>BP7</f>
        <v xml:space="preserve"> As of 07/31/00</v>
      </c>
      <c r="BC7"/>
      <c r="BD7" s="82" t="str">
        <f>+Summary!$O$4</f>
        <v xml:space="preserve"> As of 07/31/00</v>
      </c>
      <c r="BE7"/>
      <c r="BF7" s="82" t="str">
        <f>+Summary!$O$4</f>
        <v xml:space="preserve"> As of 07/31/00</v>
      </c>
      <c r="BG7" s="82"/>
      <c r="BH7" s="82" t="str">
        <f>+Summary!$O$4</f>
        <v xml:space="preserve"> As of 07/31/00</v>
      </c>
      <c r="BI7" s="82"/>
      <c r="BJ7" s="82" t="str">
        <f>+Summary!$O$4</f>
        <v xml:space="preserve"> As of 07/31/00</v>
      </c>
      <c r="BK7" s="82"/>
      <c r="BL7" s="82" t="str">
        <f>+Summary!$O$4</f>
        <v xml:space="preserve"> As of 07/31/00</v>
      </c>
      <c r="BN7" s="458" t="str">
        <f>+Summary!$O$4</f>
        <v xml:space="preserve"> As of 07/31/00</v>
      </c>
      <c r="BP7" s="64" t="str">
        <f>+Summary!$O$4</f>
        <v xml:space="preserve"> As of 07/31/00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D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1735000.05</v>
      </c>
      <c r="BF9" s="6">
        <f>1633000+1025570</f>
        <v>2658570</v>
      </c>
      <c r="BH9" s="6">
        <v>0</v>
      </c>
      <c r="BJ9" s="6">
        <v>0</v>
      </c>
      <c r="BL9" s="6">
        <v>0</v>
      </c>
      <c r="BM9" s="6"/>
      <c r="BN9" s="6">
        <f t="shared" ref="BN9:BN14" si="0">SUM(T9:BM9)</f>
        <v>63409990.049999997</v>
      </c>
      <c r="BO9" s="6"/>
      <c r="BP9" s="6">
        <f>62515521-R9</f>
        <v>370521</v>
      </c>
      <c r="BQ9" s="6"/>
      <c r="BR9" s="6">
        <f t="shared" ref="BR9:BR15" si="1">IF(+R9-BN9+BP9&gt;0,R9-BN9+BP9,0)</f>
        <v>0</v>
      </c>
      <c r="BT9" s="6">
        <f t="shared" ref="BT9:BT14" si="2">+BN9+BR9</f>
        <v>63409990.049999997</v>
      </c>
      <c r="BV9" s="6">
        <f t="shared" ref="BV9:BV15" si="3">+R9-BT9</f>
        <v>-1264990.049999997</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32649500-R10</f>
        <v>1464500</v>
      </c>
      <c r="BQ10" s="6"/>
      <c r="BR10" s="6">
        <f t="shared" si="1"/>
        <v>3023750</v>
      </c>
      <c r="BT10" s="6">
        <f t="shared" si="2"/>
        <v>32649500</v>
      </c>
      <c r="BV10" s="6">
        <f t="shared" si="3"/>
        <v>-1464500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f>323838+443389.2</f>
        <v>767227.2</v>
      </c>
      <c r="BH14" s="6">
        <v>0</v>
      </c>
      <c r="BJ14" s="6">
        <v>0</v>
      </c>
      <c r="BL14" s="6">
        <v>0</v>
      </c>
      <c r="BM14" s="6"/>
      <c r="BN14" s="6">
        <f t="shared" si="0"/>
        <v>874426.2</v>
      </c>
      <c r="BO14" s="6"/>
      <c r="BP14" s="6">
        <f>59734+767227+46974+39315-250000</f>
        <v>663250</v>
      </c>
      <c r="BQ14" s="6"/>
      <c r="BR14" s="6">
        <f t="shared" si="1"/>
        <v>38823.800000000047</v>
      </c>
      <c r="BT14" s="6">
        <f t="shared" si="2"/>
        <v>913250</v>
      </c>
      <c r="BV14" s="6">
        <f t="shared" si="3"/>
        <v>-663250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D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D16" s="101">
        <f>SUM(BD9:BD15)</f>
        <v>1735000.05</v>
      </c>
      <c r="BF16" s="101">
        <f>SUM(BF9:BF15)</f>
        <v>3425797.2</v>
      </c>
      <c r="BG16" s="12"/>
      <c r="BH16" s="101">
        <f>SUM(BH9:BH15)</f>
        <v>0</v>
      </c>
      <c r="BI16" s="12"/>
      <c r="BJ16" s="101">
        <f>SUM(BJ9:BJ15)</f>
        <v>0</v>
      </c>
      <c r="BK16" s="12"/>
      <c r="BL16" s="101">
        <f>SUM(BL9:BL15)</f>
        <v>0</v>
      </c>
      <c r="BM16" s="6"/>
      <c r="BN16" s="101">
        <f>SUM(BN9:BN15)</f>
        <v>93910166.25</v>
      </c>
      <c r="BO16" s="6"/>
      <c r="BP16" s="101">
        <f>SUM(BP9:BP15)</f>
        <v>2498271</v>
      </c>
      <c r="BQ16" s="6"/>
      <c r="BR16" s="101">
        <f>SUM(BR9:BR15)</f>
        <v>3062573.8</v>
      </c>
      <c r="BT16" s="101">
        <f>SUM(BT9:BT15)</f>
        <v>96972740.049999997</v>
      </c>
      <c r="BV16" s="101">
        <f>SUM(BV9:BV15)</f>
        <v>-3392740.049999997</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T19" s="6">
        <v>1765743.3</v>
      </c>
      <c r="AV19" s="6">
        <f>569673+1196070.3</f>
        <v>1765743.3</v>
      </c>
      <c r="AX19" s="6">
        <v>0</v>
      </c>
      <c r="AZ19" s="6">
        <f>2354324-1765743</f>
        <v>588581</v>
      </c>
      <c r="BB19" s="6">
        <v>382350</v>
      </c>
      <c r="BD19" s="6">
        <v>588581.1</v>
      </c>
      <c r="BF19" s="6">
        <v>0</v>
      </c>
      <c r="BH19" s="6">
        <v>0</v>
      </c>
      <c r="BJ19" s="6">
        <v>0</v>
      </c>
      <c r="BL19" s="6">
        <v>0</v>
      </c>
      <c r="BM19" s="6"/>
      <c r="BN19" s="6">
        <f>SUM(T19:BM19)</f>
        <v>6268160.6999999993</v>
      </c>
      <c r="BO19" s="6"/>
      <c r="BP19" s="6">
        <f>220650+161700</f>
        <v>382350</v>
      </c>
      <c r="BQ19" s="6"/>
      <c r="BR19" s="6">
        <f t="shared" ref="BR19:BR34" si="6">IF(+R19-BN19+BP19&gt;0,R19-BN19+BP19,0)</f>
        <v>0.30000000074505806</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AR20" s="6">
        <v>58500</v>
      </c>
      <c r="BL20" s="6"/>
      <c r="BM20" s="6"/>
      <c r="BN20" s="6">
        <f t="shared" ref="BN20:BN33" si="7">SUM(T20:BM20)</f>
        <v>58500</v>
      </c>
      <c r="BO20" s="6"/>
      <c r="BP20" s="6"/>
      <c r="BQ20" s="6"/>
      <c r="BR20" s="6">
        <f t="shared" si="6"/>
        <v>0</v>
      </c>
      <c r="BT20" s="6">
        <f t="shared" si="4"/>
        <v>58500</v>
      </c>
      <c r="BV20" s="6">
        <f t="shared" si="5"/>
        <v>-58500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c r="BD32" s="12">
        <v>0</v>
      </c>
      <c r="BE3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D33" s="12">
        <v>0</v>
      </c>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D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D35" s="101">
        <f>SUM(BD18:BD34)</f>
        <v>588581.1</v>
      </c>
      <c r="BF35" s="101">
        <f>SUM(BF18:BF34)</f>
        <v>0</v>
      </c>
      <c r="BG35" s="12"/>
      <c r="BH35" s="101">
        <f>SUM(BH18:BH34)</f>
        <v>0</v>
      </c>
      <c r="BI35" s="12"/>
      <c r="BJ35" s="101">
        <f>SUM(BJ18:BJ34)</f>
        <v>0</v>
      </c>
      <c r="BK35" s="12"/>
      <c r="BL35" s="101">
        <f>SUM(BL18:BL34)</f>
        <v>0</v>
      </c>
      <c r="BM35" s="6"/>
      <c r="BN35" s="101">
        <f>SUM(BN18:BN34)</f>
        <v>6465460.6999999993</v>
      </c>
      <c r="BO35" s="6"/>
      <c r="BP35" s="101">
        <f>SUM(BP18:BP34)</f>
        <v>382350</v>
      </c>
      <c r="BQ35" s="6"/>
      <c r="BR35" s="101">
        <f>SUM(BR18:BR34)</f>
        <v>0.30000000074505806</v>
      </c>
      <c r="BT35" s="101">
        <f>SUM(BT18:BT34)</f>
        <v>6465461</v>
      </c>
      <c r="BV35" s="101">
        <f>SUM(BV18:BV34)</f>
        <v>-579650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D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c r="BD37" s="115">
        <f>+BD35+BD16</f>
        <v>2323581.15</v>
      </c>
      <c r="BE37"/>
      <c r="BF37" s="115">
        <f>+BF35+BF16</f>
        <v>3425797.2</v>
      </c>
      <c r="BG37" s="115"/>
      <c r="BH37" s="115">
        <f>+BH35+BH16</f>
        <v>0</v>
      </c>
      <c r="BI37" s="115"/>
      <c r="BJ37" s="115">
        <f>+BJ35+BJ16</f>
        <v>0</v>
      </c>
      <c r="BK37" s="115"/>
      <c r="BL37" s="115">
        <f>+BL35+BL16</f>
        <v>0</v>
      </c>
      <c r="BM37" s="115"/>
      <c r="BN37" s="115">
        <f>+BN35+BN16</f>
        <v>100375626.95</v>
      </c>
      <c r="BO37" s="115"/>
      <c r="BP37" s="115">
        <f>+BP35+BP16</f>
        <v>2880621</v>
      </c>
      <c r="BQ37" s="115"/>
      <c r="BR37" s="115">
        <f>+BR35+BR16</f>
        <v>3062574.1000000006</v>
      </c>
      <c r="BS37" s="115"/>
      <c r="BT37" s="115">
        <f>+BT35+BT16</f>
        <v>103438201.05</v>
      </c>
      <c r="BU37" s="115"/>
      <c r="BV37" s="115">
        <f>+BV35+BV16</f>
        <v>-3972390.049999997</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H43" s="6">
        <f>1344184-490688</f>
        <v>853496</v>
      </c>
      <c r="BL43"/>
      <c r="BM43" s="6"/>
      <c r="BN43" s="6">
        <f t="shared" ref="BN43:BN53" si="9">SUM(T43:BM43)</f>
        <v>1344184</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H44" s="6">
        <f>1597694-454688</f>
        <v>1143006</v>
      </c>
      <c r="BL44"/>
      <c r="BM44" s="6"/>
      <c r="BN44" s="6">
        <f t="shared" si="9"/>
        <v>1597694</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H45" s="6">
        <f>3634383-2452211</f>
        <v>1182172</v>
      </c>
      <c r="BL45"/>
      <c r="BM45" s="6"/>
      <c r="BN45" s="6">
        <f t="shared" si="9"/>
        <v>3634383</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H46" s="6">
        <f>464879-272628</f>
        <v>192251</v>
      </c>
      <c r="BJ46" s="6">
        <v>0</v>
      </c>
      <c r="BL46"/>
      <c r="BM46" s="6"/>
      <c r="BN46" s="6">
        <f t="shared" si="9"/>
        <v>464879</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H47" s="6">
        <f>137472-57394</f>
        <v>80078</v>
      </c>
      <c r="BJ47" s="6">
        <v>0</v>
      </c>
      <c r="BL47"/>
      <c r="BM47" s="6"/>
      <c r="BN47" s="6">
        <f t="shared" si="9"/>
        <v>137472</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H50" s="6">
        <v>104120</v>
      </c>
      <c r="BL50" s="6"/>
      <c r="BM50" s="6"/>
      <c r="BN50" s="6">
        <f t="shared" si="9"/>
        <v>138394</v>
      </c>
      <c r="BO50" s="6"/>
      <c r="BP50" s="6">
        <v>0</v>
      </c>
      <c r="BQ50" s="6"/>
      <c r="BR50" s="6">
        <f>IF(+R50-BN50+BP50&gt;0,R50-BN50+BP50,0)</f>
        <v>0</v>
      </c>
      <c r="BT50" s="6">
        <f>+BN50+BR50</f>
        <v>138394</v>
      </c>
      <c r="BV50" s="6">
        <f t="shared" si="10"/>
        <v>-138394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H51" s="6">
        <f>32425+454136</f>
        <v>486561</v>
      </c>
      <c r="BL51" s="6"/>
      <c r="BM51" s="6"/>
      <c r="BN51" s="6">
        <f>SUM(T51:BM51)</f>
        <v>548026</v>
      </c>
      <c r="BO51" s="6"/>
      <c r="BP51" s="6">
        <v>0</v>
      </c>
      <c r="BQ51" s="6"/>
      <c r="BR51" s="6">
        <f t="shared" si="11"/>
        <v>0</v>
      </c>
      <c r="BT51" s="6">
        <f t="shared" si="12"/>
        <v>548026</v>
      </c>
      <c r="BV51" s="6">
        <f>+R51-BT51</f>
        <v>-548026</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c r="BD54" s="9">
        <f t="shared" si="14"/>
        <v>0</v>
      </c>
      <c r="BE54"/>
      <c r="BF54" s="9">
        <f t="shared" si="14"/>
        <v>0</v>
      </c>
      <c r="BG54" s="9">
        <f t="shared" si="14"/>
        <v>0</v>
      </c>
      <c r="BH54" s="9">
        <f t="shared" si="14"/>
        <v>4041684</v>
      </c>
      <c r="BI54" s="9">
        <f t="shared" si="14"/>
        <v>0</v>
      </c>
      <c r="BJ54" s="9">
        <f t="shared" si="14"/>
        <v>0</v>
      </c>
      <c r="BK54" s="9">
        <f t="shared" si="14"/>
        <v>0</v>
      </c>
      <c r="BL54" s="9">
        <f t="shared" si="14"/>
        <v>0</v>
      </c>
      <c r="BM54" s="9">
        <f t="shared" si="14"/>
        <v>0</v>
      </c>
      <c r="BN54" s="9">
        <f t="shared" si="14"/>
        <v>8146761</v>
      </c>
      <c r="BO54" s="9">
        <f t="shared" si="14"/>
        <v>0</v>
      </c>
      <c r="BP54" s="9">
        <f t="shared" si="14"/>
        <v>2058165</v>
      </c>
      <c r="BQ54" s="9">
        <f t="shared" si="14"/>
        <v>0</v>
      </c>
      <c r="BR54" s="9">
        <f t="shared" si="14"/>
        <v>16141324</v>
      </c>
      <c r="BS54" s="9">
        <f t="shared" si="14"/>
        <v>0</v>
      </c>
      <c r="BT54" s="9">
        <f t="shared" si="14"/>
        <v>17530291</v>
      </c>
      <c r="BU54" s="9"/>
      <c r="BV54" s="9">
        <f t="shared" si="10"/>
        <v>-2765403</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H57" s="6">
        <f>288544-117841</f>
        <v>170703</v>
      </c>
      <c r="BL57" s="6"/>
      <c r="BM57" s="6"/>
      <c r="BN57" s="6">
        <f>SUM(T57:BM57)</f>
        <v>288544</v>
      </c>
      <c r="BO57" s="6"/>
      <c r="BP57" s="6"/>
      <c r="BQ57" s="6"/>
      <c r="BR57" s="6">
        <f>IF(+R57-BN57+BP57&gt;0,R57-BN57+BP57,0)</f>
        <v>0</v>
      </c>
      <c r="BT57" s="6">
        <f>+BN57+BR57</f>
        <v>288544</v>
      </c>
      <c r="BV57" s="6">
        <f t="shared" ref="BV57:BV63" si="15">+R57-BT57</f>
        <v>-88059</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H58" s="6">
        <f>3204369-2894530</f>
        <v>309839</v>
      </c>
      <c r="BL58" s="6"/>
      <c r="BM58" s="6"/>
      <c r="BN58" s="6">
        <f>SUM(T58:BM58)</f>
        <v>3204369</v>
      </c>
      <c r="BO58" s="6"/>
      <c r="BP58" s="6">
        <f>3006669-3824394</f>
        <v>-817725</v>
      </c>
      <c r="BQ58" s="6"/>
      <c r="BR58" s="6">
        <f>IF(+R58-BN58+BP58&gt;0,R58-BN58+BP58,0)</f>
        <v>0</v>
      </c>
      <c r="BT58" s="6">
        <f>+BN58+BR58</f>
        <v>3204369</v>
      </c>
      <c r="BV58" s="6">
        <f t="shared" si="15"/>
        <v>620025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H59" s="6">
        <f>682994-276231</f>
        <v>406763</v>
      </c>
      <c r="BL59" s="6"/>
      <c r="BM59" s="6"/>
      <c r="BN59" s="6">
        <f>SUM(T59:BM59)</f>
        <v>682994</v>
      </c>
      <c r="BO59" s="6"/>
      <c r="BP59" s="6">
        <v>0</v>
      </c>
      <c r="BQ59" s="6"/>
      <c r="BR59" s="6">
        <f>IF(+R59-BN59+BP59&gt;0,R59-BN59+BP59,0)</f>
        <v>106266</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H60" s="6">
        <f>406264-174035</f>
        <v>232229</v>
      </c>
      <c r="BL60" s="6"/>
      <c r="BM60" s="6"/>
      <c r="BN60" s="6">
        <f>SUM(T60:BM60)</f>
        <v>406264</v>
      </c>
      <c r="BO60" s="6"/>
      <c r="BP60" s="6">
        <f>442495-482700</f>
        <v>-40205</v>
      </c>
      <c r="BQ60" s="6"/>
      <c r="BR60" s="6">
        <f>IF(+R60-BN60+BP60&gt;0,R60-BN60+BP60,0)</f>
        <v>36231</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H61" s="6">
        <f>20421-20223</f>
        <v>198</v>
      </c>
      <c r="BL61" s="6"/>
      <c r="BM61" s="6"/>
      <c r="BN61" s="6">
        <f>SUM(T61:BM61)</f>
        <v>20421</v>
      </c>
      <c r="BO61" s="6"/>
      <c r="BP61" s="6">
        <v>0</v>
      </c>
      <c r="BQ61" s="6"/>
      <c r="BR61" s="6">
        <f>IF(+R61-BN61+BP61&gt;0,R61-BN61+BP61,0)</f>
        <v>0</v>
      </c>
      <c r="BT61" s="6">
        <f>+BN61+BR61</f>
        <v>20421</v>
      </c>
      <c r="BV61" s="6">
        <f t="shared" si="15"/>
        <v>-20421</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c r="BD63" s="9">
        <f t="shared" si="17"/>
        <v>0</v>
      </c>
      <c r="BE63"/>
      <c r="BF63" s="9">
        <f t="shared" si="17"/>
        <v>0</v>
      </c>
      <c r="BG63" s="9">
        <f t="shared" si="17"/>
        <v>0</v>
      </c>
      <c r="BH63" s="9">
        <f t="shared" si="17"/>
        <v>1119732</v>
      </c>
      <c r="BI63" s="9">
        <f t="shared" si="17"/>
        <v>0</v>
      </c>
      <c r="BJ63" s="9">
        <f t="shared" si="17"/>
        <v>0</v>
      </c>
      <c r="BK63" s="9">
        <f t="shared" si="17"/>
        <v>0</v>
      </c>
      <c r="BL63" s="9">
        <f t="shared" si="17"/>
        <v>0</v>
      </c>
      <c r="BM63" s="9">
        <f t="shared" si="17"/>
        <v>0</v>
      </c>
      <c r="BN63" s="9">
        <f t="shared" si="17"/>
        <v>4602592</v>
      </c>
      <c r="BO63" s="9">
        <f t="shared" si="17"/>
        <v>0</v>
      </c>
      <c r="BP63" s="9">
        <f t="shared" si="17"/>
        <v>-857930</v>
      </c>
      <c r="BQ63" s="9">
        <f t="shared" si="17"/>
        <v>0</v>
      </c>
      <c r="BR63" s="9">
        <f t="shared" si="17"/>
        <v>142497</v>
      </c>
      <c r="BS63" s="9">
        <f t="shared" si="17"/>
        <v>0</v>
      </c>
      <c r="BT63" s="9">
        <f t="shared" si="17"/>
        <v>4745089</v>
      </c>
      <c r="BU63" s="9"/>
      <c r="BV63" s="9">
        <f t="shared" si="15"/>
        <v>551750</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c r="BD64" s="9"/>
      <c r="BE64"/>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c r="BD65" s="9"/>
      <c r="BE65"/>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c r="BD66" s="9"/>
      <c r="BE66"/>
      <c r="BF66" s="9"/>
      <c r="BG66" s="9"/>
      <c r="BH66" s="9">
        <f>3055302-2952830+272495+20694-249699</f>
        <v>145962</v>
      </c>
      <c r="BI66" s="9"/>
      <c r="BJ66" s="9"/>
      <c r="BK66" s="9"/>
      <c r="BL66" s="9"/>
      <c r="BM66" s="9"/>
      <c r="BN66" s="6">
        <f t="shared" ref="BN66:BN84" si="18">SUM(T66:BM66)</f>
        <v>3098792</v>
      </c>
      <c r="BO66" s="9"/>
      <c r="BP66" s="6">
        <v>0</v>
      </c>
      <c r="BQ66" s="6"/>
      <c r="BR66" s="6">
        <f t="shared" ref="BR66:BR85" si="19">IF(+R66-BN66+BP66&gt;0,R66-BN66+BP66,0)</f>
        <v>0</v>
      </c>
      <c r="BS66" s="6"/>
      <c r="BT66" s="6">
        <f t="shared" ref="BT66:BT85" si="20">+BN66+BR66</f>
        <v>3098792</v>
      </c>
      <c r="BU66" s="9"/>
      <c r="BV66" s="6">
        <f t="shared" ref="BV66:BV85" si="21">+R66-BT66</f>
        <v>-877039</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c r="BD67" s="9"/>
      <c r="BE67"/>
      <c r="BF67" s="9"/>
      <c r="BG67" s="9"/>
      <c r="BH67" s="9">
        <f>1007521-735944</f>
        <v>271577</v>
      </c>
      <c r="BI67" s="9"/>
      <c r="BJ67" s="9"/>
      <c r="BK67" s="9"/>
      <c r="BL67" s="9"/>
      <c r="BM67" s="9"/>
      <c r="BN67" s="6">
        <f t="shared" si="18"/>
        <v>1007521</v>
      </c>
      <c r="BO67" s="9"/>
      <c r="BP67" s="6">
        <f>508478-363263</f>
        <v>145215</v>
      </c>
      <c r="BQ67" s="6"/>
      <c r="BR67" s="6">
        <f t="shared" si="19"/>
        <v>0</v>
      </c>
      <c r="BS67" s="6"/>
      <c r="BT67" s="6">
        <f t="shared" si="20"/>
        <v>1007521</v>
      </c>
      <c r="BU67" s="9"/>
      <c r="BV67" s="6">
        <f t="shared" si="21"/>
        <v>-644214</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c r="BD68" s="9"/>
      <c r="BE68"/>
      <c r="BF68" s="9"/>
      <c r="BG68" s="9"/>
      <c r="BH68" s="9">
        <f>230143-198522</f>
        <v>31621</v>
      </c>
      <c r="BI68" s="9"/>
      <c r="BJ68" s="9"/>
      <c r="BK68" s="9"/>
      <c r="BL68" s="9"/>
      <c r="BM68" s="9"/>
      <c r="BN68" s="6">
        <f t="shared" si="18"/>
        <v>230143</v>
      </c>
      <c r="BO68" s="9"/>
      <c r="BP68" s="6"/>
      <c r="BQ68" s="6"/>
      <c r="BR68" s="6">
        <f t="shared" si="19"/>
        <v>42232</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c r="BD69" s="9"/>
      <c r="BE69"/>
      <c r="BF69" s="9"/>
      <c r="BG69" s="9"/>
      <c r="BH69" s="9">
        <f>599775-555814</f>
        <v>43961</v>
      </c>
      <c r="BI69" s="9"/>
      <c r="BJ69" s="9"/>
      <c r="BK69" s="9"/>
      <c r="BL69" s="9"/>
      <c r="BM69" s="9"/>
      <c r="BN69" s="6">
        <f t="shared" si="18"/>
        <v>599775</v>
      </c>
      <c r="BO69" s="9"/>
      <c r="BP69" s="6">
        <f>374050-294546</f>
        <v>79504</v>
      </c>
      <c r="BQ69" s="6"/>
      <c r="BR69" s="6">
        <f t="shared" si="19"/>
        <v>0</v>
      </c>
      <c r="BS69" s="6"/>
      <c r="BT69" s="6">
        <f t="shared" si="20"/>
        <v>599775</v>
      </c>
      <c r="BU69" s="9"/>
      <c r="BV69" s="6">
        <f t="shared" si="21"/>
        <v>-305229</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c r="BD70" s="9"/>
      <c r="BE70"/>
      <c r="BF70" s="9"/>
      <c r="BG70" s="9"/>
      <c r="BH70" s="9">
        <f>266441-259344</f>
        <v>7097</v>
      </c>
      <c r="BI70" s="9"/>
      <c r="BJ70" s="9"/>
      <c r="BK70" s="9"/>
      <c r="BL70" s="9"/>
      <c r="BM70" s="9"/>
      <c r="BN70" s="6">
        <f t="shared" si="18"/>
        <v>266441</v>
      </c>
      <c r="BO70" s="9"/>
      <c r="BP70" s="6">
        <v>0</v>
      </c>
      <c r="BQ70" s="6"/>
      <c r="BR70" s="6">
        <f t="shared" si="19"/>
        <v>0</v>
      </c>
      <c r="BS70" s="6"/>
      <c r="BT70" s="6">
        <f t="shared" si="20"/>
        <v>266441</v>
      </c>
      <c r="BU70" s="9"/>
      <c r="BV70" s="6">
        <f t="shared" si="21"/>
        <v>-94210</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c r="BD71" s="9"/>
      <c r="BE71"/>
      <c r="BF71" s="9"/>
      <c r="BG71" s="9"/>
      <c r="BH71" s="9">
        <f>1843466-1404467</f>
        <v>438999</v>
      </c>
      <c r="BI71" s="9"/>
      <c r="BJ71" s="9"/>
      <c r="BK71" s="9"/>
      <c r="BL71" s="9"/>
      <c r="BM71" s="9"/>
      <c r="BN71" s="6">
        <f t="shared" si="18"/>
        <v>1843466</v>
      </c>
      <c r="BO71" s="9"/>
      <c r="BP71" s="6">
        <f>1569522-1115136</f>
        <v>454386</v>
      </c>
      <c r="BQ71" s="6"/>
      <c r="BR71" s="6">
        <f t="shared" si="19"/>
        <v>0</v>
      </c>
      <c r="BS71" s="6"/>
      <c r="BT71" s="6">
        <f t="shared" si="20"/>
        <v>1843466</v>
      </c>
      <c r="BU71" s="9"/>
      <c r="BV71" s="6">
        <f t="shared" si="21"/>
        <v>-728330</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c r="BD72" s="9"/>
      <c r="BE72"/>
      <c r="BF72" s="9"/>
      <c r="BG72" s="9"/>
      <c r="BH72" s="9">
        <f>645350-577419</f>
        <v>67931</v>
      </c>
      <c r="BI72" s="9"/>
      <c r="BJ72" s="9"/>
      <c r="BK72" s="9"/>
      <c r="BL72" s="9"/>
      <c r="BM72" s="9"/>
      <c r="BN72" s="6">
        <f t="shared" si="18"/>
        <v>645350</v>
      </c>
      <c r="BO72" s="9"/>
      <c r="BP72" s="6"/>
      <c r="BQ72" s="6"/>
      <c r="BR72" s="6">
        <f t="shared" si="19"/>
        <v>105760</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c r="BD73" s="9"/>
      <c r="BE73"/>
      <c r="BF73" s="9"/>
      <c r="BG73" s="9"/>
      <c r="BH73" s="9">
        <f>97281-22214</f>
        <v>75067</v>
      </c>
      <c r="BI73" s="9"/>
      <c r="BJ73" s="9"/>
      <c r="BK73" s="9"/>
      <c r="BL73" s="9"/>
      <c r="BM73" s="9"/>
      <c r="BN73" s="6">
        <f t="shared" si="18"/>
        <v>97281</v>
      </c>
      <c r="BO73" s="9"/>
      <c r="BP73" s="6">
        <f>108008-79049</f>
        <v>28959</v>
      </c>
      <c r="BQ73" s="6"/>
      <c r="BR73" s="6">
        <f t="shared" si="19"/>
        <v>10727</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c r="BD74" s="9"/>
      <c r="BE74"/>
      <c r="BF74" s="9"/>
      <c r="BG74" s="9"/>
      <c r="BH74" s="9">
        <f>27594-15847</f>
        <v>11747</v>
      </c>
      <c r="BI74" s="9"/>
      <c r="BJ74" s="9"/>
      <c r="BK74" s="9"/>
      <c r="BL74" s="9"/>
      <c r="BM74" s="9"/>
      <c r="BN74" s="6">
        <f t="shared" si="18"/>
        <v>27594</v>
      </c>
      <c r="BO74" s="9"/>
      <c r="BP74" s="6"/>
      <c r="BQ74" s="6"/>
      <c r="BR74" s="6">
        <f t="shared" si="19"/>
        <v>15906</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c r="BD75" s="9"/>
      <c r="BE75"/>
      <c r="BF75" s="9"/>
      <c r="BG75" s="9"/>
      <c r="BH75" s="9">
        <f>141341-29878</f>
        <v>111463</v>
      </c>
      <c r="BI75" s="9"/>
      <c r="BJ75" s="9"/>
      <c r="BK75" s="9"/>
      <c r="BL75" s="9"/>
      <c r="BM75" s="9"/>
      <c r="BN75" s="6">
        <f t="shared" si="18"/>
        <v>141341</v>
      </c>
      <c r="BO75" s="9"/>
      <c r="BP75" s="6">
        <f>101800-81956</f>
        <v>19844</v>
      </c>
      <c r="BQ75" s="6"/>
      <c r="BR75" s="6">
        <f t="shared" si="19"/>
        <v>0</v>
      </c>
      <c r="BS75" s="6"/>
      <c r="BT75" s="6">
        <f t="shared" si="20"/>
        <v>141341</v>
      </c>
      <c r="BU75" s="9"/>
      <c r="BV75" s="6">
        <f t="shared" si="21"/>
        <v>-59385</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c r="BD76" s="9"/>
      <c r="BE76"/>
      <c r="BF76" s="9"/>
      <c r="BG76" s="9"/>
      <c r="BH76" s="9">
        <v>3351</v>
      </c>
      <c r="BI76" s="9"/>
      <c r="BJ76" s="9"/>
      <c r="BK76" s="9"/>
      <c r="BL76" s="9"/>
      <c r="BM76" s="9"/>
      <c r="BN76" s="6">
        <f t="shared" si="18"/>
        <v>3351</v>
      </c>
      <c r="BO76" s="9"/>
      <c r="BP76" s="6"/>
      <c r="BQ76" s="6"/>
      <c r="BR76" s="6">
        <f t="shared" si="19"/>
        <v>213999</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c r="BD77" s="9"/>
      <c r="BE77"/>
      <c r="BF77" s="9"/>
      <c r="BG77" s="9"/>
      <c r="BH77" s="9">
        <f>658070-9122</f>
        <v>648948</v>
      </c>
      <c r="BI77" s="9"/>
      <c r="BJ77" s="9"/>
      <c r="BK77" s="9"/>
      <c r="BL77" s="9"/>
      <c r="BM77" s="9"/>
      <c r="BN77" s="6">
        <f t="shared" si="18"/>
        <v>658070</v>
      </c>
      <c r="BO77" s="9"/>
      <c r="BP77" s="6">
        <f>200656-199748</f>
        <v>908</v>
      </c>
      <c r="BQ77" s="6"/>
      <c r="BR77" s="6">
        <f t="shared" si="19"/>
        <v>0</v>
      </c>
      <c r="BS77" s="6"/>
      <c r="BT77" s="6">
        <f t="shared" si="20"/>
        <v>658070</v>
      </c>
      <c r="BU77" s="9"/>
      <c r="BV77" s="6">
        <f t="shared" si="21"/>
        <v>-458322</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c r="BD78" s="9"/>
      <c r="BE78"/>
      <c r="BF78" s="9"/>
      <c r="BG78" s="9"/>
      <c r="BH78" s="9">
        <f>202295-184450</f>
        <v>17845</v>
      </c>
      <c r="BI78" s="9"/>
      <c r="BJ78" s="9"/>
      <c r="BK78" s="9"/>
      <c r="BL78" s="9"/>
      <c r="BM78" s="9"/>
      <c r="BN78" s="6">
        <f t="shared" si="18"/>
        <v>202295</v>
      </c>
      <c r="BO78" s="9"/>
      <c r="BP78" s="6"/>
      <c r="BQ78" s="6"/>
      <c r="BR78" s="6">
        <f t="shared" si="19"/>
        <v>187705</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c r="BD79" s="9"/>
      <c r="BE79"/>
      <c r="BF79" s="9"/>
      <c r="BG79" s="9"/>
      <c r="BH79" s="9">
        <f>267349-21684</f>
        <v>245665</v>
      </c>
      <c r="BI79" s="9"/>
      <c r="BJ79" s="9"/>
      <c r="BK79" s="9"/>
      <c r="BL79" s="9"/>
      <c r="BM79" s="9"/>
      <c r="BN79" s="6">
        <f t="shared" si="18"/>
        <v>267349</v>
      </c>
      <c r="BO79" s="9"/>
      <c r="BP79" s="6">
        <f>369817-290544</f>
        <v>79273</v>
      </c>
      <c r="BQ79" s="6"/>
      <c r="BR79" s="6">
        <f t="shared" si="19"/>
        <v>102468</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c r="BD80" s="9"/>
      <c r="BE80"/>
      <c r="BF80" s="9"/>
      <c r="BG80" s="9"/>
      <c r="BH80" s="9">
        <f>2254200-148038</f>
        <v>2106162</v>
      </c>
      <c r="BI80" s="9"/>
      <c r="BJ80" s="9"/>
      <c r="BK80" s="9"/>
      <c r="BL80" s="9"/>
      <c r="BM80" s="9"/>
      <c r="BN80" s="6">
        <f t="shared" si="18"/>
        <v>2254200</v>
      </c>
      <c r="BO80" s="9"/>
      <c r="BP80" s="6">
        <f>1887865-1025638</f>
        <v>862227</v>
      </c>
      <c r="BQ80" s="6"/>
      <c r="BR80" s="6">
        <f t="shared" si="19"/>
        <v>0</v>
      </c>
      <c r="BS80" s="6"/>
      <c r="BT80" s="6">
        <f t="shared" si="20"/>
        <v>2254200</v>
      </c>
      <c r="BU80" s="9"/>
      <c r="BV80" s="6">
        <f t="shared" si="21"/>
        <v>-1228562</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c r="BD81" s="9"/>
      <c r="BE81"/>
      <c r="BF81" s="9"/>
      <c r="BG81" s="9"/>
      <c r="BH81" s="9">
        <v>70748</v>
      </c>
      <c r="BI81" s="9"/>
      <c r="BJ81" s="9"/>
      <c r="BK81" s="9"/>
      <c r="BL81" s="9"/>
      <c r="BM81" s="9"/>
      <c r="BN81" s="6">
        <f t="shared" si="18"/>
        <v>70748</v>
      </c>
      <c r="BO81" s="9"/>
      <c r="BP81" s="6">
        <f>382731-347524</f>
        <v>35207</v>
      </c>
      <c r="BQ81" s="6"/>
      <c r="BR81" s="6">
        <f t="shared" si="19"/>
        <v>311983</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c r="BD82" s="9"/>
      <c r="BE82"/>
      <c r="BF82" s="9"/>
      <c r="BG82" s="9"/>
      <c r="BH82" s="9">
        <f>367355+297298</f>
        <v>664653</v>
      </c>
      <c r="BI82" s="9"/>
      <c r="BJ82" s="9"/>
      <c r="BK82" s="9"/>
      <c r="BL82" s="9"/>
      <c r="BM82" s="9"/>
      <c r="BN82" s="6">
        <f t="shared" si="18"/>
        <v>664653</v>
      </c>
      <c r="BO82" s="9"/>
      <c r="BP82" s="6">
        <v>0</v>
      </c>
      <c r="BQ82" s="6"/>
      <c r="BR82" s="6">
        <f t="shared" si="19"/>
        <v>0</v>
      </c>
      <c r="BS82" s="6"/>
      <c r="BT82" s="6">
        <f t="shared" si="20"/>
        <v>664653</v>
      </c>
      <c r="BU82" s="9"/>
      <c r="BV82" s="6">
        <f t="shared" si="21"/>
        <v>-99706</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c r="BD83" s="9"/>
      <c r="BE83"/>
      <c r="BF83" s="9"/>
      <c r="BG83" s="9"/>
      <c r="BH83" s="9">
        <f>4758976-684606</f>
        <v>4074370</v>
      </c>
      <c r="BI83" s="9"/>
      <c r="BJ83" s="9"/>
      <c r="BK83" s="9"/>
      <c r="BL83" s="9"/>
      <c r="BM83" s="9"/>
      <c r="BN83" s="6">
        <f t="shared" si="18"/>
        <v>4758976</v>
      </c>
      <c r="BO83" s="9"/>
      <c r="BP83" s="6">
        <f>4361334-3436815</f>
        <v>924519</v>
      </c>
      <c r="BQ83" s="6"/>
      <c r="BR83" s="6">
        <f t="shared" si="19"/>
        <v>0</v>
      </c>
      <c r="BS83" s="6"/>
      <c r="BT83" s="6">
        <f t="shared" si="20"/>
        <v>4758976</v>
      </c>
      <c r="BU83" s="9"/>
      <c r="BV83" s="6">
        <f t="shared" si="21"/>
        <v>-1322161</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c r="BD84" s="9"/>
      <c r="BE84"/>
      <c r="BF84" s="9"/>
      <c r="BG84" s="9"/>
      <c r="BH84" s="9">
        <f>786230-72428</f>
        <v>713802</v>
      </c>
      <c r="BI84" s="9"/>
      <c r="BJ84" s="9"/>
      <c r="BK84" s="9"/>
      <c r="BL84" s="9"/>
      <c r="BM84" s="9"/>
      <c r="BN84" s="6">
        <f t="shared" si="18"/>
        <v>786230</v>
      </c>
      <c r="BO84" s="9"/>
      <c r="BP84" s="6">
        <f>836221-582144</f>
        <v>254077</v>
      </c>
      <c r="BQ84" s="6"/>
      <c r="BR84" s="6">
        <f t="shared" si="19"/>
        <v>49991</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c r="BD85" s="9"/>
      <c r="BE85"/>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c r="BD86" s="9">
        <f t="shared" si="23"/>
        <v>0</v>
      </c>
      <c r="BE86"/>
      <c r="BF86" s="9">
        <f t="shared" si="23"/>
        <v>0</v>
      </c>
      <c r="BG86" s="9">
        <f t="shared" si="23"/>
        <v>0</v>
      </c>
      <c r="BH86" s="9">
        <f t="shared" si="23"/>
        <v>9750969</v>
      </c>
      <c r="BI86" s="9">
        <f t="shared" si="23"/>
        <v>0</v>
      </c>
      <c r="BJ86" s="9">
        <f t="shared" si="23"/>
        <v>0</v>
      </c>
      <c r="BK86" s="9">
        <f t="shared" si="23"/>
        <v>0</v>
      </c>
      <c r="BL86" s="9">
        <f t="shared" si="23"/>
        <v>0</v>
      </c>
      <c r="BM86" s="9">
        <f t="shared" si="23"/>
        <v>0</v>
      </c>
      <c r="BN86" s="9">
        <f t="shared" si="23"/>
        <v>17623576</v>
      </c>
      <c r="BO86" s="9">
        <f t="shared" si="23"/>
        <v>0</v>
      </c>
      <c r="BP86" s="9">
        <f t="shared" si="23"/>
        <v>2884119</v>
      </c>
      <c r="BQ86" s="9">
        <f t="shared" si="23"/>
        <v>0</v>
      </c>
      <c r="BR86" s="9">
        <f t="shared" si="23"/>
        <v>1040771</v>
      </c>
      <c r="BS86" s="9">
        <f t="shared" si="23"/>
        <v>0</v>
      </c>
      <c r="BT86" s="9">
        <f t="shared" si="23"/>
        <v>18664347</v>
      </c>
      <c r="BU86" s="9">
        <f t="shared" si="23"/>
        <v>0</v>
      </c>
      <c r="BV86" s="9">
        <f>+R86-BT86</f>
        <v>-6214674</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c r="BD87" s="9"/>
      <c r="BE87"/>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c r="BD88" s="9"/>
      <c r="BE88"/>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c r="BD89" s="9"/>
      <c r="BE89"/>
      <c r="BF89" s="9"/>
      <c r="BG89" s="9"/>
      <c r="BH89" s="9">
        <f>12182028-8708878</f>
        <v>3473150</v>
      </c>
      <c r="BI89" s="9"/>
      <c r="BJ89" s="9"/>
      <c r="BK89" s="9"/>
      <c r="BL89" s="9"/>
      <c r="BM89" s="9"/>
      <c r="BN89" s="6">
        <f>SUM(T89:BM89)</f>
        <v>12182028</v>
      </c>
      <c r="BO89" s="9"/>
      <c r="BP89" s="6">
        <f>12136758-9230000</f>
        <v>2906758</v>
      </c>
      <c r="BQ89" s="6"/>
      <c r="BR89" s="6">
        <f>IF(+R89-BN89+BP89&gt;0,R89-BN89+BP89,0)</f>
        <v>0</v>
      </c>
      <c r="BS89" s="6"/>
      <c r="BT89" s="6">
        <f>+BN89+BR89</f>
        <v>12182028</v>
      </c>
      <c r="BU89" s="9"/>
      <c r="BV89" s="6">
        <f>+R89-BT89</f>
        <v>-2952028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c r="BD90" s="9"/>
      <c r="BE90"/>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c r="BD91" s="9">
        <f t="shared" si="25"/>
        <v>0</v>
      </c>
      <c r="BE91"/>
      <c r="BF91" s="9">
        <f t="shared" si="25"/>
        <v>0</v>
      </c>
      <c r="BG91" s="9">
        <f t="shared" si="25"/>
        <v>0</v>
      </c>
      <c r="BH91" s="9">
        <f t="shared" si="25"/>
        <v>3473150</v>
      </c>
      <c r="BI91" s="9">
        <f t="shared" si="25"/>
        <v>0</v>
      </c>
      <c r="BJ91" s="9">
        <f t="shared" si="25"/>
        <v>0</v>
      </c>
      <c r="BK91" s="9">
        <f t="shared" si="25"/>
        <v>0</v>
      </c>
      <c r="BL91" s="9">
        <f t="shared" si="25"/>
        <v>0</v>
      </c>
      <c r="BM91" s="9">
        <f t="shared" si="25"/>
        <v>0</v>
      </c>
      <c r="BN91" s="9">
        <f t="shared" si="25"/>
        <v>12182028</v>
      </c>
      <c r="BO91" s="9">
        <f t="shared" si="25"/>
        <v>0</v>
      </c>
      <c r="BP91" s="9">
        <f t="shared" si="25"/>
        <v>2906758</v>
      </c>
      <c r="BQ91" s="9">
        <f t="shared" si="25"/>
        <v>0</v>
      </c>
      <c r="BR91" s="9">
        <f t="shared" si="25"/>
        <v>0</v>
      </c>
      <c r="BS91" s="9">
        <f t="shared" si="25"/>
        <v>0</v>
      </c>
      <c r="BT91" s="9">
        <f t="shared" si="25"/>
        <v>12182028</v>
      </c>
      <c r="BU91" s="9"/>
      <c r="BV91" s="9">
        <f>+R91-BT91</f>
        <v>-2952028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c r="BD92" s="9"/>
      <c r="BE92"/>
      <c r="BF92" s="9"/>
      <c r="BG92" s="9"/>
      <c r="BH92" s="9"/>
      <c r="BI92" s="9"/>
      <c r="BJ92" s="9"/>
      <c r="BK92" s="9"/>
      <c r="BL92" s="9"/>
      <c r="BM92" s="9"/>
      <c r="BN92" s="9"/>
      <c r="BO92" s="9"/>
      <c r="BP92" s="9"/>
      <c r="BQ92" s="9"/>
      <c r="BR92" s="9"/>
      <c r="BS92" s="9"/>
      <c r="BT92" s="9"/>
      <c r="BU92" s="9"/>
      <c r="BV92" s="9"/>
    </row>
    <row r="93" spans="2:74" s="21" customFormat="1">
      <c r="B93" s="17" t="s">
        <v>446</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v>-250000</v>
      </c>
      <c r="AU93" s="9"/>
      <c r="AV93" s="9"/>
      <c r="AW93" s="9"/>
      <c r="AX93" s="9"/>
      <c r="AY93" s="9"/>
      <c r="AZ93" s="9"/>
      <c r="BA93" s="9"/>
      <c r="BB93" s="9"/>
      <c r="BC93"/>
      <c r="BD93" s="9"/>
      <c r="BE93"/>
      <c r="BF93" s="9"/>
      <c r="BG93" s="9"/>
      <c r="BH93" s="9"/>
      <c r="BI93" s="9"/>
      <c r="BJ93" s="9"/>
      <c r="BK93" s="9"/>
      <c r="BL93" s="9"/>
      <c r="BM93" s="9"/>
      <c r="BN93" s="6">
        <f>SUM(T93:BM93)</f>
        <v>-250000</v>
      </c>
      <c r="BO93" s="9"/>
      <c r="BP93" s="9">
        <v>0</v>
      </c>
      <c r="BQ93" s="9"/>
      <c r="BR93" s="6"/>
      <c r="BS93" s="9"/>
      <c r="BT93" s="6">
        <v>-250000</v>
      </c>
      <c r="BU93" s="9"/>
      <c r="BV93" s="6">
        <f>+R93-BT93</f>
        <v>250000</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c r="BD94" s="9"/>
      <c r="BE94"/>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c r="BD95" s="9"/>
      <c r="BE95"/>
      <c r="BF95" s="9">
        <f>8254970+2743470+249699</f>
        <v>11248139</v>
      </c>
      <c r="BG95" s="9"/>
      <c r="BH95" s="9">
        <f>-18385535+1302930</f>
        <v>-17082605</v>
      </c>
      <c r="BI95" s="9"/>
      <c r="BJ95" s="9"/>
      <c r="BK95" s="9"/>
      <c r="BL95" s="9"/>
      <c r="BM95" s="9"/>
      <c r="BN95" s="6">
        <f>SUM(T95:BM95)</f>
        <v>3617161.5599999987</v>
      </c>
      <c r="BO95" s="9"/>
      <c r="BP95" s="9">
        <f>-50096668+46735000</f>
        <v>-3361668</v>
      </c>
      <c r="BQ95" s="9"/>
      <c r="BR95" s="9"/>
      <c r="BS95" s="9"/>
      <c r="BT95" s="6">
        <f>-52871755+46735000</f>
        <v>-6136755</v>
      </c>
      <c r="BU95" s="9"/>
      <c r="BV95" s="6">
        <f>+R95-BT95</f>
        <v>6136755</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c r="BD96" s="9"/>
      <c r="BE96"/>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AT91+AT86+AT63+AT54+AT95+AT93</f>
        <v>-250000</v>
      </c>
      <c r="AU97" s="244">
        <f t="shared" ref="AU97:BF97" si="27">AU91+AU86+AU63+AU54+AU95+AU93</f>
        <v>0</v>
      </c>
      <c r="AV97" s="244">
        <f t="shared" si="27"/>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11248139</v>
      </c>
      <c r="BG97" s="244">
        <f t="shared" ref="BG97:BW97" si="28">BG91+BG86+BG63+BG54+BG95+BG93</f>
        <v>0</v>
      </c>
      <c r="BH97" s="244">
        <f t="shared" si="28"/>
        <v>1302930</v>
      </c>
      <c r="BI97" s="244">
        <f t="shared" si="28"/>
        <v>0</v>
      </c>
      <c r="BJ97" s="244">
        <f t="shared" si="28"/>
        <v>0</v>
      </c>
      <c r="BK97" s="244">
        <f t="shared" si="28"/>
        <v>0</v>
      </c>
      <c r="BL97" s="244">
        <f t="shared" si="28"/>
        <v>0</v>
      </c>
      <c r="BM97" s="244">
        <f t="shared" si="28"/>
        <v>0</v>
      </c>
      <c r="BN97" s="244">
        <f t="shared" si="28"/>
        <v>45922118.560000002</v>
      </c>
      <c r="BO97" s="244">
        <f t="shared" si="28"/>
        <v>0</v>
      </c>
      <c r="BP97" s="244">
        <f t="shared" si="28"/>
        <v>3629444</v>
      </c>
      <c r="BQ97" s="244">
        <f t="shared" si="28"/>
        <v>0</v>
      </c>
      <c r="BR97" s="244">
        <f>BT97-BN97</f>
        <v>812881.43999999762</v>
      </c>
      <c r="BS97" s="244">
        <f t="shared" si="28"/>
        <v>0</v>
      </c>
      <c r="BT97" s="244">
        <f t="shared" si="28"/>
        <v>46735000</v>
      </c>
      <c r="BU97" s="244">
        <f t="shared" si="28"/>
        <v>0</v>
      </c>
      <c r="BV97" s="244">
        <f t="shared" si="28"/>
        <v>-4993600</v>
      </c>
      <c r="BW97" s="244">
        <f t="shared" si="28"/>
        <v>0</v>
      </c>
    </row>
    <row r="98" spans="1:75">
      <c r="A98" s="57"/>
      <c r="B98" s="17"/>
      <c r="C98"/>
      <c r="D98"/>
      <c r="E98"/>
      <c r="F98"/>
      <c r="G98"/>
      <c r="H98"/>
      <c r="I98"/>
      <c r="J98" s="49"/>
      <c r="K98"/>
      <c r="L98" s="134"/>
      <c r="M98" s="6"/>
      <c r="O98" s="6"/>
      <c r="Q98" s="6"/>
      <c r="S98" s="6"/>
      <c r="T98" s="6"/>
      <c r="U98" s="6"/>
      <c r="V98" s="6"/>
      <c r="X98" s="6"/>
      <c r="Z98" s="6"/>
      <c r="AB98" s="6"/>
      <c r="AD98" s="6"/>
      <c r="BH98" s="6">
        <f>BH97-1302930</f>
        <v>0</v>
      </c>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77483.33</v>
      </c>
      <c r="BF100" s="6">
        <v>77483.33</v>
      </c>
      <c r="BH100" s="6">
        <v>0</v>
      </c>
      <c r="BJ100" s="6">
        <v>0</v>
      </c>
      <c r="BL100" s="6">
        <v>0</v>
      </c>
      <c r="BM100" s="6"/>
      <c r="BN100" s="6">
        <f t="shared" ref="BN100:BN105" si="29">SUM(T100:BM100)</f>
        <v>929799.66999999981</v>
      </c>
      <c r="BO100" s="6"/>
      <c r="BP100" s="6">
        <v>0</v>
      </c>
      <c r="BQ100" s="6"/>
      <c r="BR100" s="6">
        <f t="shared" ref="BR100:BR106" si="30">IF(+R100-BN100+BP100&gt;0,R100-BN100+BP100,0)</f>
        <v>0.33000000019092113</v>
      </c>
      <c r="BT100" s="6">
        <f t="shared" ref="BT100:BT105" si="31">+BN100+BR100</f>
        <v>929800</v>
      </c>
      <c r="BV100" s="6">
        <f t="shared" ref="BV100:BV105" si="32">+R100-BT100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236722</v>
      </c>
      <c r="BF101" s="6">
        <v>236722</v>
      </c>
      <c r="BH101" s="6">
        <v>0</v>
      </c>
      <c r="BJ101" s="6">
        <v>0</v>
      </c>
      <c r="BL101" s="6">
        <v>0</v>
      </c>
      <c r="BM101" s="6"/>
      <c r="BN101" s="6">
        <f t="shared" si="29"/>
        <v>2840670.66</v>
      </c>
      <c r="BO101" s="6"/>
      <c r="BP101" s="6">
        <v>-29</v>
      </c>
      <c r="BQ101" s="6"/>
      <c r="BR101" s="6">
        <f t="shared" si="30"/>
        <v>0.33999999985098839</v>
      </c>
      <c r="BT101" s="6">
        <f t="shared" si="31"/>
        <v>2840671</v>
      </c>
      <c r="BV101" s="6">
        <f t="shared" si="32"/>
        <v>29</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9"/>
        <v>0</v>
      </c>
      <c r="BO102" s="6"/>
      <c r="BP102" s="6">
        <v>0</v>
      </c>
      <c r="BQ102" s="6"/>
      <c r="BR102" s="6">
        <f t="shared" si="30"/>
        <v>0</v>
      </c>
      <c r="BT102" s="6">
        <f t="shared" si="31"/>
        <v>0</v>
      </c>
      <c r="BV102" s="6">
        <f t="shared" si="32"/>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D103" s="12">
        <v>0</v>
      </c>
      <c r="BF103" s="12">
        <v>0</v>
      </c>
      <c r="BG103" s="12"/>
      <c r="BH103" s="12">
        <v>0</v>
      </c>
      <c r="BI103" s="12"/>
      <c r="BJ103" s="12">
        <v>0</v>
      </c>
      <c r="BK103" s="12"/>
      <c r="BL103" s="12">
        <v>0</v>
      </c>
      <c r="BM103" s="12"/>
      <c r="BN103" s="12">
        <f t="shared" si="29"/>
        <v>0</v>
      </c>
      <c r="BO103" s="6"/>
      <c r="BP103" s="12">
        <v>0</v>
      </c>
      <c r="BQ103" s="6"/>
      <c r="BR103" s="6">
        <f t="shared" si="30"/>
        <v>0</v>
      </c>
      <c r="BS103" s="12"/>
      <c r="BT103" s="6">
        <f t="shared" si="31"/>
        <v>0</v>
      </c>
      <c r="BU103" s="12"/>
      <c r="BV103" s="6">
        <f t="shared" si="32"/>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c r="BD104" s="12">
        <v>0</v>
      </c>
      <c r="BE104"/>
      <c r="BF104" s="12">
        <v>0</v>
      </c>
      <c r="BG104" s="12"/>
      <c r="BH104" s="12">
        <v>0</v>
      </c>
      <c r="BI104" s="12"/>
      <c r="BJ104" s="12">
        <v>0</v>
      </c>
      <c r="BK104" s="12"/>
      <c r="BL104" s="12">
        <v>0</v>
      </c>
      <c r="BM104" s="12"/>
      <c r="BN104" s="12">
        <f t="shared" si="29"/>
        <v>0</v>
      </c>
      <c r="BO104" s="12"/>
      <c r="BP104" s="12">
        <v>0</v>
      </c>
      <c r="BQ104" s="12"/>
      <c r="BR104" s="6">
        <f t="shared" si="30"/>
        <v>0</v>
      </c>
      <c r="BS104" s="12"/>
      <c r="BT104" s="6">
        <f t="shared" si="31"/>
        <v>0</v>
      </c>
      <c r="BU104" s="12"/>
      <c r="BV104" s="6">
        <f t="shared" si="32"/>
        <v>0</v>
      </c>
      <c r="BW104" s="12"/>
    </row>
    <row r="105" spans="1:75">
      <c r="A105" s="61"/>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c r="AU105" s="80"/>
      <c r="AV105" s="12">
        <v>0</v>
      </c>
      <c r="AW105" s="12"/>
      <c r="AX105" s="12">
        <v>0</v>
      </c>
      <c r="AY105" s="12"/>
      <c r="AZ105" s="12">
        <v>0</v>
      </c>
      <c r="BA105" s="12"/>
      <c r="BB105" s="12">
        <v>0</v>
      </c>
      <c r="BD105" s="12">
        <v>0</v>
      </c>
      <c r="BF105" s="12">
        <v>0</v>
      </c>
      <c r="BG105" s="12"/>
      <c r="BH105" s="12">
        <v>0</v>
      </c>
      <c r="BI105" s="12"/>
      <c r="BJ105" s="12">
        <v>0</v>
      </c>
      <c r="BK105" s="12"/>
      <c r="BL105" s="12">
        <v>0</v>
      </c>
      <c r="BM105" s="12"/>
      <c r="BN105" s="12">
        <f t="shared" si="29"/>
        <v>0</v>
      </c>
      <c r="BO105" s="6"/>
      <c r="BP105" s="12">
        <v>0</v>
      </c>
      <c r="BQ105" s="6"/>
      <c r="BR105" s="6">
        <v>0</v>
      </c>
      <c r="BS105" s="12"/>
      <c r="BT105" s="9">
        <f t="shared" si="31"/>
        <v>0</v>
      </c>
      <c r="BU105" s="12"/>
      <c r="BV105" s="6">
        <f t="shared" si="32"/>
        <v>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D106" s="12"/>
      <c r="BF106" s="12"/>
      <c r="BG106" s="12"/>
      <c r="BH106" s="12"/>
      <c r="BI106" s="12"/>
      <c r="BJ106" s="12"/>
      <c r="BK106" s="12"/>
      <c r="BL106" s="12"/>
      <c r="BM106" s="12"/>
      <c r="BN106" s="12"/>
      <c r="BO106" s="6"/>
      <c r="BP106" s="12"/>
      <c r="BQ106" s="6"/>
      <c r="BR106" s="6">
        <f t="shared" si="30"/>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314205.33</v>
      </c>
      <c r="AU107" s="115"/>
      <c r="AV107" s="116">
        <f>SUM(AV100:AV106)</f>
        <v>314205.33999999997</v>
      </c>
      <c r="AW107" s="117"/>
      <c r="AX107" s="116">
        <f>SUM(AX100:AX106)</f>
        <v>314205.33999999997</v>
      </c>
      <c r="AY107" s="117"/>
      <c r="AZ107" s="116">
        <f>SUM(AZ100:AZ106)</f>
        <v>314205.33</v>
      </c>
      <c r="BA107" s="117"/>
      <c r="BB107" s="116">
        <f>SUM(BB100:BB106)</f>
        <v>314205</v>
      </c>
      <c r="BC107"/>
      <c r="BD107" s="116">
        <f>SUM(BD100:BD106)</f>
        <v>314205.33</v>
      </c>
      <c r="BE107"/>
      <c r="BF107" s="116">
        <f>SUM(BF100:BF106)</f>
        <v>314205.33</v>
      </c>
      <c r="BG107" s="117"/>
      <c r="BH107" s="116">
        <f>SUM(BH100:BH106)</f>
        <v>0</v>
      </c>
      <c r="BI107" s="117"/>
      <c r="BJ107" s="116">
        <f>SUM(BJ100:BJ106)</f>
        <v>0</v>
      </c>
      <c r="BK107" s="117"/>
      <c r="BL107" s="116">
        <f>SUM(BL100:BL106)</f>
        <v>0</v>
      </c>
      <c r="BM107" s="115"/>
      <c r="BN107" s="116">
        <f>SUM(BN100:BN106)</f>
        <v>3770470.33</v>
      </c>
      <c r="BO107" s="115"/>
      <c r="BP107" s="116">
        <f>SUM(BP100:BP106)</f>
        <v>-29</v>
      </c>
      <c r="BQ107" s="115"/>
      <c r="BR107" s="116">
        <f>SUM(BR100:BR106)</f>
        <v>0.67000000004190952</v>
      </c>
      <c r="BS107" s="115"/>
      <c r="BT107" s="116">
        <f>SUM(BT100:BT106)</f>
        <v>3770471</v>
      </c>
      <c r="BU107" s="115"/>
      <c r="BV107" s="116">
        <f>SUM(BV100:BV106)</f>
        <v>29</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c r="BD109" s="22"/>
      <c r="BE109"/>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c r="BD110" s="80">
        <v>0</v>
      </c>
      <c r="BE11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c r="BD111" s="80"/>
      <c r="BE111"/>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c r="BD112" s="108">
        <f>SUM(BD110:BD111)</f>
        <v>0</v>
      </c>
      <c r="BE112"/>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c r="BD113" s="22"/>
      <c r="BE113"/>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c r="BD114" s="13"/>
      <c r="BE114"/>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c r="BD115" s="22"/>
      <c r="BE115"/>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3">+N116+P116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c r="BD116" s="22">
        <v>0</v>
      </c>
      <c r="BE116"/>
      <c r="BF116" s="22">
        <v>0</v>
      </c>
      <c r="BG116" s="22"/>
      <c r="BH116" s="22">
        <v>0</v>
      </c>
      <c r="BI116" s="22"/>
      <c r="BJ116" s="22">
        <v>0</v>
      </c>
      <c r="BK116" s="22"/>
      <c r="BL116" s="22">
        <v>0</v>
      </c>
      <c r="BM116" s="22"/>
      <c r="BN116" s="22">
        <f t="shared" ref="BN116:BN125" si="34">SUM(T116:BM116)</f>
        <v>0</v>
      </c>
      <c r="BO116" s="22"/>
      <c r="BP116" s="22">
        <v>0</v>
      </c>
      <c r="BQ116" s="22"/>
      <c r="BR116" s="22">
        <f t="shared" ref="BR116:BR125" si="35">+R116-BN116+BP116</f>
        <v>0</v>
      </c>
      <c r="BS116" s="22"/>
      <c r="BT116" s="6">
        <f t="shared" ref="BT116:BT125" si="36">+BN116+BR116</f>
        <v>0</v>
      </c>
      <c r="BU116" s="22"/>
      <c r="BV116" s="6">
        <f t="shared" ref="BV116:BV125" si="37">+R116-BT116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3"/>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c r="BD117" s="22">
        <v>0</v>
      </c>
      <c r="BE117"/>
      <c r="BF117" s="22">
        <v>0</v>
      </c>
      <c r="BG117" s="22"/>
      <c r="BH117" s="22">
        <v>0</v>
      </c>
      <c r="BI117" s="22"/>
      <c r="BJ117" s="22">
        <v>0</v>
      </c>
      <c r="BK117" s="22"/>
      <c r="BL117" s="22">
        <v>0</v>
      </c>
      <c r="BM117" s="22"/>
      <c r="BN117" s="22">
        <f t="shared" si="34"/>
        <v>0</v>
      </c>
      <c r="BO117" s="22"/>
      <c r="BP117" s="22">
        <v>0</v>
      </c>
      <c r="BQ117" s="22"/>
      <c r="BR117" s="22">
        <f t="shared" si="35"/>
        <v>0</v>
      </c>
      <c r="BS117" s="22"/>
      <c r="BT117" s="6">
        <f t="shared" si="36"/>
        <v>0</v>
      </c>
      <c r="BU117" s="22"/>
      <c r="BV117" s="6">
        <f t="shared" si="37"/>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3"/>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c r="BD118" s="22">
        <v>0</v>
      </c>
      <c r="BE118"/>
      <c r="BF118" s="22">
        <v>0</v>
      </c>
      <c r="BG118" s="22"/>
      <c r="BH118" s="22">
        <v>0</v>
      </c>
      <c r="BI118" s="22"/>
      <c r="BJ118" s="22">
        <v>0</v>
      </c>
      <c r="BK118" s="22"/>
      <c r="BL118" s="22">
        <v>0</v>
      </c>
      <c r="BM118" s="22"/>
      <c r="BN118" s="22">
        <f t="shared" si="34"/>
        <v>0</v>
      </c>
      <c r="BO118" s="22"/>
      <c r="BP118" s="22">
        <v>0</v>
      </c>
      <c r="BQ118" s="22"/>
      <c r="BR118" s="22">
        <f t="shared" si="35"/>
        <v>0</v>
      </c>
      <c r="BS118" s="22"/>
      <c r="BT118" s="6">
        <f t="shared" si="36"/>
        <v>0</v>
      </c>
      <c r="BU118" s="22"/>
      <c r="BV118" s="6">
        <f t="shared" si="37"/>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3"/>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c r="BD119" s="22">
        <v>0</v>
      </c>
      <c r="BE119"/>
      <c r="BF119" s="22">
        <v>0</v>
      </c>
      <c r="BG119" s="22"/>
      <c r="BH119" s="22">
        <v>0</v>
      </c>
      <c r="BI119" s="22"/>
      <c r="BJ119" s="22">
        <v>0</v>
      </c>
      <c r="BK119" s="22"/>
      <c r="BL119" s="22">
        <v>0</v>
      </c>
      <c r="BM119" s="22"/>
      <c r="BN119" s="22">
        <f t="shared" si="34"/>
        <v>0</v>
      </c>
      <c r="BO119" s="22"/>
      <c r="BP119" s="22">
        <v>0</v>
      </c>
      <c r="BQ119" s="22"/>
      <c r="BR119" s="22">
        <f t="shared" si="35"/>
        <v>0</v>
      </c>
      <c r="BS119" s="22"/>
      <c r="BT119" s="6">
        <f t="shared" si="36"/>
        <v>0</v>
      </c>
      <c r="BU119" s="22"/>
      <c r="BV119" s="6">
        <f t="shared" si="37"/>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3"/>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c r="BD120" s="22">
        <v>0</v>
      </c>
      <c r="BE120"/>
      <c r="BF120" s="22">
        <v>0</v>
      </c>
      <c r="BG120" s="22"/>
      <c r="BH120" s="22">
        <v>0</v>
      </c>
      <c r="BI120" s="22"/>
      <c r="BJ120" s="22">
        <v>0</v>
      </c>
      <c r="BK120" s="22"/>
      <c r="BL120" s="22">
        <v>0</v>
      </c>
      <c r="BM120" s="22"/>
      <c r="BN120" s="22">
        <f t="shared" si="34"/>
        <v>0</v>
      </c>
      <c r="BO120" s="22"/>
      <c r="BP120" s="22">
        <v>0</v>
      </c>
      <c r="BQ120" s="22"/>
      <c r="BR120" s="22">
        <f t="shared" si="35"/>
        <v>0</v>
      </c>
      <c r="BS120" s="22"/>
      <c r="BT120" s="6">
        <f t="shared" si="36"/>
        <v>0</v>
      </c>
      <c r="BU120" s="22"/>
      <c r="BV120" s="6">
        <f t="shared" si="37"/>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3"/>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c r="BD121" s="22">
        <v>0</v>
      </c>
      <c r="BE121"/>
      <c r="BF121" s="22">
        <v>0</v>
      </c>
      <c r="BG121" s="22"/>
      <c r="BH121" s="22">
        <v>0</v>
      </c>
      <c r="BI121" s="22"/>
      <c r="BJ121" s="22">
        <v>0</v>
      </c>
      <c r="BK121" s="22"/>
      <c r="BL121" s="22">
        <v>0</v>
      </c>
      <c r="BM121" s="22"/>
      <c r="BN121" s="22">
        <f t="shared" si="34"/>
        <v>0</v>
      </c>
      <c r="BO121" s="22"/>
      <c r="BP121" s="22">
        <v>0</v>
      </c>
      <c r="BQ121" s="22"/>
      <c r="BR121" s="22">
        <f t="shared" si="35"/>
        <v>0</v>
      </c>
      <c r="BS121" s="22"/>
      <c r="BT121" s="6">
        <f t="shared" si="36"/>
        <v>0</v>
      </c>
      <c r="BU121" s="22"/>
      <c r="BV121" s="6">
        <f t="shared" si="37"/>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3"/>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c r="BD122" s="22">
        <v>0</v>
      </c>
      <c r="BE122"/>
      <c r="BF122" s="22">
        <v>0</v>
      </c>
      <c r="BG122" s="22"/>
      <c r="BH122" s="22">
        <v>0</v>
      </c>
      <c r="BI122" s="22"/>
      <c r="BJ122" s="22">
        <v>0</v>
      </c>
      <c r="BK122" s="22"/>
      <c r="BL122" s="22">
        <v>0</v>
      </c>
      <c r="BM122" s="22"/>
      <c r="BN122" s="22">
        <f t="shared" si="34"/>
        <v>0</v>
      </c>
      <c r="BO122" s="22"/>
      <c r="BP122" s="22">
        <v>0</v>
      </c>
      <c r="BQ122" s="22"/>
      <c r="BR122" s="22">
        <f t="shared" si="35"/>
        <v>0</v>
      </c>
      <c r="BS122" s="22"/>
      <c r="BT122" s="6">
        <f t="shared" si="36"/>
        <v>0</v>
      </c>
      <c r="BU122" s="22"/>
      <c r="BV122" s="6">
        <f t="shared" si="37"/>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3"/>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c r="BD123" s="22">
        <v>0</v>
      </c>
      <c r="BE123"/>
      <c r="BF123" s="22">
        <v>0</v>
      </c>
      <c r="BG123" s="22"/>
      <c r="BH123" s="22">
        <v>0</v>
      </c>
      <c r="BI123" s="22"/>
      <c r="BJ123" s="22">
        <v>0</v>
      </c>
      <c r="BK123" s="22"/>
      <c r="BL123" s="22">
        <v>0</v>
      </c>
      <c r="BM123" s="22"/>
      <c r="BN123" s="22">
        <f t="shared" si="34"/>
        <v>0</v>
      </c>
      <c r="BO123" s="22"/>
      <c r="BP123" s="22">
        <v>0</v>
      </c>
      <c r="BQ123" s="22"/>
      <c r="BR123" s="22">
        <f t="shared" si="35"/>
        <v>0</v>
      </c>
      <c r="BS123" s="22"/>
      <c r="BT123" s="6">
        <f t="shared" si="36"/>
        <v>0</v>
      </c>
      <c r="BU123" s="22"/>
      <c r="BV123" s="6">
        <f t="shared" si="37"/>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3"/>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c r="BD124" s="80">
        <v>0</v>
      </c>
      <c r="BE124"/>
      <c r="BF124" s="80">
        <v>0</v>
      </c>
      <c r="BG124" s="80"/>
      <c r="BH124" s="80">
        <v>0</v>
      </c>
      <c r="BI124" s="80"/>
      <c r="BJ124" s="80">
        <v>0</v>
      </c>
      <c r="BK124" s="80"/>
      <c r="BL124" s="80">
        <v>0</v>
      </c>
      <c r="BM124" s="80"/>
      <c r="BN124" s="80">
        <f t="shared" si="34"/>
        <v>0</v>
      </c>
      <c r="BO124" s="80"/>
      <c r="BP124" s="80">
        <v>0</v>
      </c>
      <c r="BQ124" s="80"/>
      <c r="BR124" s="80">
        <f t="shared" si="35"/>
        <v>0</v>
      </c>
      <c r="BS124" s="80"/>
      <c r="BT124" s="6">
        <f t="shared" si="36"/>
        <v>0</v>
      </c>
      <c r="BU124" s="80"/>
      <c r="BV124" s="6">
        <f t="shared" si="37"/>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3"/>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c r="BD125" s="80">
        <v>0</v>
      </c>
      <c r="BE125"/>
      <c r="BF125" s="80">
        <v>0</v>
      </c>
      <c r="BG125" s="80"/>
      <c r="BH125" s="80">
        <v>0</v>
      </c>
      <c r="BI125" s="80"/>
      <c r="BJ125" s="80">
        <v>0</v>
      </c>
      <c r="BK125" s="80"/>
      <c r="BL125" s="80">
        <v>0</v>
      </c>
      <c r="BM125" s="80"/>
      <c r="BN125" s="80">
        <f t="shared" si="34"/>
        <v>0</v>
      </c>
      <c r="BO125" s="80"/>
      <c r="BP125" s="80">
        <v>0</v>
      </c>
      <c r="BQ125" s="80"/>
      <c r="BR125" s="80">
        <f t="shared" si="35"/>
        <v>0</v>
      </c>
      <c r="BS125" s="80"/>
      <c r="BT125" s="6">
        <f t="shared" si="36"/>
        <v>0</v>
      </c>
      <c r="BU125" s="80"/>
      <c r="BV125" s="6">
        <f t="shared" si="37"/>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c r="BD126" s="80"/>
      <c r="BE126"/>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c r="BD127" s="108">
        <f>SUM(BD116:BD126)</f>
        <v>0</v>
      </c>
      <c r="BE127"/>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c r="BD128" s="22"/>
      <c r="BE128"/>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c r="BD129" s="22"/>
      <c r="BE129"/>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37000</v>
      </c>
      <c r="BF131" s="6">
        <v>37000</v>
      </c>
      <c r="BH131" s="6">
        <v>0</v>
      </c>
      <c r="BJ131" s="6">
        <v>0</v>
      </c>
      <c r="BL131" s="6">
        <v>0</v>
      </c>
      <c r="BM131" s="6"/>
      <c r="BN131" s="6">
        <f>SUM(T131:BM131)</f>
        <v>185000</v>
      </c>
      <c r="BO131" s="6"/>
      <c r="BP131" s="6">
        <v>0</v>
      </c>
      <c r="BQ131" s="6"/>
      <c r="BR131" s="6">
        <f>IF(+R131-BN131+BP131&gt;0,R131-BN131+BP131,0)</f>
        <v>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122389.86</v>
      </c>
      <c r="BF132" s="6">
        <v>120325.41</v>
      </c>
      <c r="BH132" s="6">
        <v>112206.42</v>
      </c>
      <c r="BJ132" s="6">
        <v>0</v>
      </c>
      <c r="BL132" s="6">
        <v>0</v>
      </c>
      <c r="BM132" s="6"/>
      <c r="BN132" s="6">
        <f>SUM(T132:BM132)</f>
        <v>604460.13</v>
      </c>
      <c r="BO132" s="6"/>
      <c r="BP132" s="6">
        <v>0</v>
      </c>
      <c r="BQ132" s="6"/>
      <c r="BR132" s="6">
        <f>+R132-BN132+BP132</f>
        <v>119325.87</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c r="BD134" s="102">
        <f>SUM(BD131:BD133)</f>
        <v>159389.85999999999</v>
      </c>
      <c r="BE134"/>
      <c r="BF134" s="102">
        <f>SUM(BF131:BF133)</f>
        <v>157325.41</v>
      </c>
      <c r="BG134" s="10"/>
      <c r="BH134" s="102">
        <f>SUM(BH131:BH133)</f>
        <v>112206.42</v>
      </c>
      <c r="BI134" s="10"/>
      <c r="BJ134" s="102">
        <f>SUM(BJ131:BJ133)</f>
        <v>0</v>
      </c>
      <c r="BK134" s="10"/>
      <c r="BL134" s="102">
        <f>SUM(BL131:BL133)</f>
        <v>0</v>
      </c>
      <c r="BM134" s="9"/>
      <c r="BN134" s="102">
        <f>SUM(BN131:BN133)</f>
        <v>789460.13</v>
      </c>
      <c r="BO134" s="9"/>
      <c r="BP134" s="102">
        <f>SUM(BP131:BP133)</f>
        <v>0</v>
      </c>
      <c r="BQ134" s="9"/>
      <c r="BR134" s="102">
        <f>SUM(BR131:BR133)</f>
        <v>119325.87</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c r="BD135" s="10"/>
      <c r="BE135"/>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561</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c r="BD136" s="9">
        <f>190718.52-110182.74</f>
        <v>80535.779999999984</v>
      </c>
      <c r="BE136"/>
      <c r="BF136" s="9">
        <v>10412.629999999999</v>
      </c>
      <c r="BG136" s="9"/>
      <c r="BH136" s="9">
        <v>10035.93</v>
      </c>
      <c r="BI136" s="9"/>
      <c r="BJ136" s="9">
        <v>0</v>
      </c>
      <c r="BK136" s="9"/>
      <c r="BL136" s="9">
        <v>0</v>
      </c>
      <c r="BM136" s="9"/>
      <c r="BN136" s="16">
        <f>SUM(T136:BM136)</f>
        <v>100984.34</v>
      </c>
      <c r="BO136" s="9"/>
      <c r="BP136" s="9">
        <v>0</v>
      </c>
      <c r="BQ136" s="9"/>
      <c r="BR136" s="6">
        <f>IF(+R136-BN136+BP136&gt;0,R136-BN136+BP136,0)</f>
        <v>0</v>
      </c>
      <c r="BS136" s="9"/>
      <c r="BT136" s="9">
        <f>+BN136+BR136</f>
        <v>100984.34</v>
      </c>
      <c r="BU136" s="9"/>
      <c r="BV136" s="9">
        <f>+R136-BT136</f>
        <v>-100984.34</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c r="BD137" s="9"/>
      <c r="BE137"/>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c r="BD138" s="9">
        <v>0</v>
      </c>
      <c r="BE138"/>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c r="BD139" s="9"/>
      <c r="BE13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c r="BD140" s="10">
        <v>0</v>
      </c>
      <c r="BE140"/>
      <c r="BF140" s="10">
        <v>0</v>
      </c>
      <c r="BG140" s="10"/>
      <c r="BH140" s="10"/>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c r="BD141" s="9"/>
      <c r="BE141"/>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c r="BD142" s="9">
        <v>0</v>
      </c>
      <c r="BE142"/>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c r="BD143" s="9"/>
      <c r="BE143"/>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20000</v>
      </c>
      <c r="BJ145" s="6">
        <v>0</v>
      </c>
      <c r="BL145" s="6">
        <v>0</v>
      </c>
      <c r="BM145" s="6"/>
      <c r="BN145" s="6">
        <f>SUM(T145:BM145)</f>
        <v>45010</v>
      </c>
      <c r="BO145" s="6"/>
      <c r="BP145" s="6">
        <v>0</v>
      </c>
      <c r="BQ145" s="6"/>
      <c r="BR145" s="6">
        <f>IF(+R145-BN145+BP145&gt;0,R145-BN145+BP145,0)</f>
        <v>0</v>
      </c>
      <c r="BT145" s="6">
        <f>+BN145+BR145</f>
        <v>45010</v>
      </c>
      <c r="BV145" s="6">
        <f>+R145-BT145</f>
        <v>-45010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c r="BD149" s="102">
        <f>SUM(BD145:BD148)</f>
        <v>0</v>
      </c>
      <c r="BE149"/>
      <c r="BF149" s="102">
        <f>SUM(BF145:BF148)</f>
        <v>0</v>
      </c>
      <c r="BG149" s="10"/>
      <c r="BH149" s="102">
        <f>SUM(BH145:BH148)</f>
        <v>20000</v>
      </c>
      <c r="BI149" s="10"/>
      <c r="BJ149" s="102">
        <f>SUM(BJ145:BJ148)</f>
        <v>0</v>
      </c>
      <c r="BK149" s="10"/>
      <c r="BL149" s="102">
        <f>SUM(BL145:BL148)</f>
        <v>0</v>
      </c>
      <c r="BM149" s="9"/>
      <c r="BN149" s="102">
        <f>SUM(BN145:BN148)</f>
        <v>428551</v>
      </c>
      <c r="BO149" s="9"/>
      <c r="BP149" s="102">
        <f>SUM(BP145:BP148)</f>
        <v>0</v>
      </c>
      <c r="BQ149" s="9"/>
      <c r="BR149" s="102">
        <f>SUM(BR145:BR148)</f>
        <v>0</v>
      </c>
      <c r="BS149" s="9"/>
      <c r="BT149" s="102">
        <f>SUM(BT145:BT148)</f>
        <v>428551</v>
      </c>
      <c r="BU149" s="9"/>
      <c r="BV149" s="102">
        <f>SUM(BV145:BV148)</f>
        <v>-59510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c r="BD150" s="9"/>
      <c r="BE150"/>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8">SUM(T152:BM152)</f>
        <v>69419</v>
      </c>
      <c r="BO152" s="6"/>
      <c r="BP152" s="227">
        <v>0</v>
      </c>
      <c r="BQ152" s="6"/>
      <c r="BR152" s="6">
        <f t="shared" ref="BR152:BR158" si="39">IF(+R152-BN152+BP152&gt;0,R152-BN152+BP152,0)</f>
        <v>0</v>
      </c>
      <c r="BT152" s="6">
        <f t="shared" ref="BT152:BT157" si="40">+BN152+BR152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302.41000000000003</v>
      </c>
      <c r="BF153" s="6">
        <v>213078.6</v>
      </c>
      <c r="BH153" s="6">
        <v>0</v>
      </c>
      <c r="BJ153" s="6">
        <v>0</v>
      </c>
      <c r="BL153" s="6">
        <v>0</v>
      </c>
      <c r="BM153" s="6"/>
      <c r="BN153" s="6">
        <f t="shared" si="38"/>
        <v>213381.01</v>
      </c>
      <c r="BO153" s="6"/>
      <c r="BP153" s="227">
        <v>0</v>
      </c>
      <c r="BQ153" s="6"/>
      <c r="BR153" s="6">
        <f t="shared" si="39"/>
        <v>0</v>
      </c>
      <c r="BT153" s="6">
        <f t="shared" si="40"/>
        <v>213381.01</v>
      </c>
      <c r="BV153" s="6">
        <f>+R153-BT153</f>
        <v>-213381.01</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H154" s="6">
        <v>0</v>
      </c>
      <c r="BJ154" s="6">
        <v>0</v>
      </c>
      <c r="BL154" s="6">
        <v>0</v>
      </c>
      <c r="BM154" s="6"/>
      <c r="BN154" s="6">
        <f t="shared" si="38"/>
        <v>0</v>
      </c>
      <c r="BO154" s="6"/>
      <c r="BP154" s="227">
        <v>0</v>
      </c>
      <c r="BQ154" s="6"/>
      <c r="BR154" s="6">
        <f t="shared" si="39"/>
        <v>0</v>
      </c>
      <c r="BT154" s="6">
        <f t="shared" si="40"/>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8"/>
        <v>0</v>
      </c>
      <c r="BO155" s="6"/>
      <c r="BP155" s="227">
        <v>0</v>
      </c>
      <c r="BQ155" s="6"/>
      <c r="BR155" s="6">
        <f t="shared" si="39"/>
        <v>0</v>
      </c>
      <c r="BT155" s="6">
        <f t="shared" si="40"/>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8"/>
        <v>0</v>
      </c>
      <c r="BO156" s="6"/>
      <c r="BP156" s="227">
        <v>0</v>
      </c>
      <c r="BQ156" s="6"/>
      <c r="BR156" s="6">
        <f t="shared" si="39"/>
        <v>0</v>
      </c>
      <c r="BT156" s="6">
        <f t="shared" si="40"/>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D157" s="6">
        <v>49686.37</v>
      </c>
      <c r="BF157" s="6">
        <v>30443.56</v>
      </c>
      <c r="BL157" s="6"/>
      <c r="BM157" s="6"/>
      <c r="BN157" s="6">
        <f t="shared" si="38"/>
        <v>742540.25000000012</v>
      </c>
      <c r="BO157" s="6"/>
      <c r="BP157" s="227">
        <v>0</v>
      </c>
      <c r="BQ157" s="6"/>
      <c r="BR157" s="6">
        <f t="shared" si="39"/>
        <v>0</v>
      </c>
      <c r="BT157" s="6">
        <f t="shared" si="40"/>
        <v>742540.25000000012</v>
      </c>
      <c r="BV157" s="6">
        <f>+R157-BT157</f>
        <v>-271959.25000000012</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9"/>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c r="BD159" s="102">
        <f>SUM(BD152:BD158)</f>
        <v>49988.780000000006</v>
      </c>
      <c r="BE159"/>
      <c r="BF159" s="102">
        <f>SUM(BF152:BF158)</f>
        <v>243522.16</v>
      </c>
      <c r="BG159" s="10"/>
      <c r="BH159" s="102">
        <f>SUM(BH152:BH158)</f>
        <v>0</v>
      </c>
      <c r="BI159" s="10"/>
      <c r="BJ159" s="102">
        <f>SUM(BJ152:BJ158)</f>
        <v>0</v>
      </c>
      <c r="BK159" s="10"/>
      <c r="BL159" s="102">
        <f>SUM(BL152:BL158)</f>
        <v>0</v>
      </c>
      <c r="BM159" s="9"/>
      <c r="BN159" s="102">
        <f>SUM(BN152:BN158)</f>
        <v>1025340.2600000001</v>
      </c>
      <c r="BO159" s="9"/>
      <c r="BP159" s="102">
        <f>SUM(BP152:BP158)</f>
        <v>0</v>
      </c>
      <c r="BQ159" s="9"/>
      <c r="BR159" s="102">
        <f>SUM(BR152:BR158)</f>
        <v>0</v>
      </c>
      <c r="BS159" s="9"/>
      <c r="BT159" s="102">
        <f>SUM(BT152:BT158)</f>
        <v>1025340.2600000001</v>
      </c>
      <c r="BU159" s="9"/>
      <c r="BV159" s="102">
        <f>SUM(BV152:BV158)</f>
        <v>-485340.26000000013</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c r="BD160" s="10"/>
      <c r="BE16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110182.74</v>
      </c>
      <c r="BH162" s="6">
        <v>2761.7</v>
      </c>
      <c r="BJ162" s="6">
        <v>0</v>
      </c>
      <c r="BL162" s="6">
        <v>0</v>
      </c>
      <c r="BM162" s="6"/>
      <c r="BN162" s="6">
        <f>SUM(T162:BM162)</f>
        <v>148430.69</v>
      </c>
      <c r="BO162" s="6"/>
      <c r="BP162" s="6">
        <v>0</v>
      </c>
      <c r="BQ162" s="6"/>
      <c r="BR162" s="6">
        <f>IF(+R162-BN162+BP162&gt;0,R162-BN162+BP162,0)</f>
        <v>0</v>
      </c>
      <c r="BT162" s="6">
        <f>+BN162+BR162</f>
        <v>148430.69</v>
      </c>
      <c r="BV162" s="6">
        <f>+R162-BT162</f>
        <v>-88430.69</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1">+R163-BT163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1"/>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2">SUM(T165:BM165)</f>
        <v>351211</v>
      </c>
      <c r="BO165" s="6"/>
      <c r="BP165" s="6"/>
      <c r="BQ165" s="6"/>
      <c r="BR165" s="6">
        <f t="shared" ref="BR165:BR176" si="43">IF(+R165-BN165+BP165&gt;0,R165-BN165+BP165,0)</f>
        <v>405152</v>
      </c>
      <c r="BT165" s="6">
        <f t="shared" ref="BT165:BT181" si="44">+BN165+BR165</f>
        <v>756363</v>
      </c>
      <c r="BV165" s="6">
        <f t="shared" si="41"/>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2"/>
        <v>0</v>
      </c>
      <c r="BO166" s="6"/>
      <c r="BP166" s="6"/>
      <c r="BQ166" s="6"/>
      <c r="BR166" s="6">
        <f t="shared" si="43"/>
        <v>21072</v>
      </c>
      <c r="BT166" s="6">
        <f t="shared" si="44"/>
        <v>21072</v>
      </c>
      <c r="BV166" s="6">
        <f t="shared" si="41"/>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2"/>
        <v>81598</v>
      </c>
      <c r="BO167" s="6"/>
      <c r="BP167" s="6"/>
      <c r="BQ167" s="6"/>
      <c r="BR167" s="6">
        <f t="shared" si="43"/>
        <v>55118</v>
      </c>
      <c r="BT167" s="6">
        <f t="shared" si="44"/>
        <v>136716</v>
      </c>
      <c r="BV167" s="6">
        <f t="shared" si="41"/>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2"/>
        <v>252072</v>
      </c>
      <c r="BO168" s="6"/>
      <c r="BP168" s="6"/>
      <c r="BQ168" s="6"/>
      <c r="BR168" s="6">
        <f t="shared" si="43"/>
        <v>166834</v>
      </c>
      <c r="BT168" s="6">
        <f t="shared" si="44"/>
        <v>418906</v>
      </c>
      <c r="BV168" s="6">
        <f t="shared" si="41"/>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2"/>
        <v>51071</v>
      </c>
      <c r="BO169" s="6"/>
      <c r="BP169" s="6"/>
      <c r="BQ169" s="6"/>
      <c r="BR169" s="6">
        <f t="shared" si="43"/>
        <v>28947</v>
      </c>
      <c r="BT169" s="6">
        <f t="shared" si="44"/>
        <v>80018</v>
      </c>
      <c r="BV169" s="6">
        <f t="shared" si="41"/>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2"/>
        <v>37032</v>
      </c>
      <c r="BO170" s="6"/>
      <c r="BP170" s="6"/>
      <c r="BQ170" s="6"/>
      <c r="BR170" s="6">
        <f t="shared" si="43"/>
        <v>12997</v>
      </c>
      <c r="BT170" s="6">
        <f t="shared" si="44"/>
        <v>50029</v>
      </c>
      <c r="BV170" s="6">
        <f t="shared" si="41"/>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2"/>
        <v>31121</v>
      </c>
      <c r="BO171" s="6"/>
      <c r="BP171" s="6"/>
      <c r="BQ171" s="6"/>
      <c r="BR171" s="6">
        <f t="shared" si="43"/>
        <v>30636</v>
      </c>
      <c r="BT171" s="6">
        <f t="shared" si="44"/>
        <v>61757</v>
      </c>
      <c r="BV171" s="6">
        <f t="shared" si="41"/>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2"/>
        <v>2847</v>
      </c>
      <c r="BO172" s="6"/>
      <c r="BP172" s="6"/>
      <c r="BQ172" s="6"/>
      <c r="BR172" s="6">
        <f t="shared" si="43"/>
        <v>19115</v>
      </c>
      <c r="BT172" s="6">
        <f t="shared" si="44"/>
        <v>21962</v>
      </c>
      <c r="BV172" s="6">
        <f t="shared" si="41"/>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2"/>
        <v>47960</v>
      </c>
      <c r="BO173" s="6"/>
      <c r="BP173" s="6"/>
      <c r="BQ173" s="6"/>
      <c r="BR173" s="6">
        <f t="shared" si="43"/>
        <v>77553</v>
      </c>
      <c r="BT173" s="6">
        <f t="shared" si="44"/>
        <v>125513</v>
      </c>
      <c r="BV173" s="6">
        <f t="shared" si="41"/>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2"/>
        <v>117954</v>
      </c>
      <c r="BO174" s="6"/>
      <c r="BP174" s="6"/>
      <c r="BQ174" s="6"/>
      <c r="BR174" s="6">
        <f t="shared" si="43"/>
        <v>141176</v>
      </c>
      <c r="BT174" s="6">
        <f t="shared" si="44"/>
        <v>259130</v>
      </c>
      <c r="BV174" s="6">
        <f t="shared" si="41"/>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2"/>
        <v>5812</v>
      </c>
      <c r="BO175" s="6"/>
      <c r="BP175" s="6"/>
      <c r="BQ175" s="6"/>
      <c r="BR175" s="6">
        <f t="shared" si="43"/>
        <v>24690</v>
      </c>
      <c r="BT175" s="6">
        <f t="shared" si="44"/>
        <v>30502</v>
      </c>
      <c r="BV175" s="6">
        <f t="shared" si="41"/>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2"/>
        <v>2067</v>
      </c>
      <c r="BO176" s="6"/>
      <c r="BP176" s="6"/>
      <c r="BQ176" s="6"/>
      <c r="BR176" s="6">
        <f t="shared" si="43"/>
        <v>10856</v>
      </c>
      <c r="BT176" s="6">
        <f t="shared" si="44"/>
        <v>12923</v>
      </c>
      <c r="BV176" s="6">
        <f t="shared" si="41"/>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2"/>
        <v>11684</v>
      </c>
      <c r="BO177" s="6"/>
      <c r="BP177" s="6"/>
      <c r="BQ177" s="6"/>
      <c r="BR177" s="6">
        <f>IF(+R177-BN177+BP177&gt;0,R177-BN177+BP177,0)</f>
        <v>17859</v>
      </c>
      <c r="BT177" s="6">
        <f t="shared" si="44"/>
        <v>29543</v>
      </c>
      <c r="BV177" s="6">
        <f t="shared" si="41"/>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2"/>
        <v>21959</v>
      </c>
      <c r="BO178" s="6"/>
      <c r="BP178" s="6"/>
      <c r="BQ178" s="6"/>
      <c r="BR178" s="6">
        <f>IF(+R178-BN178+BP178&gt;0,R178-BN178+BP178,0)</f>
        <v>9432</v>
      </c>
      <c r="BT178" s="6">
        <f t="shared" si="44"/>
        <v>31391</v>
      </c>
      <c r="BV178" s="6">
        <f t="shared" si="41"/>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2"/>
        <v>14054</v>
      </c>
      <c r="BO179" s="6"/>
      <c r="BP179" s="6"/>
      <c r="BQ179" s="6"/>
      <c r="BR179" s="6">
        <f>IF(+R179-BN179+BP179&gt;0,R179-BN179+BP179,0)</f>
        <v>8183</v>
      </c>
      <c r="BT179" s="6">
        <f t="shared" si="44"/>
        <v>22237</v>
      </c>
      <c r="BV179" s="6">
        <f t="shared" si="41"/>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2"/>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2"/>
        <v>0</v>
      </c>
      <c r="BO181" s="6"/>
      <c r="BP181" s="6">
        <v>1690117</v>
      </c>
      <c r="BQ181" s="6"/>
      <c r="BR181" s="6">
        <f>IF(+R181-BN181+BP181&gt;0,R181-BN181+BP181,0)</f>
        <v>132742</v>
      </c>
      <c r="BT181" s="6">
        <f t="shared" si="44"/>
        <v>132742</v>
      </c>
      <c r="BV181" s="6">
        <f t="shared" si="41"/>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5">SUM(AT162:AT181)</f>
        <v>7500</v>
      </c>
      <c r="AU182" s="102">
        <f t="shared" si="45"/>
        <v>0</v>
      </c>
      <c r="AV182" s="102">
        <f t="shared" si="45"/>
        <v>20486.25</v>
      </c>
      <c r="AW182" s="102">
        <f t="shared" si="45"/>
        <v>0</v>
      </c>
      <c r="AX182" s="102">
        <f t="shared" si="45"/>
        <v>0</v>
      </c>
      <c r="AY182" s="102">
        <f t="shared" si="45"/>
        <v>0</v>
      </c>
      <c r="AZ182" s="102">
        <f t="shared" si="45"/>
        <v>10602.45</v>
      </c>
      <c r="BA182" s="102">
        <f t="shared" si="45"/>
        <v>0</v>
      </c>
      <c r="BB182" s="102">
        <f t="shared" si="45"/>
        <v>2820532.52</v>
      </c>
      <c r="BC182"/>
      <c r="BD182" s="102">
        <f t="shared" si="45"/>
        <v>110182.74</v>
      </c>
      <c r="BE182"/>
      <c r="BF182" s="102">
        <f t="shared" si="45"/>
        <v>0</v>
      </c>
      <c r="BG182" s="102">
        <f t="shared" si="45"/>
        <v>0</v>
      </c>
      <c r="BH182" s="102">
        <f t="shared" si="45"/>
        <v>2761.7</v>
      </c>
      <c r="BI182" s="102">
        <f t="shared" si="45"/>
        <v>0</v>
      </c>
      <c r="BJ182" s="102">
        <f t="shared" si="45"/>
        <v>0</v>
      </c>
      <c r="BK182" s="102">
        <f t="shared" si="45"/>
        <v>0</v>
      </c>
      <c r="BL182" s="102">
        <f t="shared" si="45"/>
        <v>0</v>
      </c>
      <c r="BM182" s="102">
        <f t="shared" si="45"/>
        <v>0</v>
      </c>
      <c r="BN182" s="102">
        <f t="shared" si="45"/>
        <v>2990083.5300000003</v>
      </c>
      <c r="BO182" s="102">
        <f t="shared" si="45"/>
        <v>0</v>
      </c>
      <c r="BP182" s="102">
        <f t="shared" si="45"/>
        <v>1690117</v>
      </c>
      <c r="BQ182" s="102">
        <f t="shared" si="45"/>
        <v>0</v>
      </c>
      <c r="BR182" s="102">
        <f t="shared" si="45"/>
        <v>1849148</v>
      </c>
      <c r="BS182" s="102">
        <f t="shared" si="45"/>
        <v>0</v>
      </c>
      <c r="BT182" s="102">
        <f t="shared" si="45"/>
        <v>4002231.5300000003</v>
      </c>
      <c r="BU182" s="102">
        <f t="shared" si="45"/>
        <v>0</v>
      </c>
      <c r="BV182" s="102">
        <f t="shared" si="45"/>
        <v>-1802231.53</v>
      </c>
      <c r="BW182" s="102">
        <f t="shared" si="45"/>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c r="BD183" s="10"/>
      <c r="BE183"/>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c r="BD184" s="9">
        <v>0</v>
      </c>
      <c r="BE184"/>
      <c r="BF184" s="9">
        <v>0</v>
      </c>
      <c r="BG184" s="9"/>
      <c r="BH184" s="9">
        <v>709845.77</v>
      </c>
      <c r="BI184" s="9"/>
      <c r="BJ184" s="9">
        <v>0</v>
      </c>
      <c r="BK184" s="9"/>
      <c r="BL184" s="9">
        <v>0</v>
      </c>
      <c r="BM184" s="9"/>
      <c r="BN184" s="9">
        <f>SUM(T184:BM184)</f>
        <v>709845.77</v>
      </c>
      <c r="BO184" s="9"/>
      <c r="BP184" s="9">
        <v>0</v>
      </c>
      <c r="BQ184" s="9"/>
      <c r="BR184" s="6">
        <f>IF(+R184-BN184+BP184&gt;0,R184-BN184+BP184,0)</f>
        <v>390154.23</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c r="BD185" s="10"/>
      <c r="BE185"/>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c r="BD186" s="22"/>
      <c r="BE186"/>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c r="BD187" s="22">
        <v>0</v>
      </c>
      <c r="BE187"/>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c r="BD188" s="22">
        <v>457081</v>
      </c>
      <c r="BE188"/>
      <c r="BF188" s="22">
        <v>1233742</v>
      </c>
      <c r="BG188" s="22"/>
      <c r="BH188" s="22">
        <v>0</v>
      </c>
      <c r="BI188" s="22"/>
      <c r="BJ188" s="22">
        <v>0</v>
      </c>
      <c r="BK188" s="22"/>
      <c r="BL188" s="22">
        <v>0</v>
      </c>
      <c r="BM188" s="22"/>
      <c r="BN188" s="22">
        <f>SUM(T188:BM188)</f>
        <v>1690823</v>
      </c>
      <c r="BO188" s="22"/>
      <c r="BP188" s="22">
        <v>0</v>
      </c>
      <c r="BQ188" s="22"/>
      <c r="BR188" s="6">
        <f>IF(+R188-BN188+BP188&gt;0,R188-BN188+BP188,0)</f>
        <v>0</v>
      </c>
      <c r="BS188" s="22"/>
      <c r="BT188" s="6">
        <f>+BN188+BR188</f>
        <v>1690823</v>
      </c>
      <c r="BU188" s="22"/>
      <c r="BV188" s="6">
        <f>+R188-BT188</f>
        <v>-1190823</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c r="BD189" s="22">
        <v>0</v>
      </c>
      <c r="BE189"/>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c r="BD190" s="108">
        <f>SUM(BD187:BD189)</f>
        <v>457081</v>
      </c>
      <c r="BE190"/>
      <c r="BF190" s="108">
        <f>SUM(BF187:BF189)</f>
        <v>1233742</v>
      </c>
      <c r="BG190" s="103"/>
      <c r="BH190" s="108">
        <f>SUM(BH187:BH189)</f>
        <v>0</v>
      </c>
      <c r="BI190" s="103"/>
      <c r="BJ190" s="108">
        <f>SUM(BJ187:BJ189)</f>
        <v>0</v>
      </c>
      <c r="BK190" s="103"/>
      <c r="BL190" s="108">
        <f>SUM(BL187:BL189)</f>
        <v>0</v>
      </c>
      <c r="BM190" s="16"/>
      <c r="BN190" s="108">
        <f>SUM(BN187:BN189)</f>
        <v>1690823</v>
      </c>
      <c r="BO190" s="16"/>
      <c r="BP190" s="108">
        <f>SUM(BP187:BP189)</f>
        <v>0</v>
      </c>
      <c r="BQ190" s="16"/>
      <c r="BR190" s="108">
        <f>SUM(BR187:BR189)</f>
        <v>0</v>
      </c>
      <c r="BS190" s="16"/>
      <c r="BT190" s="108">
        <f>SUM(BT187:BT189)</f>
        <v>1690823</v>
      </c>
      <c r="BU190" s="16"/>
      <c r="BV190" s="108">
        <f>SUM(BV187:BV189)</f>
        <v>-1190823</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c r="BD191" s="103"/>
      <c r="BE191"/>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c r="BD192" s="10">
        <v>0</v>
      </c>
      <c r="BE192"/>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c r="BD193" s="22"/>
      <c r="BE193"/>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c r="BD194" s="10">
        <v>0</v>
      </c>
      <c r="BE194"/>
      <c r="BF194" s="10">
        <v>0</v>
      </c>
      <c r="BG194" s="10"/>
      <c r="BH194" s="10">
        <v>0</v>
      </c>
      <c r="BI194" s="10"/>
      <c r="BJ194" s="10">
        <v>0</v>
      </c>
      <c r="BK194" s="10"/>
      <c r="BL194" s="10">
        <v>0</v>
      </c>
      <c r="BM194" s="10"/>
      <c r="BN194" s="10">
        <f>SUM(T194:BM194)</f>
        <v>112115.35</v>
      </c>
      <c r="BO194" s="10"/>
      <c r="BP194" s="10">
        <v>-87885</v>
      </c>
      <c r="BQ194" s="10"/>
      <c r="BR194" s="6">
        <f>IF(+R194-BN194+BP194&gt;0,R194-BN194+BP194,0)</f>
        <v>0</v>
      </c>
      <c r="BS194" s="10"/>
      <c r="BT194" s="9">
        <f>+BN194+BR194</f>
        <v>112115.35</v>
      </c>
      <c r="BU194" s="10"/>
      <c r="BV194" s="9">
        <f>+R194-BT194</f>
        <v>87884.65</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c r="BD195" s="22"/>
      <c r="BE195"/>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c r="BD197" s="12">
        <v>0</v>
      </c>
      <c r="BE197"/>
      <c r="BF197" s="12">
        <v>0</v>
      </c>
      <c r="BG197" s="12"/>
      <c r="BH197" s="12">
        <v>0</v>
      </c>
      <c r="BI197" s="12"/>
      <c r="BJ197" s="12">
        <v>0</v>
      </c>
      <c r="BK197" s="12"/>
      <c r="BL197" s="12">
        <v>0</v>
      </c>
      <c r="BM197" s="12"/>
      <c r="BN197" s="12">
        <f t="shared" ref="BN197:BN202" si="46">SUM(T197:BM197)</f>
        <v>13179.81</v>
      </c>
      <c r="BO197" s="12"/>
      <c r="BP197" s="12">
        <v>0</v>
      </c>
      <c r="BQ197" s="12"/>
      <c r="BR197" s="6">
        <f t="shared" ref="BR197:BR202" si="47">IF(+R197-BN197+BP197&gt;0,R197-BN197+BP197,0)</f>
        <v>86820.19</v>
      </c>
      <c r="BS197" s="12"/>
      <c r="BT197" s="6">
        <f t="shared" ref="BT197:BT202" si="48">+BN197+BR197</f>
        <v>100000</v>
      </c>
      <c r="BU197" s="12"/>
      <c r="BV197" s="6">
        <f t="shared" ref="BV197:BV202" si="49">+R197-BT197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c r="BD198" s="12">
        <v>0</v>
      </c>
      <c r="BE198"/>
      <c r="BF198" s="12">
        <v>0</v>
      </c>
      <c r="BG198" s="12"/>
      <c r="BH198" s="12">
        <v>0</v>
      </c>
      <c r="BI198" s="12"/>
      <c r="BJ198" s="12">
        <v>0</v>
      </c>
      <c r="BK198" s="12"/>
      <c r="BL198" s="12">
        <v>0</v>
      </c>
      <c r="BM198" s="12"/>
      <c r="BN198" s="12">
        <f t="shared" si="46"/>
        <v>100904.54</v>
      </c>
      <c r="BO198" s="12"/>
      <c r="BP198" s="12">
        <v>0</v>
      </c>
      <c r="BQ198" s="12"/>
      <c r="BR198" s="6">
        <f t="shared" si="47"/>
        <v>49095.460000000006</v>
      </c>
      <c r="BS198" s="12"/>
      <c r="BT198" s="6">
        <f t="shared" si="48"/>
        <v>150000</v>
      </c>
      <c r="BU198" s="12"/>
      <c r="BV198" s="6">
        <f t="shared" si="49"/>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c r="BD199" s="12">
        <v>0</v>
      </c>
      <c r="BE199"/>
      <c r="BF199" s="12">
        <v>0</v>
      </c>
      <c r="BG199" s="12"/>
      <c r="BH199" s="12">
        <v>0</v>
      </c>
      <c r="BI199" s="12"/>
      <c r="BJ199" s="12">
        <v>0</v>
      </c>
      <c r="BK199" s="12"/>
      <c r="BL199" s="12">
        <v>0</v>
      </c>
      <c r="BM199" s="12"/>
      <c r="BN199" s="12">
        <f t="shared" si="46"/>
        <v>17043.53</v>
      </c>
      <c r="BO199" s="12"/>
      <c r="BP199" s="12">
        <v>0</v>
      </c>
      <c r="BQ199" s="12"/>
      <c r="BR199" s="6">
        <f t="shared" si="47"/>
        <v>7191.4700000000012</v>
      </c>
      <c r="BS199" s="12"/>
      <c r="BT199" s="6">
        <f t="shared" si="48"/>
        <v>24235</v>
      </c>
      <c r="BU199" s="12"/>
      <c r="BV199" s="6">
        <f t="shared" si="49"/>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c r="BD200" s="12">
        <v>37080.42</v>
      </c>
      <c r="BE200"/>
      <c r="BF200" s="485">
        <f>89360+43287.29-4983</f>
        <v>127664.29000000001</v>
      </c>
      <c r="BG200" s="12"/>
      <c r="BH200" s="12">
        <v>13668.55</v>
      </c>
      <c r="BI200" s="12"/>
      <c r="BJ200" s="12">
        <v>0</v>
      </c>
      <c r="BK200" s="12"/>
      <c r="BL200" s="12">
        <v>0</v>
      </c>
      <c r="BM200" s="12"/>
      <c r="BN200" s="12">
        <f t="shared" si="46"/>
        <v>578066.96</v>
      </c>
      <c r="BO200" s="12"/>
      <c r="BP200" s="12">
        <v>0</v>
      </c>
      <c r="BQ200" s="12"/>
      <c r="BR200" s="6">
        <f t="shared" si="47"/>
        <v>0</v>
      </c>
      <c r="BS200" s="12"/>
      <c r="BT200" s="6">
        <f t="shared" si="48"/>
        <v>578066.96</v>
      </c>
      <c r="BU200" s="12"/>
      <c r="BV200" s="6">
        <f t="shared" si="49"/>
        <v>-452301.95999999996</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c r="BD201" s="12"/>
      <c r="BE201"/>
      <c r="BF201" s="12"/>
      <c r="BG201" s="12"/>
      <c r="BH201" s="12"/>
      <c r="BI201" s="12"/>
      <c r="BJ201" s="12"/>
      <c r="BK201" s="12"/>
      <c r="BL201" s="12"/>
      <c r="BM201" s="12"/>
      <c r="BN201" s="12">
        <f t="shared" si="46"/>
        <v>191012.90000000002</v>
      </c>
      <c r="BO201" s="12"/>
      <c r="BP201" s="12"/>
      <c r="BQ201" s="12"/>
      <c r="BR201" s="6">
        <f t="shared" si="47"/>
        <v>0</v>
      </c>
      <c r="BS201" s="12"/>
      <c r="BT201" s="6">
        <f t="shared" si="48"/>
        <v>191012.90000000002</v>
      </c>
      <c r="BU201" s="12"/>
      <c r="BV201" s="6">
        <f t="shared" si="49"/>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c r="BD202" s="12"/>
      <c r="BE202"/>
      <c r="BF202" s="12"/>
      <c r="BG202" s="12"/>
      <c r="BH202" s="12"/>
      <c r="BI202" s="12"/>
      <c r="BJ202" s="12"/>
      <c r="BK202" s="12"/>
      <c r="BL202" s="12"/>
      <c r="BM202" s="12"/>
      <c r="BN202" s="12">
        <f t="shared" si="46"/>
        <v>32203.279999999999</v>
      </c>
      <c r="BO202" s="12"/>
      <c r="BP202" s="12">
        <v>0</v>
      </c>
      <c r="BQ202" s="12"/>
      <c r="BR202" s="6">
        <f t="shared" si="47"/>
        <v>0</v>
      </c>
      <c r="BS202" s="12"/>
      <c r="BT202" s="6">
        <f t="shared" si="48"/>
        <v>32203.279999999999</v>
      </c>
      <c r="BU202" s="12"/>
      <c r="BV202" s="6">
        <f t="shared" si="49"/>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50">SUM(R197:R202)</f>
        <v>400000</v>
      </c>
      <c r="S203" s="102">
        <f t="shared" si="50"/>
        <v>0</v>
      </c>
      <c r="T203" s="102">
        <f t="shared" si="50"/>
        <v>0</v>
      </c>
      <c r="U203" s="102">
        <f t="shared" si="50"/>
        <v>0</v>
      </c>
      <c r="V203" s="102">
        <f t="shared" si="50"/>
        <v>0</v>
      </c>
      <c r="W203" s="102">
        <f t="shared" si="50"/>
        <v>0</v>
      </c>
      <c r="X203" s="102">
        <f t="shared" si="50"/>
        <v>0</v>
      </c>
      <c r="Y203" s="102">
        <f t="shared" si="50"/>
        <v>0</v>
      </c>
      <c r="Z203" s="102">
        <f t="shared" si="50"/>
        <v>0</v>
      </c>
      <c r="AA203" s="102">
        <f t="shared" si="50"/>
        <v>0</v>
      </c>
      <c r="AB203" s="102">
        <f t="shared" si="50"/>
        <v>0</v>
      </c>
      <c r="AC203" s="102">
        <f t="shared" si="50"/>
        <v>0</v>
      </c>
      <c r="AD203" s="102">
        <f t="shared" si="50"/>
        <v>0</v>
      </c>
      <c r="AE203" s="102">
        <f t="shared" si="50"/>
        <v>0</v>
      </c>
      <c r="AF203" s="102">
        <f t="shared" si="50"/>
        <v>0</v>
      </c>
      <c r="AG203" s="102">
        <f t="shared" si="50"/>
        <v>0</v>
      </c>
      <c r="AH203" s="102">
        <f t="shared" si="50"/>
        <v>0</v>
      </c>
      <c r="AI203" s="102"/>
      <c r="AJ203" s="102">
        <f t="shared" si="50"/>
        <v>19083.809999999998</v>
      </c>
      <c r="AK203" s="102"/>
      <c r="AL203" s="102">
        <f t="shared" si="50"/>
        <v>118678.91</v>
      </c>
      <c r="AM203" s="102"/>
      <c r="AN203" s="102">
        <f t="shared" si="50"/>
        <v>2410.5100000000002</v>
      </c>
      <c r="AO203" s="102"/>
      <c r="AP203" s="102">
        <f t="shared" si="50"/>
        <v>18873.63</v>
      </c>
      <c r="AQ203" s="102"/>
      <c r="AR203" s="102">
        <f t="shared" si="50"/>
        <v>113219.20999999999</v>
      </c>
      <c r="AS203" s="102">
        <f t="shared" si="50"/>
        <v>0</v>
      </c>
      <c r="AT203" s="102">
        <f t="shared" si="50"/>
        <v>153337.04</v>
      </c>
      <c r="AU203" s="102">
        <f t="shared" si="50"/>
        <v>0</v>
      </c>
      <c r="AV203" s="102">
        <f t="shared" si="50"/>
        <v>89747.48</v>
      </c>
      <c r="AW203" s="102">
        <f t="shared" si="50"/>
        <v>0</v>
      </c>
      <c r="AX203" s="102">
        <f t="shared" si="50"/>
        <v>29396.86</v>
      </c>
      <c r="AY203" s="102">
        <f t="shared" si="50"/>
        <v>0</v>
      </c>
      <c r="AZ203" s="102">
        <f t="shared" si="50"/>
        <v>44082.48</v>
      </c>
      <c r="BA203" s="102">
        <f t="shared" si="50"/>
        <v>0</v>
      </c>
      <c r="BB203" s="102">
        <f t="shared" si="50"/>
        <v>165167.82999999999</v>
      </c>
      <c r="BC203"/>
      <c r="BD203" s="102">
        <f t="shared" si="50"/>
        <v>37080.42</v>
      </c>
      <c r="BE203"/>
      <c r="BF203" s="102">
        <f t="shared" si="50"/>
        <v>127664.29000000001</v>
      </c>
      <c r="BG203" s="102">
        <f t="shared" si="50"/>
        <v>0</v>
      </c>
      <c r="BH203" s="102">
        <f t="shared" si="50"/>
        <v>13668.55</v>
      </c>
      <c r="BI203" s="102">
        <f t="shared" si="50"/>
        <v>0</v>
      </c>
      <c r="BJ203" s="102">
        <f t="shared" si="50"/>
        <v>0</v>
      </c>
      <c r="BK203" s="102">
        <f t="shared" si="50"/>
        <v>0</v>
      </c>
      <c r="BL203" s="102">
        <f t="shared" si="50"/>
        <v>0</v>
      </c>
      <c r="BM203" s="102">
        <f t="shared" si="50"/>
        <v>0</v>
      </c>
      <c r="BN203" s="108">
        <f t="shared" si="50"/>
        <v>932411.02</v>
      </c>
      <c r="BO203" s="102">
        <f t="shared" si="50"/>
        <v>0</v>
      </c>
      <c r="BP203" s="102">
        <f t="shared" si="50"/>
        <v>0</v>
      </c>
      <c r="BQ203" s="102">
        <f t="shared" si="50"/>
        <v>0</v>
      </c>
      <c r="BR203" s="102">
        <f t="shared" si="50"/>
        <v>143107.12000000002</v>
      </c>
      <c r="BS203" s="102">
        <f t="shared" si="50"/>
        <v>0</v>
      </c>
      <c r="BT203" s="102">
        <f t="shared" si="50"/>
        <v>1075518.1399999999</v>
      </c>
      <c r="BU203" s="102">
        <f t="shared" si="50"/>
        <v>0</v>
      </c>
      <c r="BV203" s="102">
        <f t="shared" si="50"/>
        <v>-675518.14</v>
      </c>
      <c r="BW203" s="102">
        <f t="shared" si="50"/>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c r="BD204" s="10"/>
      <c r="BE204"/>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485"/>
      <c r="AK206" s="12"/>
      <c r="AL206" s="12">
        <v>14302.18</v>
      </c>
      <c r="AM206" s="12"/>
      <c r="AN206" s="12">
        <v>13885.7</v>
      </c>
      <c r="AO206" s="12"/>
      <c r="AP206" s="12">
        <v>27414.720000000001</v>
      </c>
      <c r="AQ206" s="12"/>
      <c r="AR206" s="12">
        <v>13907.58</v>
      </c>
      <c r="AS206" s="12"/>
      <c r="AT206" s="485"/>
      <c r="AU206" s="12"/>
      <c r="AV206" s="12">
        <v>0</v>
      </c>
      <c r="AW206" s="12"/>
      <c r="AX206" s="12">
        <v>0</v>
      </c>
      <c r="AY206" s="12"/>
      <c r="AZ206" s="12">
        <v>0</v>
      </c>
      <c r="BA206" s="12"/>
      <c r="BB206" s="12">
        <v>0</v>
      </c>
      <c r="BC206"/>
      <c r="BD206" s="12">
        <v>0</v>
      </c>
      <c r="BE206"/>
      <c r="BF206" s="12">
        <f>15772.76+105510.2+116272.26</f>
        <v>237555.21999999997</v>
      </c>
      <c r="BG206" s="12"/>
      <c r="BH206" s="12">
        <v>0</v>
      </c>
      <c r="BI206" s="12"/>
      <c r="BJ206" s="12">
        <v>0</v>
      </c>
      <c r="BK206" s="12"/>
      <c r="BL206" s="12">
        <v>0</v>
      </c>
      <c r="BM206" s="12"/>
      <c r="BN206" s="12">
        <f>SUM(T206:BM206)</f>
        <v>307065.39999999997</v>
      </c>
      <c r="BO206" s="12"/>
      <c r="BP206" s="12">
        <v>0</v>
      </c>
      <c r="BQ206" s="12"/>
      <c r="BR206" s="6">
        <f>IF(+R206-BN206+BP206&gt;0,R206-BN206+BP206,0)</f>
        <v>192934.60000000003</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c r="BD207" s="12">
        <v>0</v>
      </c>
      <c r="BE207"/>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c r="BD208" s="12"/>
      <c r="BE208"/>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0</v>
      </c>
      <c r="AK209" s="9"/>
      <c r="AL209" s="102">
        <f>SUM(AL206:AL208)</f>
        <v>14302.18</v>
      </c>
      <c r="AM209" s="102"/>
      <c r="AN209" s="102">
        <f>SUM(AN206:AN208)</f>
        <v>13885.7</v>
      </c>
      <c r="AO209" s="9"/>
      <c r="AP209" s="102">
        <f>SUM(AP206:AP208)</f>
        <v>27414.720000000001</v>
      </c>
      <c r="AQ209" s="9"/>
      <c r="AR209" s="102">
        <f>SUM(AR206:AR208)</f>
        <v>13907.58</v>
      </c>
      <c r="AS209" s="9"/>
      <c r="AT209" s="102">
        <f>SUM(AT206:AT208)</f>
        <v>252208.46000000002</v>
      </c>
      <c r="AU209" s="9"/>
      <c r="AV209" s="102">
        <f>SUM(AV206:AV208)</f>
        <v>0</v>
      </c>
      <c r="AW209" s="10"/>
      <c r="AX209" s="102">
        <f>SUM(AX206:AX208)</f>
        <v>0</v>
      </c>
      <c r="AY209" s="10"/>
      <c r="AZ209" s="102">
        <f>SUM(AZ206:AZ208)</f>
        <v>0</v>
      </c>
      <c r="BA209" s="10"/>
      <c r="BB209" s="102">
        <f>SUM(BB206:BB208)</f>
        <v>0</v>
      </c>
      <c r="BC209"/>
      <c r="BD209" s="102">
        <f>SUM(BD206:BD208)</f>
        <v>0</v>
      </c>
      <c r="BE209"/>
      <c r="BF209" s="102">
        <f>SUM(BF206:BF208)</f>
        <v>237555.21999999997</v>
      </c>
      <c r="BG209" s="10"/>
      <c r="BH209" s="102">
        <f>SUM(BH206:BH208)</f>
        <v>0</v>
      </c>
      <c r="BI209" s="10"/>
      <c r="BJ209" s="102">
        <f>SUM(BJ206:BJ208)</f>
        <v>0</v>
      </c>
      <c r="BK209" s="10"/>
      <c r="BL209" s="102">
        <f>SUM(BL206:BL208)</f>
        <v>0</v>
      </c>
      <c r="BM209" s="9"/>
      <c r="BN209" s="108">
        <f>SUM(BN206:BN208)</f>
        <v>559273.86</v>
      </c>
      <c r="BO209" s="9"/>
      <c r="BP209" s="102">
        <f>SUM(BP206:BP208)</f>
        <v>0</v>
      </c>
      <c r="BQ209" s="9"/>
      <c r="BR209" s="102">
        <f>SUM(BR206:BR208)</f>
        <v>192934.60000000003</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c r="BD210" s="10"/>
      <c r="BE2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[1]Gleason!$M$40</f>
        <v>505668.93</v>
      </c>
      <c r="AO211" s="10"/>
      <c r="AP211" s="10">
        <f>[1]Gleason!$N$40</f>
        <v>517447.92267638887</v>
      </c>
      <c r="AQ211" s="10"/>
      <c r="AR211" s="10">
        <f>[1]Gleason!$O$40</f>
        <v>557933.42322977481</v>
      </c>
      <c r="AS211" s="10"/>
      <c r="AT211" s="10">
        <f>[1]Gleason!$P$40</f>
        <v>574337.94527365838</v>
      </c>
      <c r="AU211" s="10"/>
      <c r="AV211" s="10">
        <f>[1]Gleason!$Q$40</f>
        <v>616751.79694111284</v>
      </c>
      <c r="AW211" s="10"/>
      <c r="AX211" s="10">
        <f>[1]Gleason!$R$40</f>
        <v>657673.00806343276</v>
      </c>
      <c r="AY211" s="10"/>
      <c r="AZ211" s="10">
        <f>[1]Gleason!$S$40</f>
        <v>719263.87615433196</v>
      </c>
      <c r="BA211" s="10"/>
      <c r="BB211" s="80">
        <v>785204.91003593185</v>
      </c>
      <c r="BC211"/>
      <c r="BD211" s="10">
        <v>806550</v>
      </c>
      <c r="BE211"/>
      <c r="BF211" s="10">
        <f>[1]Gleason!$V$40-6077-71</f>
        <v>590762.34129285498</v>
      </c>
      <c r="BG211" s="10"/>
      <c r="BH211" s="10">
        <v>0</v>
      </c>
      <c r="BI211" s="10"/>
      <c r="BJ211" s="10">
        <v>0</v>
      </c>
      <c r="BK211" s="10"/>
      <c r="BL211" s="10">
        <v>0</v>
      </c>
      <c r="BM211" s="10"/>
      <c r="BN211" s="10">
        <f>SUM(T211:BM211)</f>
        <v>10664534.153667485</v>
      </c>
      <c r="BO211" s="10"/>
      <c r="BP211" s="10"/>
      <c r="BQ211" s="10"/>
      <c r="BR211" s="6"/>
      <c r="BS211" s="10"/>
      <c r="BT211" s="9">
        <f>+BN211+BR211</f>
        <v>10664534.153667485</v>
      </c>
      <c r="BU211" s="10"/>
      <c r="BV211" s="9">
        <f>+R211-BT211</f>
        <v>675509.84633251466</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c r="BD212" s="10"/>
      <c r="BE212"/>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1">R211+R203+R194+R192+R190+R184+R159+R149+R142+R140+R138+R136+R134+R209</f>
        <v>17979878</v>
      </c>
      <c r="S213" s="120">
        <f t="shared" si="51"/>
        <v>0</v>
      </c>
      <c r="T213" s="120">
        <f t="shared" si="51"/>
        <v>0</v>
      </c>
      <c r="U213" s="120">
        <f t="shared" si="51"/>
        <v>0</v>
      </c>
      <c r="V213" s="120">
        <f t="shared" si="51"/>
        <v>0</v>
      </c>
      <c r="W213" s="120">
        <f t="shared" si="51"/>
        <v>0</v>
      </c>
      <c r="X213" s="120">
        <f t="shared" si="51"/>
        <v>0</v>
      </c>
      <c r="Y213" s="120">
        <f t="shared" si="51"/>
        <v>0</v>
      </c>
      <c r="Z213" s="120">
        <f t="shared" si="51"/>
        <v>0</v>
      </c>
      <c r="AA213" s="120">
        <f t="shared" si="51"/>
        <v>0</v>
      </c>
      <c r="AB213" s="120">
        <f t="shared" si="51"/>
        <v>0</v>
      </c>
      <c r="AC213" s="120">
        <f t="shared" si="51"/>
        <v>0</v>
      </c>
      <c r="AD213" s="120">
        <f t="shared" si="51"/>
        <v>0</v>
      </c>
      <c r="AE213" s="120">
        <f t="shared" si="51"/>
        <v>0</v>
      </c>
      <c r="AF213" s="120">
        <f t="shared" si="51"/>
        <v>0</v>
      </c>
      <c r="AG213" s="120">
        <f t="shared" si="51"/>
        <v>0</v>
      </c>
      <c r="AH213" s="120">
        <f t="shared" si="51"/>
        <v>0</v>
      </c>
      <c r="AI213" s="120"/>
      <c r="AJ213" s="120">
        <f>AJ211+AJ203+AJ194+AJ192+AJ190+AJ184+AJ159+AJ149+AJ142+AJ140+AJ138+AJ136+AJ134+AJ209</f>
        <v>19083.809999999998</v>
      </c>
      <c r="AK213" s="120"/>
      <c r="AL213" s="120">
        <f>AL211+AL203+AL194+AL192+AL190+AL184+AL159+AL149+AL142+AL140+AL138+AL136+AL134+AL209</f>
        <v>4956551.49</v>
      </c>
      <c r="AM213" s="120"/>
      <c r="AN213" s="120">
        <f>AN211+AN203+AN194+AN192+AN190+AN184+AN159+AN149+AN142+AN140+AN138+AN136+AN134+AN209</f>
        <v>715387.53999999992</v>
      </c>
      <c r="AO213" s="120"/>
      <c r="AP213" s="120">
        <f>AP211+AP203+AP194+AP192+AP190+AP184+AP159+AP149+AP142+AP140+AP138+AP136+AP134+AP209</f>
        <v>563736.27267638885</v>
      </c>
      <c r="AQ213" s="120"/>
      <c r="AR213" s="120">
        <f t="shared" ref="AR213:BU213" si="52">AR211+AR203+AR194+AR192+AR190+AR184+AR159+AR149+AR142+AR140+AR138+AR136+AR134+AR209</f>
        <v>949916.53322977468</v>
      </c>
      <c r="AS213" s="120">
        <f t="shared" si="52"/>
        <v>0</v>
      </c>
      <c r="AT213" s="120">
        <f t="shared" si="52"/>
        <v>1180818.6952736585</v>
      </c>
      <c r="AU213" s="120">
        <f t="shared" si="52"/>
        <v>0</v>
      </c>
      <c r="AV213" s="120">
        <f t="shared" si="52"/>
        <v>760946.3569411129</v>
      </c>
      <c r="AW213" s="120">
        <f t="shared" si="52"/>
        <v>0</v>
      </c>
      <c r="AX213" s="120">
        <f t="shared" si="52"/>
        <v>797859.40806343278</v>
      </c>
      <c r="AY213" s="120">
        <f t="shared" si="52"/>
        <v>0</v>
      </c>
      <c r="AZ213" s="120">
        <f t="shared" si="52"/>
        <v>1071160.446154332</v>
      </c>
      <c r="BA213" s="120">
        <f t="shared" si="52"/>
        <v>0</v>
      </c>
      <c r="BB213" s="120">
        <f t="shared" si="52"/>
        <v>1141447.0200359318</v>
      </c>
      <c r="BC213"/>
      <c r="BD213" s="120">
        <f t="shared" si="52"/>
        <v>1590625.8399999999</v>
      </c>
      <c r="BE213"/>
      <c r="BF213" s="120">
        <f t="shared" si="52"/>
        <v>2600984.0512928553</v>
      </c>
      <c r="BG213" s="120">
        <f t="shared" si="52"/>
        <v>0</v>
      </c>
      <c r="BH213" s="120">
        <f t="shared" si="52"/>
        <v>865756.67000000016</v>
      </c>
      <c r="BI213" s="120">
        <f t="shared" si="52"/>
        <v>0</v>
      </c>
      <c r="BJ213" s="120">
        <f t="shared" si="52"/>
        <v>0</v>
      </c>
      <c r="BK213" s="120">
        <f t="shared" si="52"/>
        <v>0</v>
      </c>
      <c r="BL213" s="120">
        <f t="shared" si="52"/>
        <v>0</v>
      </c>
      <c r="BM213" s="120">
        <f t="shared" si="52"/>
        <v>0</v>
      </c>
      <c r="BN213" s="120">
        <f t="shared" si="52"/>
        <v>17214274.133667484</v>
      </c>
      <c r="BO213" s="120">
        <f t="shared" si="52"/>
        <v>0</v>
      </c>
      <c r="BP213" s="120">
        <f t="shared" si="52"/>
        <v>-87885</v>
      </c>
      <c r="BQ213" s="120">
        <f t="shared" si="52"/>
        <v>0</v>
      </c>
      <c r="BR213" s="120">
        <f>BR211+BR203+BR194+BR192+BR190+BR184+BR159+BR149+BR142+BR140+BR138+BR136+BR134+BR209</f>
        <v>2767528.8200000003</v>
      </c>
      <c r="BS213" s="120">
        <f t="shared" si="52"/>
        <v>0</v>
      </c>
      <c r="BT213" s="120">
        <f t="shared" si="52"/>
        <v>19981802.953667488</v>
      </c>
      <c r="BU213" s="120">
        <f t="shared" si="52"/>
        <v>0</v>
      </c>
      <c r="BV213" s="120">
        <f>BV211+BV203+BV194+BV192+BV190+BV184+BV159+BV149+BV142+BV140+BV138+BV136+BV134+BV209+BV182</f>
        <v>-3804156.4836674854</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c r="BD214" s="10"/>
      <c r="BE214"/>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c r="BD215" s="9"/>
      <c r="BE215"/>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c r="BD216" s="9"/>
      <c r="BE216"/>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c r="BD217" s="10"/>
      <c r="BE217"/>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c r="BD218" s="10"/>
      <c r="BE218"/>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3">R37+R107+R97+R182+R112+R213+R215+R217</f>
        <v>170575010</v>
      </c>
      <c r="S219" s="168">
        <f t="shared" si="53"/>
        <v>0</v>
      </c>
      <c r="T219" s="168">
        <f t="shared" si="53"/>
        <v>0</v>
      </c>
      <c r="U219" s="168">
        <f t="shared" si="53"/>
        <v>0</v>
      </c>
      <c r="V219" s="168">
        <f t="shared" si="53"/>
        <v>0</v>
      </c>
      <c r="W219" s="168">
        <f t="shared" si="53"/>
        <v>0</v>
      </c>
      <c r="X219" s="168">
        <f t="shared" si="53"/>
        <v>0</v>
      </c>
      <c r="Y219" s="168">
        <f t="shared" si="53"/>
        <v>0</v>
      </c>
      <c r="Z219" s="168">
        <f t="shared" si="53"/>
        <v>0</v>
      </c>
      <c r="AA219" s="168">
        <f t="shared" si="53"/>
        <v>0</v>
      </c>
      <c r="AB219" s="168">
        <f t="shared" si="53"/>
        <v>0</v>
      </c>
      <c r="AC219" s="168">
        <f t="shared" si="53"/>
        <v>0</v>
      </c>
      <c r="AD219" s="168">
        <f t="shared" si="53"/>
        <v>0</v>
      </c>
      <c r="AE219" s="168">
        <f t="shared" si="53"/>
        <v>0</v>
      </c>
      <c r="AF219" s="168">
        <f t="shared" si="53"/>
        <v>0</v>
      </c>
      <c r="AG219" s="168">
        <f t="shared" si="53"/>
        <v>0</v>
      </c>
      <c r="AH219" s="168">
        <f t="shared" si="53"/>
        <v>0</v>
      </c>
      <c r="AI219" s="168"/>
      <c r="AJ219" s="168">
        <f>AJ37+AJ107+AJ97+AJ182+AJ112+AJ213+AJ215+AJ217</f>
        <v>19083.809999999998</v>
      </c>
      <c r="AK219" s="168"/>
      <c r="AL219" s="168">
        <f>AL37+AL107+AL97+AL182+AL112+AL213+AL215+AL217</f>
        <v>93152637.489999995</v>
      </c>
      <c r="AM219" s="168"/>
      <c r="AN219" s="168">
        <f>AN37+AN107+AN97+AN182+AN112+AN213+AN215+AN217</f>
        <v>715387.53999999992</v>
      </c>
      <c r="AO219" s="168"/>
      <c r="AP219" s="168">
        <f>AP37+AP107+AP97+AP182+AP112+AP213+AP215+AP217</f>
        <v>2178269.8126763888</v>
      </c>
      <c r="AQ219" s="168"/>
      <c r="AR219" s="168">
        <f t="shared" ref="AR219:BU219" si="54">AR37+AR107+AR97+AR182+AR112+AR213+AR215+AR217</f>
        <v>7520808.7532297745</v>
      </c>
      <c r="AS219" s="168">
        <f t="shared" si="54"/>
        <v>0</v>
      </c>
      <c r="AT219" s="168">
        <f t="shared" si="54"/>
        <v>3026267.3252736586</v>
      </c>
      <c r="AU219" s="168">
        <f t="shared" si="54"/>
        <v>0</v>
      </c>
      <c r="AV219" s="168">
        <f t="shared" si="54"/>
        <v>8287387.2469411138</v>
      </c>
      <c r="AW219" s="168">
        <f t="shared" si="54"/>
        <v>0</v>
      </c>
      <c r="AX219" s="168">
        <f t="shared" si="54"/>
        <v>7624290.748063433</v>
      </c>
      <c r="AY219" s="168">
        <f t="shared" si="54"/>
        <v>0</v>
      </c>
      <c r="AZ219" s="168">
        <f t="shared" si="54"/>
        <v>11403531.226154331</v>
      </c>
      <c r="BA219" s="168">
        <f t="shared" si="54"/>
        <v>0</v>
      </c>
      <c r="BB219" s="168">
        <f t="shared" si="54"/>
        <v>12239663.540035931</v>
      </c>
      <c r="BC219"/>
      <c r="BD219" s="168">
        <f t="shared" si="54"/>
        <v>4338595.0600000005</v>
      </c>
      <c r="BE219"/>
      <c r="BF219" s="168">
        <f t="shared" si="54"/>
        <v>17589125.581292856</v>
      </c>
      <c r="BG219" s="168">
        <f t="shared" si="54"/>
        <v>0</v>
      </c>
      <c r="BH219" s="168">
        <f t="shared" si="54"/>
        <v>2171448.37</v>
      </c>
      <c r="BI219" s="168">
        <f t="shared" si="54"/>
        <v>0</v>
      </c>
      <c r="BJ219" s="168">
        <f t="shared" si="54"/>
        <v>0</v>
      </c>
      <c r="BK219" s="168">
        <f t="shared" si="54"/>
        <v>0</v>
      </c>
      <c r="BL219" s="168">
        <f t="shared" si="54"/>
        <v>0</v>
      </c>
      <c r="BM219" s="168">
        <f t="shared" si="54"/>
        <v>0</v>
      </c>
      <c r="BN219" s="168">
        <f t="shared" si="54"/>
        <v>170266496.50366747</v>
      </c>
      <c r="BO219" s="168">
        <f t="shared" si="54"/>
        <v>0</v>
      </c>
      <c r="BP219" s="168">
        <f t="shared" si="54"/>
        <v>2688770</v>
      </c>
      <c r="BQ219" s="168">
        <f t="shared" si="54"/>
        <v>2030320</v>
      </c>
      <c r="BR219" s="168">
        <f>BR37+BR107+BR97+BR182+BR112+BR213+BR215+BR217</f>
        <v>8492133.0299999975</v>
      </c>
      <c r="BS219" s="168">
        <f t="shared" si="54"/>
        <v>2030320</v>
      </c>
      <c r="BT219" s="168">
        <f t="shared" si="54"/>
        <v>177921629.5336675</v>
      </c>
      <c r="BU219" s="168">
        <f t="shared" si="54"/>
        <v>2030320</v>
      </c>
      <c r="BV219" s="168">
        <f>R219-BT219</f>
        <v>-7346619.5336675048</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c r="BD220" s="10"/>
      <c r="BE220"/>
      <c r="BF220" s="10"/>
      <c r="BG220" s="10"/>
      <c r="BH220" s="10"/>
      <c r="BI220" s="10"/>
      <c r="BJ220" s="10"/>
      <c r="BK220" s="10"/>
      <c r="BL220" s="10"/>
      <c r="BM220" s="9"/>
      <c r="BN220" s="10"/>
      <c r="BO220" s="9"/>
      <c r="BP220" s="10"/>
      <c r="BQ220" s="9"/>
      <c r="BR220" s="483"/>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c r="BD221" s="10"/>
      <c r="BE221"/>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c r="BD222" s="10">
        <v>35</v>
      </c>
      <c r="BE222"/>
      <c r="BF222" s="10">
        <v>198.51</v>
      </c>
      <c r="BG222" s="10"/>
      <c r="BH222" s="10"/>
      <c r="BI222" s="10"/>
      <c r="BJ222" s="10"/>
      <c r="BK222" s="10"/>
      <c r="BL222" s="10"/>
      <c r="BM222" s="9"/>
      <c r="BN222" s="10">
        <f>SUM(T222:BM222)</f>
        <v>-1901.49</v>
      </c>
      <c r="BO222" s="9"/>
      <c r="BP222" s="10"/>
      <c r="BQ222" s="9"/>
      <c r="BR222" s="10">
        <v>0</v>
      </c>
      <c r="BS222" s="9"/>
      <c r="BT222" s="9">
        <f>+BN222+BR222</f>
        <v>-1901.49</v>
      </c>
      <c r="BU222" s="9"/>
      <c r="BV222" s="6">
        <f>+R222-BT222</f>
        <v>1901.49</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c r="BD223" s="10"/>
      <c r="BE223"/>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c r="BD224" s="10"/>
      <c r="BE224"/>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5" thickBot="1">
      <c r="A225" s="162" t="s">
        <v>557</v>
      </c>
      <c r="B225" s="460"/>
      <c r="L225" s="462"/>
      <c r="M225" s="463"/>
      <c r="N225" s="464"/>
      <c r="O225" s="463"/>
      <c r="P225" s="464"/>
      <c r="Q225" s="463"/>
      <c r="R225" s="465">
        <f t="shared" ref="R225:BW225" si="55">R219+R222</f>
        <v>170575010</v>
      </c>
      <c r="S225" s="465">
        <f t="shared" si="55"/>
        <v>0</v>
      </c>
      <c r="T225" s="465">
        <f t="shared" si="55"/>
        <v>0</v>
      </c>
      <c r="U225" s="465">
        <f t="shared" si="55"/>
        <v>0</v>
      </c>
      <c r="V225" s="465">
        <f t="shared" si="55"/>
        <v>0</v>
      </c>
      <c r="W225" s="465">
        <f t="shared" si="55"/>
        <v>0</v>
      </c>
      <c r="X225" s="465">
        <f t="shared" si="55"/>
        <v>0</v>
      </c>
      <c r="Y225" s="465">
        <f t="shared" si="55"/>
        <v>0</v>
      </c>
      <c r="Z225" s="465">
        <f t="shared" si="55"/>
        <v>0</v>
      </c>
      <c r="AA225" s="465">
        <f t="shared" si="55"/>
        <v>0</v>
      </c>
      <c r="AB225" s="465">
        <f t="shared" si="55"/>
        <v>0</v>
      </c>
      <c r="AC225" s="465">
        <f t="shared" si="55"/>
        <v>0</v>
      </c>
      <c r="AD225" s="465">
        <f t="shared" si="55"/>
        <v>0</v>
      </c>
      <c r="AE225" s="465">
        <f t="shared" si="55"/>
        <v>0</v>
      </c>
      <c r="AF225" s="465">
        <f t="shared" si="55"/>
        <v>0</v>
      </c>
      <c r="AG225" s="465">
        <f t="shared" si="55"/>
        <v>0</v>
      </c>
      <c r="AH225" s="465">
        <f t="shared" si="55"/>
        <v>0</v>
      </c>
      <c r="AI225" s="465"/>
      <c r="AJ225" s="465">
        <f t="shared" si="55"/>
        <v>19083.809999999998</v>
      </c>
      <c r="AK225" s="465"/>
      <c r="AL225" s="465">
        <f t="shared" si="55"/>
        <v>93152637.489999995</v>
      </c>
      <c r="AM225" s="465"/>
      <c r="AN225" s="465">
        <f t="shared" si="55"/>
        <v>715387.53999999992</v>
      </c>
      <c r="AO225" s="465"/>
      <c r="AP225" s="465">
        <f t="shared" si="55"/>
        <v>2178269.8126763888</v>
      </c>
      <c r="AQ225" s="465"/>
      <c r="AR225" s="465">
        <f t="shared" si="55"/>
        <v>7520773.7532297745</v>
      </c>
      <c r="AS225" s="465">
        <f t="shared" si="55"/>
        <v>0</v>
      </c>
      <c r="AT225" s="465">
        <f t="shared" si="55"/>
        <v>3024167.3252736586</v>
      </c>
      <c r="AU225" s="465">
        <f t="shared" si="55"/>
        <v>0</v>
      </c>
      <c r="AV225" s="465">
        <f t="shared" si="55"/>
        <v>8287387.2469411138</v>
      </c>
      <c r="AW225" s="465">
        <f t="shared" si="55"/>
        <v>0</v>
      </c>
      <c r="AX225" s="465">
        <f t="shared" si="55"/>
        <v>7624290.748063433</v>
      </c>
      <c r="AY225" s="465">
        <f t="shared" si="55"/>
        <v>0</v>
      </c>
      <c r="AZ225" s="465">
        <f t="shared" si="55"/>
        <v>11403531.226154331</v>
      </c>
      <c r="BA225" s="465">
        <f t="shared" si="55"/>
        <v>0</v>
      </c>
      <c r="BB225" s="465">
        <f t="shared" si="55"/>
        <v>12239663.540035931</v>
      </c>
      <c r="BC225"/>
      <c r="BD225" s="465">
        <f t="shared" si="55"/>
        <v>4338630.0600000005</v>
      </c>
      <c r="BE225"/>
      <c r="BF225" s="465">
        <f t="shared" si="55"/>
        <v>17589324.091292858</v>
      </c>
      <c r="BG225" s="465">
        <f t="shared" si="55"/>
        <v>0</v>
      </c>
      <c r="BH225" s="465">
        <f t="shared" si="55"/>
        <v>2171448.37</v>
      </c>
      <c r="BI225" s="465">
        <f t="shared" si="55"/>
        <v>0</v>
      </c>
      <c r="BJ225" s="465">
        <f t="shared" si="55"/>
        <v>0</v>
      </c>
      <c r="BK225" s="465">
        <f t="shared" si="55"/>
        <v>0</v>
      </c>
      <c r="BL225" s="465">
        <f t="shared" si="55"/>
        <v>0</v>
      </c>
      <c r="BM225" s="465">
        <f t="shared" si="55"/>
        <v>0</v>
      </c>
      <c r="BN225" s="465">
        <f t="shared" si="55"/>
        <v>170264595.01366746</v>
      </c>
      <c r="BO225" s="465">
        <f t="shared" si="55"/>
        <v>0</v>
      </c>
      <c r="BP225" s="465">
        <f t="shared" si="55"/>
        <v>2688770</v>
      </c>
      <c r="BQ225" s="465">
        <f t="shared" si="55"/>
        <v>2030320</v>
      </c>
      <c r="BR225" s="465">
        <f t="shared" si="55"/>
        <v>8492133.0299999975</v>
      </c>
      <c r="BS225" s="465">
        <f t="shared" si="55"/>
        <v>2030320</v>
      </c>
      <c r="BT225" s="465">
        <f t="shared" si="55"/>
        <v>177919728.0436675</v>
      </c>
      <c r="BU225" s="465">
        <f t="shared" si="55"/>
        <v>2030320</v>
      </c>
      <c r="BV225" s="465">
        <f>BV219+BV222</f>
        <v>-7344718.0436675046</v>
      </c>
      <c r="BW225" s="465">
        <f t="shared" si="55"/>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c r="BD226" s="10"/>
      <c r="BE226"/>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7" t="s">
        <v>555</v>
      </c>
      <c r="BN228" s="368"/>
    </row>
    <row r="229" spans="1:124" customFormat="1">
      <c r="A229" s="56" t="s">
        <v>288</v>
      </c>
      <c r="BN229" s="368"/>
    </row>
    <row r="230" spans="1:124" customFormat="1">
      <c r="A230" s="58"/>
      <c r="B230" t="s">
        <v>79</v>
      </c>
      <c r="BB230" s="35">
        <v>200000</v>
      </c>
      <c r="BD230">
        <v>685000</v>
      </c>
      <c r="BN230" s="10">
        <f>SUM(T230:BM230)</f>
        <v>885000</v>
      </c>
    </row>
    <row r="231" spans="1:124" customFormat="1">
      <c r="B231" t="s">
        <v>558</v>
      </c>
      <c r="L231" s="49">
        <v>43950</v>
      </c>
      <c r="R231" s="35">
        <v>25518545</v>
      </c>
      <c r="BB231" s="35">
        <f>10308.53+62748.66</f>
        <v>73057.19</v>
      </c>
      <c r="BD231" s="35">
        <v>0</v>
      </c>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D234" s="35">
        <f t="shared" ref="BD234:BW234" si="56">SUM(BD230:BD233)</f>
        <v>685000</v>
      </c>
      <c r="BF234" s="35">
        <f t="shared" si="56"/>
        <v>0</v>
      </c>
      <c r="BG234" s="35">
        <f t="shared" si="56"/>
        <v>0</v>
      </c>
      <c r="BH234" s="35">
        <f t="shared" si="56"/>
        <v>0</v>
      </c>
      <c r="BI234" s="35">
        <f t="shared" si="56"/>
        <v>0</v>
      </c>
      <c r="BJ234" s="35">
        <f t="shared" si="56"/>
        <v>0</v>
      </c>
      <c r="BK234" s="35">
        <f t="shared" si="56"/>
        <v>0</v>
      </c>
      <c r="BL234" s="35">
        <f t="shared" si="56"/>
        <v>0</v>
      </c>
      <c r="BM234" s="35">
        <f t="shared" si="56"/>
        <v>0</v>
      </c>
      <c r="BN234" s="35">
        <f t="shared" si="56"/>
        <v>983513.3899999999</v>
      </c>
      <c r="BO234" s="35">
        <f t="shared" si="56"/>
        <v>0</v>
      </c>
      <c r="BP234" s="35">
        <f t="shared" si="56"/>
        <v>0</v>
      </c>
      <c r="BQ234" s="35">
        <f t="shared" si="56"/>
        <v>0</v>
      </c>
      <c r="BR234" s="35">
        <f t="shared" si="56"/>
        <v>26528129.609999999</v>
      </c>
      <c r="BS234" s="35">
        <f t="shared" si="56"/>
        <v>0</v>
      </c>
      <c r="BT234" s="35">
        <f t="shared" si="56"/>
        <v>26626643</v>
      </c>
      <c r="BU234" s="35">
        <f t="shared" si="56"/>
        <v>0</v>
      </c>
      <c r="BV234" s="35">
        <f t="shared" si="56"/>
        <v>0</v>
      </c>
      <c r="BW234" s="35">
        <f t="shared" si="56"/>
        <v>0</v>
      </c>
      <c r="BX234" s="35"/>
      <c r="BY234" s="35"/>
      <c r="BZ234" s="35"/>
      <c r="CA234" s="35"/>
      <c r="CB234" s="35"/>
      <c r="CC234" s="35"/>
      <c r="CD234" s="35"/>
      <c r="CE234" s="35"/>
      <c r="CF234" s="35"/>
      <c r="CG234" s="35"/>
      <c r="CH234" s="35"/>
      <c r="CI234" s="35"/>
      <c r="CJ234" s="35"/>
    </row>
    <row r="235" spans="1:124" customFormat="1">
      <c r="A235" s="4"/>
      <c r="L235" s="49"/>
      <c r="BB235" s="35"/>
      <c r="BD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A236" t="s">
        <v>591</v>
      </c>
      <c r="L236" s="49"/>
      <c r="BB236" s="35"/>
      <c r="BD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7">S231+S234</f>
        <v>0</v>
      </c>
      <c r="T237" s="477">
        <f t="shared" si="57"/>
        <v>0</v>
      </c>
      <c r="U237" s="477">
        <f t="shared" si="57"/>
        <v>0</v>
      </c>
      <c r="V237" s="477">
        <f t="shared" si="57"/>
        <v>0</v>
      </c>
      <c r="W237" s="477">
        <f t="shared" si="57"/>
        <v>0</v>
      </c>
      <c r="X237" s="477">
        <f t="shared" si="57"/>
        <v>0</v>
      </c>
      <c r="Y237" s="477">
        <f t="shared" si="57"/>
        <v>0</v>
      </c>
      <c r="Z237" s="477">
        <f t="shared" si="57"/>
        <v>0</v>
      </c>
      <c r="AA237" s="477">
        <f t="shared" si="57"/>
        <v>0</v>
      </c>
      <c r="AB237" s="477">
        <f t="shared" si="57"/>
        <v>0</v>
      </c>
      <c r="AC237" s="477">
        <f t="shared" si="57"/>
        <v>0</v>
      </c>
      <c r="AD237" s="477">
        <f t="shared" si="57"/>
        <v>0</v>
      </c>
      <c r="AE237" s="477">
        <f t="shared" si="57"/>
        <v>0</v>
      </c>
      <c r="AF237" s="477">
        <f t="shared" si="57"/>
        <v>0</v>
      </c>
      <c r="AG237" s="477">
        <f t="shared" si="57"/>
        <v>0</v>
      </c>
      <c r="AH237" s="477">
        <f t="shared" si="57"/>
        <v>0</v>
      </c>
      <c r="AI237" s="477"/>
      <c r="AJ237" s="477">
        <f t="shared" si="57"/>
        <v>0</v>
      </c>
      <c r="AK237" s="477"/>
      <c r="AL237" s="477">
        <f t="shared" si="57"/>
        <v>0</v>
      </c>
      <c r="AM237" s="477"/>
      <c r="AN237" s="477">
        <f t="shared" si="57"/>
        <v>0</v>
      </c>
      <c r="AO237" s="477"/>
      <c r="AP237" s="477">
        <f t="shared" si="57"/>
        <v>0</v>
      </c>
      <c r="AQ237" s="477"/>
      <c r="AR237" s="477">
        <f t="shared" si="57"/>
        <v>0</v>
      </c>
      <c r="AS237" s="477">
        <f t="shared" si="57"/>
        <v>0</v>
      </c>
      <c r="AT237" s="477">
        <f t="shared" si="57"/>
        <v>0</v>
      </c>
      <c r="AU237" s="477">
        <f t="shared" si="57"/>
        <v>0</v>
      </c>
      <c r="AV237" s="477">
        <f t="shared" si="57"/>
        <v>0</v>
      </c>
      <c r="AW237" s="477">
        <f t="shared" si="57"/>
        <v>0</v>
      </c>
      <c r="AX237" s="477">
        <f t="shared" si="57"/>
        <v>0</v>
      </c>
      <c r="AY237" s="477">
        <f t="shared" si="57"/>
        <v>0</v>
      </c>
      <c r="AZ237" s="477">
        <f>AZ225+AZ234</f>
        <v>11403531.226154331</v>
      </c>
      <c r="BA237" s="477">
        <f t="shared" si="57"/>
        <v>0</v>
      </c>
      <c r="BB237" s="477">
        <f>BB225+BB234</f>
        <v>12538176.930035932</v>
      </c>
      <c r="BC237"/>
      <c r="BD237" s="477">
        <f>BD225+BD234</f>
        <v>5023630.0600000005</v>
      </c>
      <c r="BE237"/>
      <c r="BF237" s="477">
        <f t="shared" si="57"/>
        <v>0</v>
      </c>
      <c r="BG237" s="477">
        <f t="shared" si="57"/>
        <v>0</v>
      </c>
      <c r="BH237" s="477">
        <f t="shared" si="57"/>
        <v>0</v>
      </c>
      <c r="BI237" s="477">
        <f t="shared" si="57"/>
        <v>0</v>
      </c>
      <c r="BJ237" s="477">
        <f t="shared" si="57"/>
        <v>0</v>
      </c>
      <c r="BK237" s="477">
        <f t="shared" si="57"/>
        <v>0</v>
      </c>
      <c r="BL237" s="477">
        <f t="shared" si="57"/>
        <v>0</v>
      </c>
      <c r="BM237" s="477">
        <f t="shared" si="57"/>
        <v>0</v>
      </c>
      <c r="BN237" s="477">
        <f>BN225+BN234</f>
        <v>171248108.40366745</v>
      </c>
      <c r="BO237" s="477">
        <f t="shared" si="57"/>
        <v>0</v>
      </c>
      <c r="BP237" s="477">
        <f>BP225+BP234</f>
        <v>2688770</v>
      </c>
      <c r="BQ237" s="477">
        <f t="shared" si="57"/>
        <v>0</v>
      </c>
      <c r="BR237" s="477">
        <f>BR225+BR234</f>
        <v>35020262.640000001</v>
      </c>
      <c r="BS237" s="477">
        <f t="shared" si="57"/>
        <v>0</v>
      </c>
      <c r="BT237" s="477">
        <f>BT225+BT234</f>
        <v>204546371.0436675</v>
      </c>
      <c r="BU237" s="477">
        <f t="shared" si="57"/>
        <v>0</v>
      </c>
      <c r="BV237" s="477">
        <f>BV225+BV234</f>
        <v>-7344718.0436675046</v>
      </c>
      <c r="BW237" s="477">
        <f t="shared" si="57"/>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8"/>
    </row>
    <row r="239" spans="1:124" customFormat="1">
      <c r="L239" s="49"/>
      <c r="BB239" s="35"/>
      <c r="BN239" s="368"/>
    </row>
    <row r="240" spans="1:124" customFormat="1">
      <c r="L240" s="49"/>
      <c r="BB240" s="35"/>
      <c r="BN240" s="368"/>
    </row>
    <row r="241" spans="12:68" customFormat="1" hidden="1">
      <c r="L241" s="49"/>
      <c r="BB241" s="35"/>
      <c r="BF241" t="s">
        <v>575</v>
      </c>
      <c r="BN241" s="368">
        <v>165343590.96000001</v>
      </c>
    </row>
    <row r="242" spans="12:68" customFormat="1" hidden="1">
      <c r="L242" s="49"/>
      <c r="AT242" s="367"/>
      <c r="BB242" s="35"/>
      <c r="BF242" t="s">
        <v>576</v>
      </c>
      <c r="BN242" s="368">
        <v>677253.63</v>
      </c>
    </row>
    <row r="243" spans="12:68" customFormat="1" hidden="1">
      <c r="AT243" s="367"/>
      <c r="BB243" s="35"/>
      <c r="BF243" t="s">
        <v>577</v>
      </c>
      <c r="BN243" s="368">
        <f>BF211</f>
        <v>590762.34129285498</v>
      </c>
    </row>
    <row r="244" spans="12:68" customFormat="1" hidden="1">
      <c r="AT244" s="367"/>
      <c r="BB244" s="35"/>
      <c r="BF244" t="s">
        <v>577</v>
      </c>
      <c r="BN244" s="368"/>
      <c r="BP244" s="369">
        <f>SUM(BN243:BN244)</f>
        <v>590762.34129285498</v>
      </c>
    </row>
    <row r="245" spans="12:68" customFormat="1" hidden="1">
      <c r="AT245" s="367"/>
      <c r="BB245" s="35"/>
      <c r="BF245" t="s">
        <v>578</v>
      </c>
      <c r="BN245" s="367">
        <v>198.51</v>
      </c>
    </row>
    <row r="246" spans="12:68" customFormat="1" hidden="1">
      <c r="BB246" s="35"/>
      <c r="BF246" t="s">
        <v>579</v>
      </c>
      <c r="BN246" s="367">
        <v>35</v>
      </c>
    </row>
    <row r="247" spans="12:68" customFormat="1" hidden="1">
      <c r="BF247" t="s">
        <v>269</v>
      </c>
      <c r="BN247" s="367">
        <f>BN222-BF222-BD222</f>
        <v>-2135</v>
      </c>
    </row>
    <row r="248" spans="12:68" customFormat="1" hidden="1">
      <c r="BF248" t="s">
        <v>587</v>
      </c>
      <c r="BN248" s="367">
        <v>1233742</v>
      </c>
    </row>
    <row r="249" spans="12:68" customFormat="1" hidden="1">
      <c r="BF249" t="s">
        <v>580</v>
      </c>
      <c r="BN249" s="367"/>
    </row>
    <row r="250" spans="12:68" customFormat="1" hidden="1">
      <c r="BF250" t="s">
        <v>585</v>
      </c>
      <c r="BN250" s="367"/>
    </row>
    <row r="251" spans="12:68" customFormat="1" hidden="1">
      <c r="BN251" s="367"/>
    </row>
    <row r="252" spans="12:68" customFormat="1" hidden="1">
      <c r="BN252" s="369">
        <f>SUM(BN241:BN250)</f>
        <v>167843447.44129285</v>
      </c>
    </row>
    <row r="253" spans="12:68" customFormat="1" hidden="1">
      <c r="BF253" t="s">
        <v>574</v>
      </c>
      <c r="BN253" s="38">
        <f>BN225-BN252</f>
        <v>2421147.5723746121</v>
      </c>
    </row>
    <row r="254" spans="12:68" customFormat="1" hidden="1"/>
    <row r="255" spans="12:68" customFormat="1"/>
    <row r="256" spans="12:68"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spans="66:66" customFormat="1"/>
    <row r="274" spans="66:66" customFormat="1"/>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row r="292" spans="66:66">
      <c r="BN292" s="22"/>
    </row>
    <row r="293" spans="66:66">
      <c r="BN293" s="22"/>
    </row>
    <row r="294" spans="66:66">
      <c r="BN294" s="22"/>
    </row>
  </sheetData>
  <printOptions horizontalCentered="1"/>
  <pageMargins left="0" right="0" top="0.25" bottom="0.19" header="0.25" footer="0.19"/>
  <pageSetup scale="40" fitToHeight="2" orientation="portrait" horizontalDpi="300" verticalDpi="300" r:id="rId1"/>
  <headerFooter alignWithMargins="0"/>
  <rowBreaks count="1" manualBreakCount="1">
    <brk id="113" max="7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5"/>
  <sheetViews>
    <sheetView zoomScale="80" zoomScaleNormal="66" workbookViewId="0">
      <pane xSplit="19" ySplit="7" topLeftCell="BQ62" activePane="bottomRight" state="frozen"/>
      <selection activeCell="K13" sqref="K13:K16"/>
      <selection pane="topRight" activeCell="K13" sqref="K13:K16"/>
      <selection pane="bottomLeft" activeCell="K13" sqref="K13:K16"/>
      <selection pane="bottomRight" activeCell="BR92" sqref="BR92"/>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5703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1.42578125" style="6" hidden="1" customWidth="1"/>
    <col min="38" max="38" width="16" style="6" hidden="1" customWidth="1"/>
    <col min="39" max="39" width="1.4257812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- 0731xls.xls]Wheatland</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36740.346731712962</v>
      </c>
      <c r="BR3" s="23"/>
      <c r="BT3" s="78" t="str">
        <f>Summary!A5</f>
        <v>Revision # 59</v>
      </c>
      <c r="BV3" s="18" t="str">
        <f>Summary!A5</f>
        <v>Revision # 59</v>
      </c>
    </row>
    <row r="4" spans="1:74" s="18" customFormat="1" ht="15.75">
      <c r="A4" s="94"/>
      <c r="B4" s="19">
        <f>Summary!C15</f>
        <v>470</v>
      </c>
      <c r="C4"/>
      <c r="G4" s="67"/>
      <c r="J4" s="478" t="s">
        <v>47</v>
      </c>
      <c r="L4" s="74"/>
      <c r="N4" s="69"/>
      <c r="O4" s="129" t="s">
        <v>560</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tr">
        <f>Summary!A5</f>
        <v>Revision # 59</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+Summary!#REF!</f>
        <v>#REF!</v>
      </c>
      <c r="O7" s="129"/>
      <c r="P7" s="69"/>
      <c r="R7" s="82" t="str">
        <f>+Summary!E9</f>
        <v>as of 7/22/99</v>
      </c>
      <c r="T7" s="82" t="str">
        <f>+Summary!$O$4</f>
        <v xml:space="preserve"> As of 07/31/00</v>
      </c>
      <c r="U7" s="96"/>
      <c r="V7" s="82" t="str">
        <f>+Summary!$O$4</f>
        <v xml:space="preserve"> As of 07/31/00</v>
      </c>
      <c r="W7" s="69"/>
      <c r="X7" s="82" t="str">
        <f>+Summary!$O$4</f>
        <v xml:space="preserve"> As of 07/31/00</v>
      </c>
      <c r="Y7" s="69"/>
      <c r="Z7" s="82" t="str">
        <f>+Summary!$O$4</f>
        <v xml:space="preserve"> As of 07/31/00</v>
      </c>
      <c r="AA7" s="69"/>
      <c r="AB7" s="82" t="str">
        <f>+Summary!$O$4</f>
        <v xml:space="preserve"> As of 07/31/00</v>
      </c>
      <c r="AC7" s="69"/>
      <c r="AD7" s="82" t="str">
        <f>+Summary!$O$4</f>
        <v xml:space="preserve"> As of 07/31/00</v>
      </c>
      <c r="AE7" s="69"/>
      <c r="AF7" s="82" t="str">
        <f>+Summary!$O$4</f>
        <v xml:space="preserve"> As of 07/31/00</v>
      </c>
      <c r="AG7" s="69"/>
      <c r="AH7" s="82" t="str">
        <f>+Summary!$O$4</f>
        <v xml:space="preserve"> As of 07/31/00</v>
      </c>
      <c r="AI7" s="69"/>
      <c r="AJ7" s="82" t="str">
        <f>+Summary!$O$4</f>
        <v xml:space="preserve"> As of 07/31/00</v>
      </c>
      <c r="AK7" s="69"/>
      <c r="AL7" s="82" t="str">
        <f>+Summary!$O$4</f>
        <v xml:space="preserve"> As of 07/31/00</v>
      </c>
      <c r="AM7" s="69"/>
      <c r="AN7" s="82" t="str">
        <f>+Summary!$O$4</f>
        <v xml:space="preserve"> As of 07/31/00</v>
      </c>
      <c r="AO7" s="69"/>
      <c r="AP7" s="82" t="str">
        <f>+Summary!$O$4</f>
        <v xml:space="preserve"> As of 07/31/00</v>
      </c>
      <c r="AQ7" s="69"/>
      <c r="AR7" s="82" t="str">
        <f>+Summary!$O$4</f>
        <v xml:space="preserve"> As of 07/31/00</v>
      </c>
      <c r="AS7" s="69"/>
      <c r="AT7" s="82" t="str">
        <f>+Summary!$O$4</f>
        <v xml:space="preserve"> As of 07/31/00</v>
      </c>
      <c r="AU7" s="82"/>
      <c r="AV7" s="82" t="str">
        <f>+Summary!$O$4</f>
        <v xml:space="preserve"> As of 07/31/00</v>
      </c>
      <c r="AW7" s="82"/>
      <c r="AX7" s="82" t="str">
        <f>+Summary!$O$4</f>
        <v xml:space="preserve"> As of 07/31/00</v>
      </c>
      <c r="AY7" s="82"/>
      <c r="AZ7" s="82" t="str">
        <f>+Summary!$O$4</f>
        <v xml:space="preserve"> As of 07/31/00</v>
      </c>
      <c r="BA7" s="82"/>
      <c r="BB7" s="82" t="str">
        <f>+Summary!$O$4</f>
        <v xml:space="preserve"> As of 07/31/00</v>
      </c>
      <c r="BC7" s="82"/>
      <c r="BD7" s="82" t="str">
        <f>+Summary!$O$4</f>
        <v xml:space="preserve"> As of 07/31/00</v>
      </c>
      <c r="BE7" s="82"/>
      <c r="BF7" s="82" t="str">
        <f>+Summary!$O$4</f>
        <v xml:space="preserve"> As of 07/31/00</v>
      </c>
      <c r="BG7" s="82"/>
      <c r="BH7" s="82" t="str">
        <f>+Summary!$O$4</f>
        <v xml:space="preserve"> As of 07/31/00</v>
      </c>
      <c r="BI7" s="82"/>
      <c r="BJ7" s="82" t="str">
        <f>+Summary!$O$4</f>
        <v xml:space="preserve"> As of 07/31/00</v>
      </c>
      <c r="BL7" s="71" t="str">
        <f>+Summary!$O$4</f>
        <v xml:space="preserve"> As of 07/31/00</v>
      </c>
      <c r="BN7" s="64" t="str">
        <f>+Summary!$O$4</f>
        <v xml:space="preserve"> As of 07/31/00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f>8617667-35517</f>
        <v>8582150</v>
      </c>
      <c r="AF9" s="6">
        <v>0</v>
      </c>
      <c r="AH9" s="6">
        <v>0</v>
      </c>
      <c r="AJ9" s="6">
        <v>318420.90000000002</v>
      </c>
      <c r="AL9" s="6">
        <v>0</v>
      </c>
      <c r="AN9" s="6">
        <v>0</v>
      </c>
      <c r="AP9" s="6">
        <v>39600</v>
      </c>
      <c r="AR9" s="6">
        <v>1077741.26</v>
      </c>
      <c r="AT9" s="6">
        <v>1077741.26</v>
      </c>
      <c r="AV9" s="6">
        <f>1077741.26*2</f>
        <v>2155482.52</v>
      </c>
      <c r="AX9" s="6">
        <v>0</v>
      </c>
      <c r="AZ9" s="6">
        <v>0</v>
      </c>
      <c r="BB9" s="6">
        <v>0</v>
      </c>
      <c r="BD9" s="6">
        <f>592658.8+3218306.1</f>
        <v>3810964.9000000004</v>
      </c>
      <c r="BF9" s="6">
        <v>0</v>
      </c>
      <c r="BH9" s="6">
        <v>0</v>
      </c>
      <c r="BJ9" s="6">
        <v>0</v>
      </c>
      <c r="BK9" s="6"/>
      <c r="BL9" s="6">
        <f>SUM(T9:BK9)</f>
        <v>85719300.840000018</v>
      </c>
      <c r="BM9" s="6"/>
      <c r="BN9" s="6">
        <f>353801-22200+66200</f>
        <v>397801</v>
      </c>
      <c r="BO9" s="6"/>
      <c r="BP9" s="6">
        <f>IF(+R9-BL9+BN9&gt;0,R9-BL9+BN9,0)</f>
        <v>500000.15999998152</v>
      </c>
      <c r="BR9" s="6">
        <f>+BL9+BP9</f>
        <v>86219301</v>
      </c>
      <c r="BT9" s="6">
        <f>+R9-BR9</f>
        <v>-397801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v>35517</v>
      </c>
      <c r="AF10" s="6">
        <v>0</v>
      </c>
      <c r="AH10" s="6">
        <v>0</v>
      </c>
      <c r="AJ10" s="6">
        <v>0</v>
      </c>
      <c r="AL10" s="6">
        <v>0</v>
      </c>
      <c r="AN10" s="6">
        <v>0</v>
      </c>
      <c r="AP10" s="6">
        <v>0</v>
      </c>
      <c r="AR10" s="6">
        <v>0</v>
      </c>
      <c r="AT10" s="6">
        <v>0</v>
      </c>
      <c r="AV10" s="6">
        <v>0</v>
      </c>
      <c r="AX10" s="6">
        <v>0</v>
      </c>
      <c r="AZ10" s="6">
        <v>0</v>
      </c>
      <c r="BB10" s="6">
        <v>0</v>
      </c>
      <c r="BD10" s="6">
        <v>633171</v>
      </c>
      <c r="BF10" s="6">
        <v>0</v>
      </c>
      <c r="BH10" s="6">
        <v>0</v>
      </c>
      <c r="BJ10" s="6">
        <v>0</v>
      </c>
      <c r="BK10" s="6"/>
      <c r="BL10" s="6">
        <f>SUM(T10:BK10)</f>
        <v>668688</v>
      </c>
      <c r="BM10" s="6"/>
      <c r="BN10" s="6">
        <f>35517+533171</f>
        <v>568688</v>
      </c>
      <c r="BO10" s="6"/>
      <c r="BP10" s="6">
        <f>IF(+R10-BL10+BN10&gt;0,R10-BL10+BN10,0)</f>
        <v>0</v>
      </c>
      <c r="BR10" s="6">
        <f>+BL10+BP10</f>
        <v>668688</v>
      </c>
      <c r="BT10" s="6">
        <f>+R10-BR10</f>
        <v>-568688</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4444135.9000000004</v>
      </c>
      <c r="BE12" s="12"/>
      <c r="BF12" s="101">
        <f>SUM(BF9:BF11)</f>
        <v>0</v>
      </c>
      <c r="BG12" s="12"/>
      <c r="BH12" s="101">
        <f>SUM(BH9:BH11)</f>
        <v>0</v>
      </c>
      <c r="BI12" s="12"/>
      <c r="BJ12" s="101">
        <f>SUM(BJ9:BJ11)</f>
        <v>0</v>
      </c>
      <c r="BK12" s="6"/>
      <c r="BL12" s="101">
        <f>SUM(BL9:BL11)</f>
        <v>86387988.840000018</v>
      </c>
      <c r="BM12" s="6"/>
      <c r="BN12" s="101">
        <f>SUM(BN9:BN11)</f>
        <v>966489</v>
      </c>
      <c r="BO12" s="6"/>
      <c r="BP12" s="101">
        <f>SUM(BP9:BP11)</f>
        <v>500000.15999998152</v>
      </c>
      <c r="BR12" s="101">
        <f>SUM(BR9:BR11)</f>
        <v>86887989</v>
      </c>
      <c r="BT12" s="101">
        <f>SUM(BT9:BT11)</f>
        <v>-966489</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350000</v>
      </c>
      <c r="AL15" s="6">
        <v>935</v>
      </c>
      <c r="AN15" s="6">
        <v>595253.1</v>
      </c>
      <c r="AP15" s="6">
        <v>0</v>
      </c>
      <c r="AR15" s="6">
        <v>1190506.2</v>
      </c>
      <c r="AT15" s="6">
        <v>1190506.2</v>
      </c>
      <c r="AV15" s="6">
        <v>0</v>
      </c>
      <c r="AX15" s="6">
        <f>1587342-975006-215500</f>
        <v>396836</v>
      </c>
      <c r="AZ15" s="6">
        <v>0</v>
      </c>
      <c r="BB15" s="6">
        <v>396835.4</v>
      </c>
      <c r="BD15" s="6">
        <v>0</v>
      </c>
      <c r="BF15" s="6">
        <v>0</v>
      </c>
      <c r="BH15" s="6">
        <v>0</v>
      </c>
      <c r="BJ15" s="6">
        <v>0</v>
      </c>
      <c r="BK15" s="6"/>
      <c r="BL15" s="6">
        <f>SUM(T15:BK15)</f>
        <v>4318354.6000000006</v>
      </c>
      <c r="BM15" s="6"/>
      <c r="BN15" s="6">
        <f>3968354-3949654+215500</f>
        <v>234200</v>
      </c>
      <c r="BO15" s="6"/>
      <c r="BP15" s="6">
        <f t="shared" ref="BP15:BP31" si="2">IF(+R15-BL15+BN15&gt;0,R15-BL15+BN15,0)</f>
        <v>0</v>
      </c>
      <c r="BR15" s="6">
        <f t="shared" si="0"/>
        <v>4318354.6000000006</v>
      </c>
      <c r="BT15" s="6">
        <f t="shared" si="1"/>
        <v>-368700.60000000056</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N16" s="6">
        <v>59780</v>
      </c>
      <c r="AX16" s="6">
        <v>215500</v>
      </c>
      <c r="BJ16" s="6"/>
      <c r="BK16" s="6"/>
      <c r="BL16" s="6">
        <f>SUM(T16:BK16)</f>
        <v>337680</v>
      </c>
      <c r="BM16" s="6"/>
      <c r="BN16" s="6">
        <v>59780</v>
      </c>
      <c r="BO16" s="6"/>
      <c r="BP16" s="6">
        <f t="shared" si="2"/>
        <v>134500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396835.4</v>
      </c>
      <c r="BC32" s="12"/>
      <c r="BD32" s="101">
        <f>SUM(BD14:BD31)</f>
        <v>0</v>
      </c>
      <c r="BE32" s="12"/>
      <c r="BF32" s="101">
        <f>SUM(BF14:BF31)</f>
        <v>0</v>
      </c>
      <c r="BG32" s="12"/>
      <c r="BH32" s="101">
        <f>SUM(BH14:BH31)</f>
        <v>0</v>
      </c>
      <c r="BI32" s="12"/>
      <c r="BJ32" s="101">
        <f>SUM(BJ14:BJ31)</f>
        <v>0</v>
      </c>
      <c r="BK32" s="6"/>
      <c r="BL32" s="101">
        <f>SUM(BL14:BL31)</f>
        <v>4656034.6000000006</v>
      </c>
      <c r="BM32" s="6"/>
      <c r="BN32" s="101">
        <f>SUM(BN14:BN31)</f>
        <v>293980</v>
      </c>
      <c r="BO32" s="6"/>
      <c r="BP32" s="101">
        <f>SUM(BP14:BP31)</f>
        <v>134500</v>
      </c>
      <c r="BR32" s="101">
        <f>SUM(BR14:BR31)</f>
        <v>4790534.6000000006</v>
      </c>
      <c r="BT32" s="101">
        <f>SUM(BT14:BT31)</f>
        <v>-428480.60000000056</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396835.4</v>
      </c>
      <c r="BC34" s="115"/>
      <c r="BD34" s="115">
        <f>+BD32+BD12</f>
        <v>4444135.9000000004</v>
      </c>
      <c r="BE34" s="115"/>
      <c r="BF34" s="115">
        <f>+BF32+BF12</f>
        <v>0</v>
      </c>
      <c r="BG34" s="115"/>
      <c r="BH34" s="115">
        <f>+BH32+BH12</f>
        <v>0</v>
      </c>
      <c r="BI34" s="115"/>
      <c r="BJ34" s="115">
        <f>+BJ32+BJ12</f>
        <v>0</v>
      </c>
      <c r="BK34" s="115"/>
      <c r="BL34" s="115">
        <f>+BL32+BL12</f>
        <v>91044023.440000013</v>
      </c>
      <c r="BM34" s="115"/>
      <c r="BN34" s="115">
        <f>+BN32+BN12</f>
        <v>1260469</v>
      </c>
      <c r="BO34" s="115"/>
      <c r="BP34" s="115">
        <f>+BP32+BP12</f>
        <v>634500.15999998152</v>
      </c>
      <c r="BQ34" s="115"/>
      <c r="BR34" s="115">
        <f>+BR32+BR12</f>
        <v>91678523.599999994</v>
      </c>
      <c r="BS34" s="115"/>
      <c r="BT34" s="115">
        <f>+BT32+BT12</f>
        <v>-1394969.6000000006</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v>1534960</v>
      </c>
      <c r="BG78" s="9"/>
      <c r="BH78" s="9"/>
      <c r="BI78" s="9"/>
      <c r="BJ78" s="9"/>
      <c r="BK78" s="9"/>
      <c r="BL78" s="6">
        <f t="shared" si="13"/>
        <v>1551987</v>
      </c>
      <c r="BM78" s="9"/>
      <c r="BN78" s="6">
        <v>0</v>
      </c>
      <c r="BO78" s="9"/>
      <c r="BP78" s="6">
        <f>IF(+R78-BL78+BN78&gt;0,R78-BL78+BN78,0)</f>
        <v>0</v>
      </c>
      <c r="BQ78" s="6"/>
      <c r="BR78" s="6">
        <f t="shared" si="15"/>
        <v>1551987</v>
      </c>
      <c r="BS78" s="6"/>
      <c r="BT78" s="6">
        <f t="shared" si="16"/>
        <v>-1551987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1534960</v>
      </c>
      <c r="BG80" s="9">
        <f t="shared" si="17"/>
        <v>0</v>
      </c>
      <c r="BH80" s="9">
        <f t="shared" si="17"/>
        <v>0</v>
      </c>
      <c r="BI80" s="9">
        <f t="shared" si="17"/>
        <v>0</v>
      </c>
      <c r="BJ80" s="9">
        <f t="shared" si="17"/>
        <v>0</v>
      </c>
      <c r="BK80" s="9">
        <f t="shared" si="17"/>
        <v>0</v>
      </c>
      <c r="BL80" s="9">
        <f t="shared" si="17"/>
        <v>5618847</v>
      </c>
      <c r="BM80" s="9">
        <f t="shared" si="17"/>
        <v>1171784</v>
      </c>
      <c r="BN80" s="9">
        <f t="shared" si="17"/>
        <v>3777273</v>
      </c>
      <c r="BO80" s="9">
        <f t="shared" si="17"/>
        <v>2643295</v>
      </c>
      <c r="BP80" s="9">
        <f t="shared" si="17"/>
        <v>12041100</v>
      </c>
      <c r="BQ80" s="9">
        <f t="shared" si="17"/>
        <v>5668777</v>
      </c>
      <c r="BR80" s="9">
        <f t="shared" si="17"/>
        <v>17659947</v>
      </c>
      <c r="BS80" s="9">
        <f t="shared" si="17"/>
        <v>12305633</v>
      </c>
      <c r="BT80" s="9">
        <f t="shared" si="17"/>
        <v>-5383044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0</v>
      </c>
      <c r="BQ87" s="9"/>
      <c r="BR87" s="6"/>
      <c r="BS87" s="9"/>
      <c r="BT87" s="6">
        <f>+R87-BR87</f>
        <v>0</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f>6627015+1.5</f>
        <v>6627016.5</v>
      </c>
      <c r="BA89" s="9"/>
      <c r="BB89" s="9"/>
      <c r="BC89" s="9"/>
      <c r="BD89" s="9">
        <f>8209613+2815680</f>
        <v>11025293</v>
      </c>
      <c r="BE89" s="9"/>
      <c r="BF89" s="9"/>
      <c r="BG89" s="9"/>
      <c r="BH89" s="9"/>
      <c r="BI89" s="9"/>
      <c r="BJ89" s="9"/>
      <c r="BK89" s="9"/>
      <c r="BL89" s="6">
        <f>SUM(T89:BK89)</f>
        <v>28604967.620000001</v>
      </c>
      <c r="BM89" s="9"/>
      <c r="BN89" s="9">
        <f>43494000-40678250</f>
        <v>2815750</v>
      </c>
      <c r="BO89" s="9"/>
      <c r="BP89" s="6">
        <f>-31433706+2634960.45</f>
        <v>-28798745.550000001</v>
      </c>
      <c r="BQ89" s="9"/>
      <c r="BR89" s="6">
        <f>-46166603+43494000</f>
        <v>-2672603</v>
      </c>
      <c r="BS89" s="6"/>
      <c r="BT89" s="6">
        <f>+R89-BR89</f>
        <v>2672603</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6627016.5</v>
      </c>
      <c r="BA91" s="244">
        <f t="shared" si="21"/>
        <v>0</v>
      </c>
      <c r="BB91" s="244">
        <f t="shared" si="21"/>
        <v>0</v>
      </c>
      <c r="BC91" s="244">
        <f t="shared" si="21"/>
        <v>0</v>
      </c>
      <c r="BD91" s="244">
        <f t="shared" si="21"/>
        <v>11025293</v>
      </c>
      <c r="BE91" s="244">
        <f t="shared" si="21"/>
        <v>0</v>
      </c>
      <c r="BF91" s="244">
        <f t="shared" si="21"/>
        <v>1534960</v>
      </c>
      <c r="BG91" s="244">
        <f t="shared" si="21"/>
        <v>0</v>
      </c>
      <c r="BH91" s="244">
        <f t="shared" si="21"/>
        <v>0</v>
      </c>
      <c r="BI91" s="244">
        <f t="shared" si="21"/>
        <v>0</v>
      </c>
      <c r="BJ91" s="244">
        <f t="shared" si="21"/>
        <v>0</v>
      </c>
      <c r="BK91" s="244">
        <f t="shared" si="21"/>
        <v>0</v>
      </c>
      <c r="BL91" s="244">
        <f t="shared" si="21"/>
        <v>42393999.620000005</v>
      </c>
      <c r="BM91" s="244">
        <f t="shared" si="21"/>
        <v>1171784</v>
      </c>
      <c r="BN91" s="244">
        <f t="shared" si="21"/>
        <v>9432666</v>
      </c>
      <c r="BO91" s="244">
        <f t="shared" si="21"/>
        <v>2643295</v>
      </c>
      <c r="BP91" s="244">
        <f t="shared" si="21"/>
        <v>2634960.4499999993</v>
      </c>
      <c r="BQ91" s="244">
        <f t="shared" si="21"/>
        <v>5668777</v>
      </c>
      <c r="BR91" s="244">
        <f t="shared" si="21"/>
        <v>43494000</v>
      </c>
      <c r="BS91" s="244">
        <f t="shared" si="21"/>
        <v>12305633</v>
      </c>
      <c r="BT91" s="244">
        <f t="shared" si="21"/>
        <v>-5550800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77483.34</v>
      </c>
      <c r="BD95" s="6">
        <v>77483.33</v>
      </c>
      <c r="BF95" s="6">
        <v>0</v>
      </c>
      <c r="BH95" s="6">
        <v>0</v>
      </c>
      <c r="BJ95" s="6">
        <v>0</v>
      </c>
      <c r="BK95" s="6"/>
      <c r="BL95" s="6">
        <f t="shared" ref="BL95:BL100" si="22">SUM(T95:BK95)</f>
        <v>929799.66333333321</v>
      </c>
      <c r="BM95" s="6"/>
      <c r="BN95" s="6">
        <v>0</v>
      </c>
      <c r="BO95" s="6"/>
      <c r="BP95" s="6">
        <f t="shared" ref="BP95:BP101" si="23">IF(+R95-BL95+BN95&gt;0,R95-BL95+BN95,0)</f>
        <v>0.3366666667861864</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198889</v>
      </c>
      <c r="BD96" s="6">
        <v>198889</v>
      </c>
      <c r="BF96" s="6">
        <v>0</v>
      </c>
      <c r="BH96" s="6">
        <v>0</v>
      </c>
      <c r="BJ96" s="6">
        <v>0</v>
      </c>
      <c r="BK96" s="6"/>
      <c r="BL96" s="6">
        <f t="shared" si="22"/>
        <v>2386682.3466666667</v>
      </c>
      <c r="BM96" s="6"/>
      <c r="BN96" s="6">
        <v>0</v>
      </c>
      <c r="BO96" s="6"/>
      <c r="BP96" s="6">
        <f t="shared" si="23"/>
        <v>17.653333333320916</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276372.33999999997</v>
      </c>
      <c r="BC102" s="117"/>
      <c r="BD102" s="116">
        <f>SUM(BD95:BD101)</f>
        <v>276372.33</v>
      </c>
      <c r="BE102" s="117"/>
      <c r="BF102" s="116">
        <f>SUM(BF95:BF101)</f>
        <v>0</v>
      </c>
      <c r="BG102" s="117"/>
      <c r="BH102" s="116">
        <f>SUM(BH95:BH101)</f>
        <v>0</v>
      </c>
      <c r="BI102" s="117"/>
      <c r="BJ102" s="116">
        <f>SUM(BJ95:BJ101)</f>
        <v>0</v>
      </c>
      <c r="BK102" s="115"/>
      <c r="BL102" s="116">
        <f>SUM(BL95:BL101)</f>
        <v>3316482.01</v>
      </c>
      <c r="BM102" s="115"/>
      <c r="BN102" s="116">
        <f>SUM(BN95:BN101)</f>
        <v>0</v>
      </c>
      <c r="BO102" s="115"/>
      <c r="BP102" s="116">
        <f>SUM(BP95:BP101)</f>
        <v>17.990000000107102</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37000</v>
      </c>
      <c r="BD112" s="6">
        <v>37000</v>
      </c>
      <c r="BF112" s="6">
        <v>0</v>
      </c>
      <c r="BH112" s="6">
        <v>0</v>
      </c>
      <c r="BJ112" s="6">
        <v>0</v>
      </c>
      <c r="BK112" s="6"/>
      <c r="BL112" s="6">
        <f>SUM(T112:BK112)</f>
        <v>185000</v>
      </c>
      <c r="BM112" s="6"/>
      <c r="BN112" s="6">
        <v>0</v>
      </c>
      <c r="BO112" s="6"/>
      <c r="BP112" s="6">
        <f>IF(+R112-BL112+BN112&gt;0,R112-BL112+BN112,0)</f>
        <v>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179683.78</v>
      </c>
      <c r="BD113" s="6">
        <v>146125.89000000001</v>
      </c>
      <c r="BF113" s="6">
        <v>164872.12</v>
      </c>
      <c r="BH113" s="6">
        <v>0</v>
      </c>
      <c r="BJ113" s="6">
        <v>0</v>
      </c>
      <c r="BK113" s="6"/>
      <c r="BL113" s="6">
        <f>SUM(T113:BK113)</f>
        <v>789494.68</v>
      </c>
      <c r="BM113" s="6"/>
      <c r="BN113" s="6">
        <v>0</v>
      </c>
      <c r="BO113" s="6"/>
      <c r="BP113" s="6">
        <f>+R113-BL113+BN113</f>
        <v>-65708.680000000051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216683.78</v>
      </c>
      <c r="BC115" s="10"/>
      <c r="BD115" s="102">
        <f>SUM(BD112:BD114)</f>
        <v>183125.89</v>
      </c>
      <c r="BE115" s="10"/>
      <c r="BF115" s="102">
        <f>SUM(BF112:BF114)</f>
        <v>164872.12</v>
      </c>
      <c r="BG115" s="10"/>
      <c r="BH115" s="102">
        <f>SUM(BH112:BH114)</f>
        <v>0</v>
      </c>
      <c r="BI115" s="10"/>
      <c r="BJ115" s="102">
        <f>SUM(BJ112:BJ114)</f>
        <v>0</v>
      </c>
      <c r="BK115" s="9"/>
      <c r="BL115" s="102">
        <f>SUM(BL112:BL114)</f>
        <v>974494.68</v>
      </c>
      <c r="BM115" s="9"/>
      <c r="BN115" s="102">
        <f>SUM(BN112:BN114)</f>
        <v>0</v>
      </c>
      <c r="BO115" s="9"/>
      <c r="BP115" s="102">
        <f>SUM(BP112:BP114)</f>
        <v>-65708.680000000051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5700</v>
      </c>
      <c r="BD126" s="6">
        <v>0</v>
      </c>
      <c r="BF126" s="6">
        <v>0</v>
      </c>
      <c r="BH126" s="6">
        <v>0</v>
      </c>
      <c r="BJ126" s="6">
        <v>0</v>
      </c>
      <c r="BK126" s="6"/>
      <c r="BL126" s="6">
        <f>SUM(T126:BK126)</f>
        <v>75420.61</v>
      </c>
      <c r="BM126" s="6"/>
      <c r="BN126" s="6">
        <v>1000</v>
      </c>
      <c r="BO126" s="6"/>
      <c r="BP126" s="6">
        <f>IF(+R126-BL126+BN126&gt;0,R126-BL126+BN126,0)</f>
        <v>0</v>
      </c>
      <c r="BR126" s="6">
        <f>+BL126+BP126</f>
        <v>75420.61</v>
      </c>
      <c r="BT126" s="6">
        <f>+R126-BR126</f>
        <v>-32920.61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5700</v>
      </c>
      <c r="BC130" s="10"/>
      <c r="BD130" s="102">
        <f>SUM(BD126:BD129)</f>
        <v>0</v>
      </c>
      <c r="BE130" s="10"/>
      <c r="BF130" s="102">
        <f>SUM(BF126:BF129)</f>
        <v>0</v>
      </c>
      <c r="BG130" s="10"/>
      <c r="BH130" s="102">
        <f>SUM(BH126:BH129)</f>
        <v>0</v>
      </c>
      <c r="BI130" s="10"/>
      <c r="BJ130" s="102">
        <f>SUM(BJ126:BJ129)</f>
        <v>0</v>
      </c>
      <c r="BK130" s="9"/>
      <c r="BL130" s="102">
        <f>SUM(BL126:BL129)</f>
        <v>1912802.57</v>
      </c>
      <c r="BM130" s="9"/>
      <c r="BN130" s="102">
        <f>SUM(BN126:BN129)</f>
        <v>342944</v>
      </c>
      <c r="BO130" s="9"/>
      <c r="BP130" s="102">
        <f>SUM(BP126:BP129)</f>
        <v>0</v>
      </c>
      <c r="BQ130" s="9"/>
      <c r="BR130" s="102">
        <f>SUM(BR126:BR129)</f>
        <v>1912802.57</v>
      </c>
      <c r="BS130" s="9"/>
      <c r="BT130" s="102">
        <f>SUM(BT126:BT129)</f>
        <v>-1142802.57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2925.2</v>
      </c>
      <c r="BD135" s="6">
        <v>16444.66</v>
      </c>
      <c r="BF135" s="6">
        <v>12076.23</v>
      </c>
      <c r="BH135" s="6">
        <v>0</v>
      </c>
      <c r="BJ135" s="6">
        <v>0</v>
      </c>
      <c r="BK135" s="6"/>
      <c r="BL135" s="6">
        <f>SUM(T135:BK135)</f>
        <v>461011.53999999992</v>
      </c>
      <c r="BM135" s="6"/>
      <c r="BN135" s="6">
        <v>0</v>
      </c>
      <c r="BO135" s="6"/>
      <c r="BP135" s="6">
        <f>IF(+R135-BL135+BN135&gt;0,R135-BL135+BN135,0)</f>
        <v>0</v>
      </c>
      <c r="BR135" s="6">
        <f>+BL135+BP135</f>
        <v>461011.53999999992</v>
      </c>
      <c r="BT135" s="6">
        <f>+R135-BR135</f>
        <v>-11011.539999999921</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2925.2</v>
      </c>
      <c r="BC137" s="10"/>
      <c r="BD137" s="102">
        <f>SUM(BD133:BD136)</f>
        <v>16444.66</v>
      </c>
      <c r="BE137" s="10"/>
      <c r="BF137" s="102">
        <f>SUM(BF133:BF136)</f>
        <v>12076.23</v>
      </c>
      <c r="BG137" s="10"/>
      <c r="BH137" s="102">
        <f>SUM(BH133:BH136)</f>
        <v>0</v>
      </c>
      <c r="BI137" s="10"/>
      <c r="BJ137" s="102">
        <f>SUM(BJ133:BJ136)</f>
        <v>0</v>
      </c>
      <c r="BK137" s="9"/>
      <c r="BL137" s="102">
        <f>SUM(BL133:BL136)</f>
        <v>461011.53999999992</v>
      </c>
      <c r="BM137" s="9"/>
      <c r="BN137" s="102">
        <f>SUM(BN133:BN136)</f>
        <v>0</v>
      </c>
      <c r="BO137" s="9"/>
      <c r="BP137" s="102">
        <f>SUM(BP133:BP136)</f>
        <v>0</v>
      </c>
      <c r="BQ137" s="9"/>
      <c r="BR137" s="102">
        <f>SUM(BR133:BR136)</f>
        <v>461011.53999999992</v>
      </c>
      <c r="BS137" s="9"/>
      <c r="BT137" s="102">
        <f>SUM(BT133:BT136)</f>
        <v>-11011.539999999921</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20001.05</v>
      </c>
      <c r="BE139" s="9"/>
      <c r="BF139" s="9">
        <v>297614.53999999998</v>
      </c>
      <c r="BG139" s="9"/>
      <c r="BH139" s="9">
        <v>0</v>
      </c>
      <c r="BI139" s="9"/>
      <c r="BJ139" s="9">
        <v>0</v>
      </c>
      <c r="BK139" s="9"/>
      <c r="BL139" s="9">
        <f>SUM(T139:BK139)</f>
        <v>351735.58999999997</v>
      </c>
      <c r="BM139" s="9"/>
      <c r="BN139" s="9">
        <v>0</v>
      </c>
      <c r="BO139" s="9"/>
      <c r="BP139" s="6">
        <f>IF(+R139-BL139+BN139&gt;0,R139-BL139+BN139,0)</f>
        <v>4648264.41</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141167</v>
      </c>
      <c r="BA145" s="22"/>
      <c r="BB145" s="22">
        <v>949317.51</v>
      </c>
      <c r="BC145" s="22"/>
      <c r="BD145" s="22">
        <v>-297293.82</v>
      </c>
      <c r="BE145" s="22"/>
      <c r="BF145" s="22">
        <v>0</v>
      </c>
      <c r="BG145" s="22"/>
      <c r="BH145" s="22">
        <v>0</v>
      </c>
      <c r="BI145" s="22"/>
      <c r="BJ145" s="22">
        <v>0</v>
      </c>
      <c r="BK145" s="22"/>
      <c r="BL145" s="22">
        <f>SUM(T145:BK145)</f>
        <v>793190.69</v>
      </c>
      <c r="BM145" s="22"/>
      <c r="BN145" s="22">
        <v>0</v>
      </c>
      <c r="BO145" s="22"/>
      <c r="BP145" s="6">
        <f>IF(+R145-BL145+BN145&gt;0,R145-BL145+BN145,0)</f>
        <v>206809.31000000006</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141167</v>
      </c>
      <c r="BA147" s="103"/>
      <c r="BB147" s="108">
        <f>SUM(BB144:BB146)</f>
        <v>949317.51</v>
      </c>
      <c r="BC147" s="103"/>
      <c r="BD147" s="108">
        <f>SUM(BD144:BD146)</f>
        <v>-297293.82</v>
      </c>
      <c r="BE147" s="103"/>
      <c r="BF147" s="108">
        <f>SUM(BF144:BF146)</f>
        <v>0</v>
      </c>
      <c r="BG147" s="103"/>
      <c r="BH147" s="108">
        <f>SUM(BH144:BH146)</f>
        <v>0</v>
      </c>
      <c r="BI147" s="103"/>
      <c r="BJ147" s="108">
        <f>SUM(BJ144:BJ146)</f>
        <v>0</v>
      </c>
      <c r="BK147" s="16"/>
      <c r="BL147" s="108">
        <f>SUM(BL144:BL146)</f>
        <v>793190.69</v>
      </c>
      <c r="BM147" s="16"/>
      <c r="BN147" s="108">
        <f>SUM(BN144:BN146)</f>
        <v>0</v>
      </c>
      <c r="BO147" s="16"/>
      <c r="BP147" s="108">
        <f>SUM(BP144:BP146)</f>
        <v>206809.31000000006</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-84569</v>
      </c>
      <c r="BO151" s="10"/>
      <c r="BP151" s="6">
        <f>IF(+R151-BL151+BN151&gt;0,R151-BL151+BN151,0)</f>
        <v>0</v>
      </c>
      <c r="BQ151" s="10"/>
      <c r="BR151" s="9">
        <f>+BL151+BP151</f>
        <v>115431.41</v>
      </c>
      <c r="BS151" s="10"/>
      <c r="BT151" s="9">
        <f>+R151-BR151</f>
        <v>84568.59</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931.37</v>
      </c>
      <c r="BC155" s="12"/>
      <c r="BD155" s="12">
        <v>0</v>
      </c>
      <c r="BE155" s="12"/>
      <c r="BF155" s="12">
        <v>0</v>
      </c>
      <c r="BG155" s="12"/>
      <c r="BH155" s="12">
        <v>0</v>
      </c>
      <c r="BI155" s="12"/>
      <c r="BJ155" s="12">
        <v>0</v>
      </c>
      <c r="BK155" s="12"/>
      <c r="BL155" s="12">
        <f t="shared" si="26"/>
        <v>77038.12</v>
      </c>
      <c r="BM155" s="12"/>
      <c r="BN155" s="12">
        <v>0</v>
      </c>
      <c r="BO155" s="12"/>
      <c r="BP155" s="6">
        <f t="shared" si="27"/>
        <v>72961.88</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f>39287.61</f>
        <v>39287.61</v>
      </c>
      <c r="BC157" s="12"/>
      <c r="BD157" s="12">
        <f>6994.44+1423.2+4178.48+57828.2+2495.79+37581.62</f>
        <v>110501.72999999998</v>
      </c>
      <c r="BE157" s="12"/>
      <c r="BF157" s="12">
        <v>13668.55</v>
      </c>
      <c r="BG157" s="12"/>
      <c r="BH157" s="12">
        <v>0</v>
      </c>
      <c r="BI157" s="12"/>
      <c r="BJ157" s="12">
        <v>0</v>
      </c>
      <c r="BK157" s="12"/>
      <c r="BL157" s="12">
        <f t="shared" si="26"/>
        <v>454207.91999999993</v>
      </c>
      <c r="BM157" s="12"/>
      <c r="BN157" s="12">
        <v>0</v>
      </c>
      <c r="BO157" s="12"/>
      <c r="BP157" s="6">
        <f t="shared" si="27"/>
        <v>0</v>
      </c>
      <c r="BQ157" s="12"/>
      <c r="BR157" s="6">
        <f t="shared" si="28"/>
        <v>454207.91999999993</v>
      </c>
      <c r="BS157" s="12"/>
      <c r="BT157" s="6">
        <f t="shared" si="29"/>
        <v>-234207.91999999993</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40218.980000000003</v>
      </c>
      <c r="BC160" s="102">
        <f t="shared" si="30"/>
        <v>0</v>
      </c>
      <c r="BD160" s="102">
        <f t="shared" si="30"/>
        <v>110501.72999999998</v>
      </c>
      <c r="BE160" s="102">
        <f t="shared" si="30"/>
        <v>0</v>
      </c>
      <c r="BF160" s="102">
        <f t="shared" si="30"/>
        <v>13668.55</v>
      </c>
      <c r="BG160" s="102">
        <f t="shared" si="30"/>
        <v>0</v>
      </c>
      <c r="BH160" s="102">
        <f t="shared" si="30"/>
        <v>0</v>
      </c>
      <c r="BI160" s="102">
        <f t="shared" si="30"/>
        <v>0</v>
      </c>
      <c r="BJ160" s="102">
        <f t="shared" si="30"/>
        <v>0</v>
      </c>
      <c r="BK160" s="102">
        <f t="shared" si="30"/>
        <v>0</v>
      </c>
      <c r="BL160" s="102">
        <f t="shared" si="30"/>
        <v>909140.11</v>
      </c>
      <c r="BM160" s="102">
        <f t="shared" si="30"/>
        <v>0</v>
      </c>
      <c r="BN160" s="102">
        <f t="shared" si="30"/>
        <v>159233</v>
      </c>
      <c r="BO160" s="102">
        <f t="shared" si="30"/>
        <v>0</v>
      </c>
      <c r="BP160" s="102">
        <f t="shared" si="30"/>
        <v>88464.700000000012</v>
      </c>
      <c r="BQ160" s="102">
        <f t="shared" si="30"/>
        <v>0</v>
      </c>
      <c r="BR160" s="102">
        <f t="shared" si="30"/>
        <v>997604.80999999994</v>
      </c>
      <c r="BS160" s="102">
        <f t="shared" si="30"/>
        <v>0</v>
      </c>
      <c r="BT160" s="102">
        <f t="shared" si="30"/>
        <v>-597604.80999999994</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2287.5</v>
      </c>
      <c r="BC165" s="12"/>
      <c r="BD165" s="12">
        <f>5660.15+105510.2+14897.92-6951.06</f>
        <v>119117.20999999999</v>
      </c>
      <c r="BE165" s="12"/>
      <c r="BF165" s="12">
        <v>0</v>
      </c>
      <c r="BG165" s="12"/>
      <c r="BH165" s="12">
        <v>0</v>
      </c>
      <c r="BI165" s="12"/>
      <c r="BJ165" s="12">
        <v>0</v>
      </c>
      <c r="BK165" s="12"/>
      <c r="BL165" s="12">
        <f>SUM(T165:BK165)</f>
        <v>312081.90000000002</v>
      </c>
      <c r="BM165" s="12"/>
      <c r="BN165" s="12"/>
      <c r="BO165" s="12"/>
      <c r="BP165" s="6">
        <f>IF(+R165-BL165+BN165&gt;0,R165-BL165+BN165,0)</f>
        <v>87918.099999999977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2287.5</v>
      </c>
      <c r="BC167" s="10"/>
      <c r="BD167" s="102">
        <f>SUM(BD163:BD166)</f>
        <v>119117.20999999999</v>
      </c>
      <c r="BE167" s="10"/>
      <c r="BF167" s="102">
        <f>SUM(BF163:BF166)</f>
        <v>0</v>
      </c>
      <c r="BG167" s="10"/>
      <c r="BH167" s="102">
        <f>SUM(BH163:BH166)</f>
        <v>0</v>
      </c>
      <c r="BI167" s="10"/>
      <c r="BJ167" s="102">
        <f>SUM(BJ163:BJ166)</f>
        <v>0</v>
      </c>
      <c r="BK167" s="9"/>
      <c r="BL167" s="102">
        <f>SUM(BL163:BL166)</f>
        <v>613754.03</v>
      </c>
      <c r="BM167" s="9"/>
      <c r="BN167" s="102">
        <f>SUM(BN163:BN166)</f>
        <v>0</v>
      </c>
      <c r="BO167" s="9"/>
      <c r="BP167" s="102">
        <f>SUM(BP163:BP166)</f>
        <v>87918.099999999977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[1]Wheatland!$I$39</f>
        <v>431577.41862083337</v>
      </c>
      <c r="AG169" s="10"/>
      <c r="AH169" s="10">
        <f>[1]Wheatland!$J$39</f>
        <v>437225.48213836289</v>
      </c>
      <c r="AI169" s="10"/>
      <c r="AJ169" s="10">
        <f>[1]Wheatland!$K$39</f>
        <v>445286.67641661229</v>
      </c>
      <c r="AK169" s="10"/>
      <c r="AL169" s="10">
        <f>[1]Wheatland!$L$39</f>
        <v>454783</v>
      </c>
      <c r="AM169" s="10"/>
      <c r="AN169" s="10">
        <f>[1]Wheatland!$M$39</f>
        <v>462626.31550692458</v>
      </c>
      <c r="AO169" s="10"/>
      <c r="AP169" s="10">
        <f>[1]Wheatland!$N$39</f>
        <v>491955.34096592036</v>
      </c>
      <c r="AQ169" s="10"/>
      <c r="AR169" s="10">
        <f>[1]Wheatland!$O$39</f>
        <v>516340</v>
      </c>
      <c r="AS169" s="10"/>
      <c r="AT169" s="10">
        <f>[1]Wheatland!$P$39</f>
        <v>563836.3251100413</v>
      </c>
      <c r="AU169" s="10"/>
      <c r="AV169" s="10">
        <f>[1]Wheatland!$Q$39</f>
        <v>615994.85825994285</v>
      </c>
      <c r="AW169" s="10"/>
      <c r="AX169" s="10">
        <f>[1]Wheatland!$R$39</f>
        <v>668433.20015885099</v>
      </c>
      <c r="AY169" s="10"/>
      <c r="AZ169" s="10">
        <v>710982</v>
      </c>
      <c r="BA169" s="10"/>
      <c r="BB169" s="10">
        <f>[1]Wheatland!$T$39</f>
        <v>720582.02993748907</v>
      </c>
      <c r="BC169" s="10"/>
      <c r="BD169" s="10">
        <v>229734.42318020624</v>
      </c>
      <c r="BE169" s="10"/>
      <c r="BF169" s="10">
        <v>0</v>
      </c>
      <c r="BG169" s="10"/>
      <c r="BH169" s="10">
        <v>0</v>
      </c>
      <c r="BI169" s="10"/>
      <c r="BJ169" s="10">
        <v>0</v>
      </c>
      <c r="BK169" s="10"/>
      <c r="BL169" s="10">
        <f>SUM(T169:BK169)</f>
        <v>9006641.070295183</v>
      </c>
      <c r="BM169" s="10"/>
      <c r="BN169" s="10">
        <v>-984592</v>
      </c>
      <c r="BO169" s="10"/>
      <c r="BP169" s="6"/>
      <c r="BQ169" s="10"/>
      <c r="BR169" s="9">
        <f>+BL169+BP169</f>
        <v>9006641.070295183</v>
      </c>
      <c r="BS169" s="10"/>
      <c r="BT169" s="9">
        <f>+R169-BR169</f>
        <v>1025683.929704817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si="31"/>
        <v>573248.10862083337</v>
      </c>
      <c r="AG171" s="120">
        <f t="shared" si="31"/>
        <v>0</v>
      </c>
      <c r="AH171" s="120">
        <f t="shared" si="31"/>
        <v>580523.05213836278</v>
      </c>
      <c r="AI171" s="120">
        <f t="shared" si="31"/>
        <v>0</v>
      </c>
      <c r="AJ171" s="120">
        <f t="shared" si="31"/>
        <v>551485.42641661223</v>
      </c>
      <c r="AK171" s="120">
        <f t="shared" si="31"/>
        <v>0</v>
      </c>
      <c r="AL171" s="120">
        <f t="shared" si="31"/>
        <v>1502808.93</v>
      </c>
      <c r="AM171" s="120">
        <f t="shared" si="31"/>
        <v>0</v>
      </c>
      <c r="AN171" s="120">
        <f t="shared" si="31"/>
        <v>634977.90550692461</v>
      </c>
      <c r="AO171" s="120">
        <f t="shared" si="31"/>
        <v>0</v>
      </c>
      <c r="AP171" s="120">
        <f t="shared" si="31"/>
        <v>710648.81096592033</v>
      </c>
      <c r="AQ171" s="120">
        <f t="shared" si="31"/>
        <v>0</v>
      </c>
      <c r="AR171" s="120">
        <f t="shared" si="31"/>
        <v>2133337.75</v>
      </c>
      <c r="AS171" s="120">
        <f t="shared" si="31"/>
        <v>0</v>
      </c>
      <c r="AT171" s="120">
        <f t="shared" si="31"/>
        <v>968319.9451100413</v>
      </c>
      <c r="AU171" s="120">
        <f t="shared" si="31"/>
        <v>0</v>
      </c>
      <c r="AV171" s="120">
        <f t="shared" si="31"/>
        <v>1280665.808259943</v>
      </c>
      <c r="AW171" s="120">
        <f t="shared" si="31"/>
        <v>0</v>
      </c>
      <c r="AX171" s="120">
        <f t="shared" si="31"/>
        <v>1367991.7801588511</v>
      </c>
      <c r="AY171" s="120">
        <f t="shared" si="31"/>
        <v>0</v>
      </c>
      <c r="AZ171" s="120">
        <f t="shared" si="31"/>
        <v>1135448.07</v>
      </c>
      <c r="BA171" s="120">
        <f t="shared" si="31"/>
        <v>0</v>
      </c>
      <c r="BB171" s="120">
        <f t="shared" si="31"/>
        <v>1937714.9999374892</v>
      </c>
      <c r="BC171" s="120">
        <f t="shared" si="31"/>
        <v>0</v>
      </c>
      <c r="BD171" s="120">
        <f t="shared" si="31"/>
        <v>381631.14318020619</v>
      </c>
      <c r="BE171" s="120">
        <f t="shared" si="31"/>
        <v>0</v>
      </c>
      <c r="BF171" s="120">
        <f t="shared" si="31"/>
        <v>488231.43999999994</v>
      </c>
      <c r="BG171" s="120">
        <f t="shared" si="31"/>
        <v>0</v>
      </c>
      <c r="BH171" s="120">
        <f t="shared" si="31"/>
        <v>0</v>
      </c>
      <c r="BI171" s="120">
        <f t="shared" si="31"/>
        <v>0</v>
      </c>
      <c r="BJ171" s="120">
        <f t="shared" si="31"/>
        <v>0</v>
      </c>
      <c r="BK171" s="120">
        <f t="shared" si="31"/>
        <v>0</v>
      </c>
      <c r="BL171" s="120">
        <f t="shared" si="31"/>
        <v>16744686.69029518</v>
      </c>
      <c r="BM171" s="120">
        <f t="shared" si="31"/>
        <v>0</v>
      </c>
      <c r="BN171" s="120">
        <f t="shared" si="31"/>
        <v>-566984</v>
      </c>
      <c r="BO171" s="120">
        <f t="shared" si="31"/>
        <v>0</v>
      </c>
      <c r="BP171" s="120">
        <f t="shared" si="31"/>
        <v>7781993.8399999999</v>
      </c>
      <c r="BQ171" s="120">
        <f t="shared" si="31"/>
        <v>0</v>
      </c>
      <c r="BR171" s="120">
        <f t="shared" si="31"/>
        <v>24526680.530295182</v>
      </c>
      <c r="BS171" s="120">
        <f t="shared" si="31"/>
        <v>0</v>
      </c>
      <c r="BT171" s="120">
        <f t="shared" si="31"/>
        <v>-942838.53029518295</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si="32"/>
        <v>573248.10862083337</v>
      </c>
      <c r="AG176" s="168">
        <f t="shared" si="32"/>
        <v>0</v>
      </c>
      <c r="AH176" s="168">
        <f t="shared" si="32"/>
        <v>1116780.7521383627</v>
      </c>
      <c r="AI176" s="168">
        <f t="shared" si="32"/>
        <v>0</v>
      </c>
      <c r="AJ176" s="168">
        <f t="shared" si="32"/>
        <v>1496281.3264166121</v>
      </c>
      <c r="AK176" s="168">
        <f t="shared" si="32"/>
        <v>0</v>
      </c>
      <c r="AL176" s="168">
        <f t="shared" si="32"/>
        <v>1780115.93</v>
      </c>
      <c r="AM176" s="168">
        <f t="shared" si="32"/>
        <v>0</v>
      </c>
      <c r="AN176" s="168">
        <f t="shared" si="32"/>
        <v>1566383.0055069246</v>
      </c>
      <c r="AO176" s="168">
        <f t="shared" si="32"/>
        <v>0</v>
      </c>
      <c r="AP176" s="168">
        <f t="shared" si="32"/>
        <v>5481999.3709659204</v>
      </c>
      <c r="AQ176" s="168">
        <f t="shared" si="32"/>
        <v>0</v>
      </c>
      <c r="AR176" s="168">
        <f t="shared" si="32"/>
        <v>4677967.54</v>
      </c>
      <c r="AS176" s="168">
        <f t="shared" si="32"/>
        <v>0</v>
      </c>
      <c r="AT176" s="168">
        <f t="shared" si="32"/>
        <v>8750380.3051100411</v>
      </c>
      <c r="AU176" s="168">
        <f t="shared" si="32"/>
        <v>0</v>
      </c>
      <c r="AV176" s="168">
        <f t="shared" si="32"/>
        <v>9706071.6582599431</v>
      </c>
      <c r="AW176" s="168">
        <f t="shared" si="32"/>
        <v>0</v>
      </c>
      <c r="AX176" s="168">
        <f t="shared" ref="AX176:BT176" si="33">AX34+AX102+AX91+AX107+AX171+AX173</f>
        <v>9777060.1201588511</v>
      </c>
      <c r="AY176" s="168">
        <f t="shared" si="33"/>
        <v>0</v>
      </c>
      <c r="AZ176" s="168">
        <f t="shared" si="33"/>
        <v>8038836.5700000003</v>
      </c>
      <c r="BA176" s="168">
        <f t="shared" si="33"/>
        <v>0</v>
      </c>
      <c r="BB176" s="168">
        <f t="shared" si="33"/>
        <v>2610922.7399374889</v>
      </c>
      <c r="BC176" s="168">
        <f t="shared" si="33"/>
        <v>0</v>
      </c>
      <c r="BD176" s="168">
        <f t="shared" si="33"/>
        <v>16127432.373180207</v>
      </c>
      <c r="BE176" s="168">
        <f t="shared" si="33"/>
        <v>0</v>
      </c>
      <c r="BF176" s="168">
        <f t="shared" si="33"/>
        <v>2023191.44</v>
      </c>
      <c r="BG176" s="168">
        <f t="shared" si="33"/>
        <v>0</v>
      </c>
      <c r="BH176" s="168">
        <f t="shared" si="33"/>
        <v>0</v>
      </c>
      <c r="BI176" s="168">
        <f t="shared" si="33"/>
        <v>0</v>
      </c>
      <c r="BJ176" s="168">
        <f t="shared" si="33"/>
        <v>0</v>
      </c>
      <c r="BK176" s="168">
        <f t="shared" si="33"/>
        <v>0</v>
      </c>
      <c r="BL176" s="168">
        <f t="shared" si="33"/>
        <v>153499191.76029521</v>
      </c>
      <c r="BM176" s="168">
        <f t="shared" si="33"/>
        <v>3202104</v>
      </c>
      <c r="BN176" s="168">
        <f t="shared" si="33"/>
        <v>6801999</v>
      </c>
      <c r="BO176" s="168">
        <f t="shared" si="33"/>
        <v>4673615</v>
      </c>
      <c r="BP176" s="168">
        <f t="shared" si="33"/>
        <v>11051472.53999998</v>
      </c>
      <c r="BQ176" s="168">
        <f t="shared" si="33"/>
        <v>7699097</v>
      </c>
      <c r="BR176" s="168">
        <f t="shared" si="33"/>
        <v>163015704.23029518</v>
      </c>
      <c r="BS176" s="168">
        <f t="shared" si="33"/>
        <v>14335953</v>
      </c>
      <c r="BT176" s="168">
        <f t="shared" si="33"/>
        <v>-4564456.1302951835</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BR176/B4</f>
        <v>346841.92389424506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319</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v>100</v>
      </c>
      <c r="BC181" s="10"/>
      <c r="BD181" s="10"/>
      <c r="BE181" s="10"/>
      <c r="BF181" s="10"/>
      <c r="BG181" s="10"/>
      <c r="BH181" s="10"/>
      <c r="BI181" s="10"/>
      <c r="BJ181" s="10"/>
      <c r="BK181" s="9"/>
      <c r="BL181" s="10">
        <f>SUM(T181:BK181)</f>
        <v>100</v>
      </c>
      <c r="BM181" s="9"/>
      <c r="BN181" s="10">
        <v>0</v>
      </c>
      <c r="BO181" s="9"/>
      <c r="BP181" s="10">
        <f>+R181-BL181+BN181</f>
        <v>-100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si="34"/>
        <v>546828.10862083337</v>
      </c>
      <c r="AG185" s="10">
        <f t="shared" si="34"/>
        <v>0</v>
      </c>
      <c r="AH185" s="10">
        <f t="shared" si="34"/>
        <v>1092835.7521383627</v>
      </c>
      <c r="AI185" s="10">
        <f t="shared" si="34"/>
        <v>0</v>
      </c>
      <c r="AJ185" s="10">
        <f t="shared" si="34"/>
        <v>1496281.3264166121</v>
      </c>
      <c r="AK185" s="10"/>
      <c r="AL185" s="10">
        <f t="shared" si="34"/>
        <v>1780115.93</v>
      </c>
      <c r="AM185" s="10"/>
      <c r="AN185" s="10">
        <f t="shared" si="34"/>
        <v>1603218.0055069246</v>
      </c>
      <c r="AO185" s="10">
        <f t="shared" si="34"/>
        <v>0</v>
      </c>
      <c r="AP185" s="10">
        <f t="shared" si="34"/>
        <v>5445164.3709659204</v>
      </c>
      <c r="AQ185" s="10">
        <f t="shared" si="34"/>
        <v>0</v>
      </c>
      <c r="AR185" s="10">
        <f t="shared" si="34"/>
        <v>4677967.54</v>
      </c>
      <c r="AS185" s="10">
        <f t="shared" si="34"/>
        <v>0</v>
      </c>
      <c r="AT185" s="10">
        <f t="shared" si="34"/>
        <v>8750380.3051100411</v>
      </c>
      <c r="AU185" s="10">
        <f t="shared" si="34"/>
        <v>0</v>
      </c>
      <c r="AV185" s="10">
        <f t="shared" si="34"/>
        <v>9706071.6582599431</v>
      </c>
      <c r="AW185" s="10">
        <f t="shared" si="34"/>
        <v>0</v>
      </c>
      <c r="AX185" s="10">
        <f t="shared" si="34"/>
        <v>9777060.1201588511</v>
      </c>
      <c r="AY185" s="10">
        <f t="shared" si="34"/>
        <v>0</v>
      </c>
      <c r="AZ185" s="10">
        <f t="shared" si="34"/>
        <v>8038836.5700000003</v>
      </c>
      <c r="BA185" s="10">
        <f t="shared" si="34"/>
        <v>0</v>
      </c>
      <c r="BB185" s="10">
        <f t="shared" si="34"/>
        <v>2611022.7399374889</v>
      </c>
      <c r="BC185" s="10">
        <f t="shared" si="34"/>
        <v>0</v>
      </c>
      <c r="BD185" s="10">
        <f t="shared" si="34"/>
        <v>16127432.373180207</v>
      </c>
      <c r="BE185" s="10">
        <f t="shared" si="34"/>
        <v>0</v>
      </c>
      <c r="BF185" s="10">
        <f t="shared" si="34"/>
        <v>2023191.44</v>
      </c>
      <c r="BG185" s="10">
        <f t="shared" si="34"/>
        <v>0</v>
      </c>
      <c r="BH185" s="10">
        <f t="shared" si="34"/>
        <v>0</v>
      </c>
      <c r="BI185" s="10">
        <f t="shared" si="34"/>
        <v>0</v>
      </c>
      <c r="BJ185" s="10">
        <f t="shared" si="34"/>
        <v>0</v>
      </c>
      <c r="BK185" s="10">
        <f t="shared" si="34"/>
        <v>0</v>
      </c>
      <c r="BL185" s="10">
        <f t="shared" si="34"/>
        <v>153387970.2702952</v>
      </c>
      <c r="BM185" s="10">
        <f t="shared" si="34"/>
        <v>3202104</v>
      </c>
      <c r="BN185" s="10">
        <f>BN176+BN179+BN181+BN183</f>
        <v>6801999</v>
      </c>
      <c r="BO185" s="10">
        <f t="shared" si="34"/>
        <v>4673615</v>
      </c>
      <c r="BP185" s="10">
        <f t="shared" si="34"/>
        <v>11051372.029999981</v>
      </c>
      <c r="BQ185" s="10">
        <f t="shared" si="34"/>
        <v>7699097</v>
      </c>
      <c r="BR185" s="10">
        <f t="shared" si="34"/>
        <v>162904382.23029518</v>
      </c>
      <c r="BS185" s="10">
        <f t="shared" si="34"/>
        <v>14335953</v>
      </c>
      <c r="BT185" s="10">
        <f t="shared" si="34"/>
        <v>-4564456.1302951835</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si="35"/>
        <v>573248.10862083337</v>
      </c>
      <c r="AG198" s="121">
        <f t="shared" si="35"/>
        <v>0</v>
      </c>
      <c r="AH198" s="121">
        <f t="shared" si="35"/>
        <v>1116780.7521383627</v>
      </c>
      <c r="AI198" s="121">
        <f t="shared" si="35"/>
        <v>0</v>
      </c>
      <c r="AJ198" s="121">
        <f t="shared" si="35"/>
        <v>1496281.3264166121</v>
      </c>
      <c r="AK198" s="121">
        <f t="shared" si="35"/>
        <v>0</v>
      </c>
      <c r="AL198" s="121">
        <f t="shared" si="35"/>
        <v>1780115.93</v>
      </c>
      <c r="AM198" s="121">
        <f t="shared" si="35"/>
        <v>0</v>
      </c>
      <c r="AN198" s="121">
        <f t="shared" si="35"/>
        <v>1566383.0055069246</v>
      </c>
      <c r="AO198" s="121">
        <f t="shared" si="35"/>
        <v>0</v>
      </c>
      <c r="AP198" s="121">
        <f t="shared" si="35"/>
        <v>5481999.3709659204</v>
      </c>
      <c r="AQ198" s="121">
        <f t="shared" si="35"/>
        <v>0</v>
      </c>
      <c r="AR198" s="121">
        <f t="shared" si="35"/>
        <v>4677967.54</v>
      </c>
      <c r="AS198" s="121">
        <f t="shared" si="35"/>
        <v>0</v>
      </c>
      <c r="AT198" s="121">
        <f t="shared" si="35"/>
        <v>8750380.3051100411</v>
      </c>
      <c r="AU198" s="121">
        <f t="shared" si="35"/>
        <v>0</v>
      </c>
      <c r="AV198" s="121">
        <f t="shared" si="35"/>
        <v>9706071.6582599431</v>
      </c>
      <c r="AW198" s="121">
        <f t="shared" si="35"/>
        <v>0</v>
      </c>
      <c r="AX198" s="121">
        <f t="shared" ref="AX198:BT198" si="36">AX176+AX194</f>
        <v>9777060.1201588511</v>
      </c>
      <c r="AY198" s="121">
        <f t="shared" si="36"/>
        <v>0</v>
      </c>
      <c r="AZ198" s="121">
        <f t="shared" si="36"/>
        <v>8038836.5700000003</v>
      </c>
      <c r="BA198" s="121">
        <f t="shared" si="36"/>
        <v>0</v>
      </c>
      <c r="BB198" s="121">
        <f t="shared" si="36"/>
        <v>2610922.7399374889</v>
      </c>
      <c r="BC198" s="121">
        <f t="shared" si="36"/>
        <v>0</v>
      </c>
      <c r="BD198" s="121">
        <f t="shared" si="36"/>
        <v>16127432.373180207</v>
      </c>
      <c r="BE198" s="121">
        <f t="shared" si="36"/>
        <v>0</v>
      </c>
      <c r="BF198" s="121">
        <f t="shared" si="36"/>
        <v>2023191.44</v>
      </c>
      <c r="BG198" s="121">
        <f t="shared" si="36"/>
        <v>0</v>
      </c>
      <c r="BH198" s="121">
        <f t="shared" si="36"/>
        <v>0</v>
      </c>
      <c r="BI198" s="121">
        <f t="shared" si="36"/>
        <v>0</v>
      </c>
      <c r="BJ198" s="121">
        <f t="shared" si="36"/>
        <v>0</v>
      </c>
      <c r="BK198" s="121">
        <f t="shared" si="36"/>
        <v>0</v>
      </c>
      <c r="BL198" s="121">
        <f t="shared" si="36"/>
        <v>153514291.76029521</v>
      </c>
      <c r="BM198" s="121">
        <f t="shared" si="36"/>
        <v>3202104</v>
      </c>
      <c r="BN198" s="121">
        <f t="shared" si="36"/>
        <v>6801999</v>
      </c>
      <c r="BO198" s="121">
        <f t="shared" si="36"/>
        <v>4673615</v>
      </c>
      <c r="BP198" s="121">
        <f t="shared" si="36"/>
        <v>11051472.53999998</v>
      </c>
      <c r="BQ198" s="121">
        <f t="shared" si="36"/>
        <v>7699097</v>
      </c>
      <c r="BR198" s="121">
        <f t="shared" si="36"/>
        <v>163030804.23029518</v>
      </c>
      <c r="BS198" s="121">
        <f t="shared" si="36"/>
        <v>14335953</v>
      </c>
      <c r="BT198" s="121">
        <f t="shared" si="36"/>
        <v>-4564456.1302951835</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si="37"/>
        <v>546828.10862083337</v>
      </c>
      <c r="AG200" s="121">
        <f t="shared" si="37"/>
        <v>0</v>
      </c>
      <c r="AH200" s="121">
        <f t="shared" si="37"/>
        <v>1092835.7521383627</v>
      </c>
      <c r="AI200" s="121">
        <f t="shared" si="37"/>
        <v>0</v>
      </c>
      <c r="AJ200" s="121">
        <f t="shared" si="37"/>
        <v>1496281.3264166121</v>
      </c>
      <c r="AK200" s="121">
        <f t="shared" si="37"/>
        <v>0</v>
      </c>
      <c r="AL200" s="121">
        <f t="shared" si="37"/>
        <v>1780115.93</v>
      </c>
      <c r="AM200" s="121">
        <f t="shared" si="37"/>
        <v>0</v>
      </c>
      <c r="AN200" s="121">
        <f t="shared" si="37"/>
        <v>1603218.0055069246</v>
      </c>
      <c r="AO200" s="121">
        <f t="shared" si="37"/>
        <v>0</v>
      </c>
      <c r="AP200" s="121">
        <f t="shared" si="37"/>
        <v>5445164.3709659204</v>
      </c>
      <c r="AQ200" s="121">
        <f t="shared" si="37"/>
        <v>0</v>
      </c>
      <c r="AR200" s="121">
        <f t="shared" si="37"/>
        <v>4677967.54</v>
      </c>
      <c r="AS200" s="121">
        <f t="shared" si="37"/>
        <v>0</v>
      </c>
      <c r="AT200" s="121">
        <f t="shared" si="37"/>
        <v>8750380.3051100411</v>
      </c>
      <c r="AU200" s="121">
        <f t="shared" si="37"/>
        <v>0</v>
      </c>
      <c r="AV200" s="121">
        <f t="shared" si="37"/>
        <v>9706071.6582599431</v>
      </c>
      <c r="AW200" s="121">
        <f t="shared" si="37"/>
        <v>0</v>
      </c>
      <c r="AX200" s="121">
        <f t="shared" si="37"/>
        <v>9777060.1201588511</v>
      </c>
      <c r="AY200" s="121">
        <f t="shared" si="37"/>
        <v>0</v>
      </c>
      <c r="AZ200" s="121">
        <f t="shared" si="37"/>
        <v>8038836.5700000003</v>
      </c>
      <c r="BA200" s="121">
        <f t="shared" si="37"/>
        <v>0</v>
      </c>
      <c r="BB200" s="121">
        <f t="shared" si="37"/>
        <v>2611022.7399374889</v>
      </c>
      <c r="BC200" s="121">
        <f t="shared" si="37"/>
        <v>0</v>
      </c>
      <c r="BD200" s="121">
        <f t="shared" si="37"/>
        <v>16127432.373180207</v>
      </c>
      <c r="BE200" s="121">
        <f t="shared" si="37"/>
        <v>0</v>
      </c>
      <c r="BF200" s="121">
        <f t="shared" si="37"/>
        <v>2023191.44</v>
      </c>
      <c r="BG200" s="121">
        <f t="shared" si="37"/>
        <v>0</v>
      </c>
      <c r="BH200" s="121">
        <f t="shared" si="37"/>
        <v>0</v>
      </c>
      <c r="BI200" s="121">
        <f t="shared" si="37"/>
        <v>0</v>
      </c>
      <c r="BJ200" s="121">
        <f t="shared" si="37"/>
        <v>0</v>
      </c>
      <c r="BK200" s="121">
        <f t="shared" si="37"/>
        <v>0</v>
      </c>
      <c r="BL200" s="121">
        <f t="shared" si="37"/>
        <v>153403070.2702952</v>
      </c>
      <c r="BM200" s="121">
        <f t="shared" si="37"/>
        <v>3202104</v>
      </c>
      <c r="BN200" s="121">
        <f t="shared" si="37"/>
        <v>6801999</v>
      </c>
      <c r="BO200" s="121">
        <f t="shared" si="37"/>
        <v>4673615</v>
      </c>
      <c r="BP200" s="121">
        <f t="shared" si="37"/>
        <v>11051372.029999981</v>
      </c>
      <c r="BQ200" s="121">
        <f t="shared" si="37"/>
        <v>7699097</v>
      </c>
      <c r="BR200" s="121">
        <f t="shared" si="37"/>
        <v>162919482.23029518</v>
      </c>
      <c r="BS200" s="121">
        <f t="shared" si="37"/>
        <v>14335953</v>
      </c>
      <c r="BT200" s="121">
        <f t="shared" si="37"/>
        <v>-4564456.1302951835</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hidden="1" thickTop="1"/>
    <row r="202" spans="1:122" hidden="1">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hidden="1">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t="s">
        <v>581</v>
      </c>
      <c r="BE203" s="22"/>
      <c r="BF203" s="22"/>
      <c r="BG203" s="22"/>
      <c r="BH203" s="22"/>
      <c r="BI203" s="22"/>
      <c r="BJ203" s="22"/>
      <c r="BK203" s="6"/>
      <c r="BL203" s="22">
        <v>150433850.90000001</v>
      </c>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hidden="1">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t="s">
        <v>590</v>
      </c>
      <c r="BE204" s="22"/>
      <c r="BF204" s="22"/>
      <c r="BG204" s="22"/>
      <c r="BH204" s="22"/>
      <c r="BI204" s="22"/>
      <c r="BJ204" s="22"/>
      <c r="BK204" s="6"/>
      <c r="BL204" s="22">
        <v>-6951.06</v>
      </c>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hidden="1">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t="s">
        <v>582</v>
      </c>
      <c r="BE205" s="22"/>
      <c r="BF205" s="22"/>
      <c r="BG205" s="22"/>
      <c r="BH205" s="22"/>
      <c r="BI205" s="22"/>
      <c r="BJ205" s="22"/>
      <c r="BK205" s="6"/>
      <c r="BL205" s="22">
        <v>809622.95</v>
      </c>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hidden="1">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t="s">
        <v>588</v>
      </c>
      <c r="BE206" s="22"/>
      <c r="BF206" s="22"/>
      <c r="BG206" s="22"/>
      <c r="BH206" s="22"/>
      <c r="BI206" s="22"/>
      <c r="BJ206" s="22"/>
      <c r="BK206" s="6"/>
      <c r="BL206" s="22">
        <f>BD145</f>
        <v>-297293.82</v>
      </c>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hidden="1">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t="s">
        <v>569</v>
      </c>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hidden="1">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t="s">
        <v>583</v>
      </c>
      <c r="BE208" s="22"/>
      <c r="BF208" s="22"/>
      <c r="BG208" s="22"/>
      <c r="BH208" s="22"/>
      <c r="BI208" s="22"/>
      <c r="BJ208" s="22"/>
      <c r="BK208" s="6"/>
      <c r="BL208" s="22">
        <v>195452.35</v>
      </c>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hidden="1">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t="s">
        <v>319</v>
      </c>
      <c r="BE209" s="22"/>
      <c r="BF209" s="22"/>
      <c r="BG209" s="22"/>
      <c r="BH209" s="22"/>
      <c r="BI209" s="22"/>
      <c r="BJ209" s="22"/>
      <c r="BK209" s="6"/>
      <c r="BL209" s="22">
        <v>100</v>
      </c>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hidden="1">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t="s">
        <v>577</v>
      </c>
      <c r="BE210" s="22"/>
      <c r="BF210" s="22"/>
      <c r="BG210" s="22"/>
      <c r="BH210" s="22"/>
      <c r="BI210" s="22"/>
      <c r="BJ210" s="22"/>
      <c r="BK210" s="6"/>
      <c r="BL210" s="22">
        <f>BD169</f>
        <v>229734.42318020624</v>
      </c>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hidden="1">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t="s">
        <v>584</v>
      </c>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hidden="1">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f>SUM(BL203:BL211)</f>
        <v>151364515.74318019</v>
      </c>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hidden="1">
      <c r="K213" s="5"/>
      <c r="L213" s="149"/>
      <c r="M213" s="6"/>
      <c r="O213" s="6"/>
      <c r="Q213" s="6"/>
      <c r="S213" s="6"/>
      <c r="T213" s="22"/>
      <c r="U213" s="6"/>
      <c r="V213" s="22"/>
      <c r="X213" s="22"/>
      <c r="Z213" s="22"/>
      <c r="AB213" s="22"/>
      <c r="AD213" s="22"/>
      <c r="AF213" s="22"/>
      <c r="AH213" s="22"/>
      <c r="AJ213" s="22"/>
      <c r="AL213" s="22"/>
      <c r="AN213" s="22"/>
      <c r="AP213" s="22"/>
      <c r="AR213" s="22"/>
      <c r="AT213" s="22"/>
      <c r="AU213" s="22"/>
      <c r="AV213" s="22"/>
      <c r="AW213" s="22"/>
      <c r="AX213" s="22"/>
      <c r="AY213" s="22"/>
      <c r="AZ213" s="22"/>
      <c r="BA213" s="22"/>
      <c r="BB213" s="22"/>
      <c r="BC213" s="22"/>
      <c r="BD213" s="22"/>
      <c r="BE213" s="22"/>
      <c r="BF213" s="22"/>
      <c r="BG213" s="22"/>
      <c r="BH213" s="22"/>
      <c r="BI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hidden="1">
      <c r="K214" s="5"/>
      <c r="L214" s="149"/>
      <c r="M214" s="6"/>
      <c r="O214" s="6"/>
      <c r="Q214" s="6"/>
      <c r="S214" s="6"/>
      <c r="T214" s="22"/>
      <c r="U214" s="6"/>
      <c r="V214" s="22"/>
      <c r="X214" s="22"/>
      <c r="Z214" s="22"/>
      <c r="AB214" s="22"/>
      <c r="AD214" s="22"/>
      <c r="AF214" s="22"/>
      <c r="AH214" s="22"/>
      <c r="AJ214" s="22"/>
      <c r="AL214" s="22"/>
      <c r="AN214" s="22"/>
      <c r="AP214" s="22"/>
      <c r="AR214" s="22"/>
      <c r="AT214" s="22"/>
      <c r="AU214" s="22"/>
      <c r="AV214" s="22"/>
      <c r="AW214" s="22"/>
      <c r="AX214" s="22"/>
      <c r="AY214" s="22"/>
      <c r="AZ214" s="22"/>
      <c r="BA214" s="22"/>
      <c r="BB214" s="22"/>
      <c r="BC214" s="22"/>
      <c r="BD214" s="22"/>
      <c r="BE214" s="22"/>
      <c r="BF214" s="22"/>
      <c r="BG214" s="22"/>
      <c r="BH214" s="22"/>
      <c r="BI214" s="22"/>
      <c r="BJ214" s="22"/>
      <c r="BK214" s="6"/>
      <c r="BL214" s="484">
        <f>BL185-BL212</f>
        <v>2023454.5271150172</v>
      </c>
      <c r="BM214" s="6"/>
      <c r="BN214" s="22"/>
      <c r="BO214" s="6"/>
      <c r="BU214" s="6"/>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row>
    <row r="215" spans="11:122" hidden="1">
      <c r="K215" s="5"/>
      <c r="L215" s="149"/>
      <c r="M215" s="6"/>
      <c r="O215" s="6"/>
      <c r="Q215" s="6"/>
      <c r="S215" s="6"/>
      <c r="T215" s="22"/>
      <c r="U215" s="6"/>
      <c r="V215" s="22"/>
      <c r="X215" s="22"/>
      <c r="Z215" s="22"/>
      <c r="AB215" s="22"/>
      <c r="AD215" s="22"/>
      <c r="AF215" s="22"/>
      <c r="AH215" s="22"/>
      <c r="AJ215" s="22"/>
      <c r="AL215" s="22"/>
      <c r="AN215" s="22"/>
      <c r="AP215" s="22"/>
      <c r="AR215" s="22"/>
      <c r="AT215" s="22"/>
      <c r="AU215" s="22"/>
      <c r="AV215" s="22"/>
      <c r="AW215" s="22"/>
      <c r="AX215" s="22"/>
      <c r="AY215" s="22"/>
      <c r="AZ215" s="22"/>
      <c r="BA215" s="22"/>
      <c r="BB215" s="22"/>
      <c r="BC215" s="22"/>
      <c r="BD215" s="22"/>
      <c r="BE215" s="22"/>
      <c r="BF215" s="22"/>
      <c r="BG215" s="22"/>
      <c r="BH215" s="22"/>
      <c r="BI215" s="22"/>
      <c r="BJ215" s="22"/>
      <c r="BK215" s="6"/>
      <c r="BL215" s="22"/>
      <c r="BM215" s="6"/>
      <c r="BN215" s="22"/>
      <c r="BO215" s="6"/>
      <c r="BU215" s="6"/>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row>
    <row r="216" spans="11:122" hidden="1">
      <c r="K216" s="5"/>
      <c r="L216" s="149"/>
      <c r="M216" s="6"/>
      <c r="O216" s="6"/>
      <c r="Q216" s="6"/>
      <c r="S216" s="6"/>
      <c r="T216" s="22"/>
      <c r="U216" s="6"/>
      <c r="V216" s="22"/>
      <c r="X216" s="22"/>
      <c r="Z216" s="22"/>
      <c r="AB216" s="22"/>
      <c r="AD216" s="22"/>
      <c r="AF216" s="22"/>
      <c r="AH216" s="22"/>
      <c r="AJ216" s="22"/>
      <c r="AL216" s="22"/>
      <c r="AN216" s="22"/>
      <c r="AP216" s="22"/>
      <c r="AR216" s="22"/>
      <c r="AT216" s="22"/>
      <c r="AU216" s="22"/>
      <c r="AV216" s="22"/>
      <c r="AW216" s="22"/>
      <c r="AX216" s="22"/>
      <c r="AY216" s="22"/>
      <c r="AZ216" s="22"/>
      <c r="BA216" s="22"/>
      <c r="BB216" s="22"/>
      <c r="BC216" s="22"/>
      <c r="BD216" s="22"/>
      <c r="BE216" s="22"/>
      <c r="BF216" s="22"/>
      <c r="BG216" s="22"/>
      <c r="BH216" s="22"/>
      <c r="BI216" s="22"/>
      <c r="BJ216" s="22"/>
      <c r="BK216" s="6"/>
      <c r="BL216" s="22"/>
      <c r="BM216" s="6"/>
      <c r="BN216" s="22"/>
      <c r="BO216" s="6"/>
      <c r="BU216" s="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row>
    <row r="217" spans="11:122" hidden="1">
      <c r="K217" s="5"/>
      <c r="L217" s="149"/>
      <c r="M217" s="6"/>
      <c r="O217" s="6"/>
      <c r="Q217" s="6"/>
      <c r="S217" s="6"/>
      <c r="T217" s="22"/>
      <c r="U217" s="6"/>
      <c r="V217" s="22"/>
      <c r="X217" s="22"/>
      <c r="Z217" s="22"/>
      <c r="AB217" s="22"/>
      <c r="AD217" s="22"/>
      <c r="BJ217" s="22"/>
      <c r="BK217" s="6"/>
      <c r="BL217" s="22"/>
      <c r="BM217" s="6"/>
      <c r="BN217" s="22"/>
      <c r="BO217" s="6"/>
      <c r="BU217" s="6"/>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row>
    <row r="218" spans="11:122" hidden="1">
      <c r="K218" s="5"/>
      <c r="L218" s="149"/>
      <c r="BL218" s="22"/>
    </row>
    <row r="219" spans="11:122" hidden="1">
      <c r="K219" s="5"/>
      <c r="L219" s="149"/>
      <c r="BL219" s="22"/>
    </row>
    <row r="220" spans="11:122" hidden="1">
      <c r="K220" s="5"/>
      <c r="L220" s="149"/>
      <c r="BL220" s="22"/>
    </row>
    <row r="221" spans="11:122" hidden="1">
      <c r="K221" s="5"/>
      <c r="L221" s="149"/>
      <c r="BL221" s="22"/>
    </row>
    <row r="222" spans="11:122" hidden="1">
      <c r="K222" s="5"/>
      <c r="L222" s="149"/>
      <c r="BL222" s="22"/>
    </row>
    <row r="223" spans="11:122" hidden="1">
      <c r="K223" s="5"/>
      <c r="L223" s="149"/>
      <c r="BL223" s="22"/>
    </row>
    <row r="224" spans="11:122" hidden="1">
      <c r="K224" s="5"/>
      <c r="L224" s="149"/>
      <c r="BL224" s="22"/>
    </row>
    <row r="225" spans="11:64" hidden="1">
      <c r="K225" s="5"/>
      <c r="L225" s="149"/>
      <c r="BL225" s="22"/>
    </row>
    <row r="226" spans="11:64" hidden="1">
      <c r="L226" s="134"/>
      <c r="BL226" s="22"/>
    </row>
    <row r="227" spans="11:64" hidden="1">
      <c r="BL227" s="22"/>
    </row>
    <row r="228" spans="11:64" hidden="1">
      <c r="BL228" s="22"/>
    </row>
    <row r="229" spans="11:64" hidden="1">
      <c r="BL229" s="22"/>
    </row>
    <row r="230" spans="11:64" hidden="1">
      <c r="BL230" s="22"/>
    </row>
    <row r="231" spans="11:64" hidden="1">
      <c r="BL231" s="22"/>
    </row>
    <row r="232" spans="11:64" hidden="1">
      <c r="BL232" s="22"/>
    </row>
    <row r="233" spans="11:64" hidden="1">
      <c r="BL233" s="22"/>
    </row>
    <row r="234" spans="11:64" hidden="1">
      <c r="BL234" s="22"/>
    </row>
    <row r="235" spans="11:64" hidden="1">
      <c r="BL235" s="22"/>
    </row>
    <row r="236" spans="11:64" hidden="1">
      <c r="BL236" s="22"/>
    </row>
    <row r="237" spans="11:64" hidden="1">
      <c r="BL237" s="22"/>
    </row>
    <row r="238" spans="11:64" hidden="1">
      <c r="BL238" s="22"/>
    </row>
    <row r="239" spans="11:64" hidden="1">
      <c r="BL239" s="22"/>
    </row>
    <row r="240" spans="11:64" hidden="1">
      <c r="BL240" s="22"/>
    </row>
    <row r="241" spans="64:64" hidden="1">
      <c r="BL241" s="22"/>
    </row>
    <row r="242" spans="64:64" hidden="1">
      <c r="BL242" s="22"/>
    </row>
    <row r="243" spans="64:64" hidden="1">
      <c r="BL243" s="22"/>
    </row>
    <row r="244" spans="64:64" hidden="1">
      <c r="BL244" s="22"/>
    </row>
    <row r="245" spans="64:64" hidden="1">
      <c r="BL245" s="22"/>
    </row>
    <row r="246" spans="64:64" hidden="1">
      <c r="BL246" s="22"/>
    </row>
    <row r="247" spans="64:64" ht="13.5" thickTop="1">
      <c r="BL247" s="22"/>
    </row>
    <row r="248" spans="64:64">
      <c r="BL248" s="22"/>
    </row>
    <row r="249" spans="64:64">
      <c r="BL249" s="22"/>
    </row>
    <row r="250" spans="64:64">
      <c r="BL250" s="22"/>
    </row>
    <row r="251" spans="64:64">
      <c r="BL251" s="22"/>
    </row>
    <row r="252" spans="64:64">
      <c r="BL252" s="22"/>
    </row>
    <row r="253" spans="64:64">
      <c r="BL253" s="22"/>
    </row>
    <row r="254" spans="64:64">
      <c r="BL254" s="22"/>
    </row>
    <row r="255" spans="64:64">
      <c r="BL255"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2000-08-01T13:41:44Z</cp:lastPrinted>
  <dcterms:created xsi:type="dcterms:W3CDTF">1998-11-04T14:40:39Z</dcterms:created>
  <dcterms:modified xsi:type="dcterms:W3CDTF">2023-09-13T21:40:19Z</dcterms:modified>
</cp:coreProperties>
</file>