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2CD6D0E-967C-4074-8798-083395625241}"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Summary!$A$1:$O$115</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H43" i="15"/>
  <c r="BN43" i="15"/>
  <c r="BP43" i="15"/>
  <c r="BR43" i="15"/>
  <c r="BT43" i="15"/>
  <c r="BV43" i="15"/>
  <c r="AR44" i="15"/>
  <c r="AV44" i="15"/>
  <c r="AZ44" i="15"/>
  <c r="BH44" i="15"/>
  <c r="BN44" i="15"/>
  <c r="BP44" i="15"/>
  <c r="BR44" i="15"/>
  <c r="BT44" i="15"/>
  <c r="BV44" i="15"/>
  <c r="AR45" i="15"/>
  <c r="AV45" i="15"/>
  <c r="AZ45" i="15"/>
  <c r="BH45" i="15"/>
  <c r="BN45" i="15"/>
  <c r="BP45" i="15"/>
  <c r="BR45" i="15"/>
  <c r="BT45" i="15"/>
  <c r="BV45" i="15"/>
  <c r="AV46" i="15"/>
  <c r="AZ46" i="15"/>
  <c r="BH46" i="15"/>
  <c r="BN46" i="15"/>
  <c r="BP46" i="15"/>
  <c r="BR46" i="15"/>
  <c r="BT46" i="15"/>
  <c r="BV46" i="15"/>
  <c r="AV47" i="15"/>
  <c r="AZ47" i="15"/>
  <c r="BH47" i="15"/>
  <c r="BN47" i="15"/>
  <c r="BR47" i="15"/>
  <c r="BT47" i="15"/>
  <c r="BV47" i="15"/>
  <c r="BN48" i="15"/>
  <c r="BR48" i="15"/>
  <c r="BT48" i="15"/>
  <c r="BV48" i="15"/>
  <c r="BN49" i="15"/>
  <c r="BR49" i="15"/>
  <c r="BT49" i="15"/>
  <c r="BV49" i="15"/>
  <c r="BN50" i="15"/>
  <c r="BR50" i="15"/>
  <c r="BT50" i="15"/>
  <c r="BV50" i="15"/>
  <c r="AZ51" i="15"/>
  <c r="BH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H57" i="15"/>
  <c r="BN57" i="15"/>
  <c r="BR57" i="15"/>
  <c r="BT57" i="15"/>
  <c r="BV57" i="15"/>
  <c r="AZ58" i="15"/>
  <c r="BH58" i="15"/>
  <c r="BN58" i="15"/>
  <c r="BP58" i="15"/>
  <c r="BR58" i="15"/>
  <c r="BT58" i="15"/>
  <c r="BV58" i="15"/>
  <c r="BH59" i="15"/>
  <c r="BN59" i="15"/>
  <c r="BR59" i="15"/>
  <c r="BT59" i="15"/>
  <c r="BV59" i="15"/>
  <c r="BH60" i="15"/>
  <c r="BN60" i="15"/>
  <c r="BP60" i="15"/>
  <c r="BR60" i="15"/>
  <c r="BT60" i="15"/>
  <c r="BV60" i="15"/>
  <c r="BH61"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H66" i="15"/>
  <c r="BN66" i="15"/>
  <c r="BR66" i="15"/>
  <c r="BT66" i="15"/>
  <c r="BV66" i="15"/>
  <c r="AV67" i="15"/>
  <c r="AZ67" i="15"/>
  <c r="BH67" i="15"/>
  <c r="BN67" i="15"/>
  <c r="BP67" i="15"/>
  <c r="BR67" i="15"/>
  <c r="BT67" i="15"/>
  <c r="BV67" i="15"/>
  <c r="AZ68" i="15"/>
  <c r="BH68" i="15"/>
  <c r="BN68" i="15"/>
  <c r="BR68" i="15"/>
  <c r="BT68" i="15"/>
  <c r="BV68" i="15"/>
  <c r="BH69" i="15"/>
  <c r="BN69" i="15"/>
  <c r="BP69" i="15"/>
  <c r="BR69" i="15"/>
  <c r="BT69" i="15"/>
  <c r="BV69" i="15"/>
  <c r="AZ70" i="15"/>
  <c r="BH70" i="15"/>
  <c r="BN70" i="15"/>
  <c r="BR70" i="15"/>
  <c r="BT70" i="15"/>
  <c r="BV70" i="15"/>
  <c r="AV71" i="15"/>
  <c r="AZ71" i="15"/>
  <c r="BH71" i="15"/>
  <c r="BN71" i="15"/>
  <c r="BP71" i="15"/>
  <c r="BR71" i="15"/>
  <c r="BT71" i="15"/>
  <c r="BV71" i="15"/>
  <c r="AZ72" i="15"/>
  <c r="BH72" i="15"/>
  <c r="BN72" i="15"/>
  <c r="BR72" i="15"/>
  <c r="BT72" i="15"/>
  <c r="BV72" i="15"/>
  <c r="BH73" i="15"/>
  <c r="BN73" i="15"/>
  <c r="BP73" i="15"/>
  <c r="BR73" i="15"/>
  <c r="BT73" i="15"/>
  <c r="BV73" i="15"/>
  <c r="AZ74" i="15"/>
  <c r="BH74" i="15"/>
  <c r="BN74" i="15"/>
  <c r="BR74" i="15"/>
  <c r="BT74" i="15"/>
  <c r="BV74" i="15"/>
  <c r="AZ75" i="15"/>
  <c r="BH75" i="15"/>
  <c r="BN75" i="15"/>
  <c r="BP75" i="15"/>
  <c r="BR75" i="15"/>
  <c r="BT75" i="15"/>
  <c r="BV75" i="15"/>
  <c r="BN76" i="15"/>
  <c r="BR76" i="15"/>
  <c r="BT76" i="15"/>
  <c r="BV76" i="15"/>
  <c r="BH77" i="15"/>
  <c r="BN77" i="15"/>
  <c r="BP77" i="15"/>
  <c r="BR77" i="15"/>
  <c r="BT77" i="15"/>
  <c r="BV77" i="15"/>
  <c r="AZ78" i="15"/>
  <c r="BH78" i="15"/>
  <c r="BN78" i="15"/>
  <c r="BR78" i="15"/>
  <c r="BT78" i="15"/>
  <c r="BV78" i="15"/>
  <c r="AZ79" i="15"/>
  <c r="BH79" i="15"/>
  <c r="BN79" i="15"/>
  <c r="BP79" i="15"/>
  <c r="BR79" i="15"/>
  <c r="BT79" i="15"/>
  <c r="BV79" i="15"/>
  <c r="BH80" i="15"/>
  <c r="BN80" i="15"/>
  <c r="BP80" i="15"/>
  <c r="BR80" i="15"/>
  <c r="BT80" i="15"/>
  <c r="BV80" i="15"/>
  <c r="BN81" i="15"/>
  <c r="BP81" i="15"/>
  <c r="BR81" i="15"/>
  <c r="BT81" i="15"/>
  <c r="BV81" i="15"/>
  <c r="R82" i="15"/>
  <c r="BH82" i="15"/>
  <c r="BN82" i="15"/>
  <c r="BR82" i="15"/>
  <c r="BT82" i="15"/>
  <c r="BV82" i="15"/>
  <c r="AZ83" i="15"/>
  <c r="BH83" i="15"/>
  <c r="BN83" i="15"/>
  <c r="BP83" i="15"/>
  <c r="BR83" i="15"/>
  <c r="BT83" i="15"/>
  <c r="BV83" i="15"/>
  <c r="BH84"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H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H95" i="15"/>
  <c r="BN95" i="15"/>
  <c r="BP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H98"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D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J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0" i="5"/>
  <c r="C72" i="5"/>
  <c r="C73" i="5"/>
  <c r="C74" i="5"/>
  <c r="C78" i="5"/>
  <c r="C79" i="5"/>
  <c r="C80" i="5"/>
  <c r="C81" i="5"/>
  <c r="C82" i="5"/>
  <c r="C83" i="5"/>
  <c r="C84" i="5"/>
  <c r="C85" i="5"/>
  <c r="C86" i="5"/>
  <c r="C87" i="5"/>
  <c r="C88" i="5"/>
  <c r="C89" i="5"/>
  <c r="C90" i="5"/>
  <c r="C91" i="5"/>
  <c r="C92" i="5"/>
  <c r="C93" i="5"/>
  <c r="C94" i="5"/>
  <c r="C97" i="5"/>
  <c r="C98" i="5"/>
  <c r="C99" i="5"/>
  <c r="C100" i="5"/>
  <c r="C101" i="5"/>
  <c r="C102" i="5"/>
  <c r="C103" i="5"/>
  <c r="C104" i="5"/>
  <c r="C105" i="5"/>
  <c r="C106" i="5"/>
  <c r="C107" i="5"/>
  <c r="C109" i="5"/>
  <c r="A115"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H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F39" i="12"/>
  <c r="BL39" i="12"/>
  <c r="BN39" i="12"/>
  <c r="BP39" i="12"/>
  <c r="BR39" i="12"/>
  <c r="BT39" i="12"/>
  <c r="AP40" i="12"/>
  <c r="AR40" i="12"/>
  <c r="AT40" i="12"/>
  <c r="AX40" i="12"/>
  <c r="BD40" i="12"/>
  <c r="BF40" i="12"/>
  <c r="BL40" i="12"/>
  <c r="BN40" i="12"/>
  <c r="BP40" i="12"/>
  <c r="BR40" i="12"/>
  <c r="BT40" i="12"/>
  <c r="AP41" i="12"/>
  <c r="AR41" i="12"/>
  <c r="AT41" i="12"/>
  <c r="AX41" i="12"/>
  <c r="BD41" i="12"/>
  <c r="BF41" i="12"/>
  <c r="BL41" i="12"/>
  <c r="BN41" i="12"/>
  <c r="BP41" i="12"/>
  <c r="BR41" i="12"/>
  <c r="BT41" i="12"/>
  <c r="R42" i="12"/>
  <c r="AP42" i="12"/>
  <c r="AR42" i="12"/>
  <c r="AT42" i="12"/>
  <c r="AX42" i="12"/>
  <c r="BD42" i="12"/>
  <c r="BF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F49" i="12"/>
  <c r="BL49" i="12"/>
  <c r="BN49" i="12"/>
  <c r="BP49" i="12"/>
  <c r="BR49" i="12"/>
  <c r="BT49" i="12"/>
  <c r="AR50" i="12"/>
  <c r="AT50" i="12"/>
  <c r="AX50" i="12"/>
  <c r="BD50" i="12"/>
  <c r="BF50" i="12"/>
  <c r="BL50" i="12"/>
  <c r="BN50" i="12"/>
  <c r="BP50" i="12"/>
  <c r="BR50" i="12"/>
  <c r="BT50" i="12"/>
  <c r="AT51" i="12"/>
  <c r="AX51" i="12"/>
  <c r="BD51" i="12"/>
  <c r="BF51" i="12"/>
  <c r="BL51" i="12"/>
  <c r="BN51" i="12"/>
  <c r="BP51" i="12"/>
  <c r="BR51" i="12"/>
  <c r="BT51" i="12"/>
  <c r="AX52" i="12"/>
  <c r="BD52" i="12"/>
  <c r="BF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F56" i="12"/>
  <c r="BL56" i="12"/>
  <c r="BN56" i="12"/>
  <c r="BP56" i="12"/>
  <c r="BR56" i="12"/>
  <c r="BT56" i="12"/>
  <c r="BF57" i="12"/>
  <c r="BL57" i="12"/>
  <c r="BN57" i="12"/>
  <c r="BP57" i="12"/>
  <c r="BR57" i="12"/>
  <c r="BT57" i="12"/>
  <c r="AT58" i="12"/>
  <c r="AX58" i="12"/>
  <c r="BD58" i="12"/>
  <c r="BF58" i="12"/>
  <c r="BL58" i="12"/>
  <c r="BN58" i="12"/>
  <c r="BP58" i="12"/>
  <c r="BR58" i="12"/>
  <c r="BT58" i="12"/>
  <c r="AX59" i="12"/>
  <c r="BD59" i="12"/>
  <c r="BF59" i="12"/>
  <c r="BL59" i="12"/>
  <c r="BN59" i="12"/>
  <c r="BP59" i="12"/>
  <c r="BR59" i="12"/>
  <c r="BT59" i="12"/>
  <c r="AT60" i="12"/>
  <c r="AX60" i="12"/>
  <c r="BD60" i="12"/>
  <c r="BF60" i="12"/>
  <c r="BL60" i="12"/>
  <c r="BN60" i="12"/>
  <c r="BP60" i="12"/>
  <c r="BR60" i="12"/>
  <c r="BT60" i="12"/>
  <c r="AT61" i="12"/>
  <c r="AX61" i="12"/>
  <c r="BD61" i="12"/>
  <c r="BL61" i="12"/>
  <c r="BN61" i="12"/>
  <c r="BP61" i="12"/>
  <c r="BR61" i="12"/>
  <c r="BT61" i="12"/>
  <c r="AX62" i="12"/>
  <c r="BD62" i="12"/>
  <c r="BF62" i="12"/>
  <c r="BL62" i="12"/>
  <c r="BN62" i="12"/>
  <c r="BP62" i="12"/>
  <c r="BR62" i="12"/>
  <c r="BT62" i="12"/>
  <c r="AT63" i="12"/>
  <c r="AX63" i="12"/>
  <c r="BD63" i="12"/>
  <c r="BF63" i="12"/>
  <c r="BL63" i="12"/>
  <c r="BN63" i="12"/>
  <c r="BP63" i="12"/>
  <c r="BR63" i="12"/>
  <c r="BT63" i="12"/>
  <c r="AX64" i="12"/>
  <c r="BD64" i="12"/>
  <c r="BF64" i="12"/>
  <c r="BL64" i="12"/>
  <c r="BN64" i="12"/>
  <c r="BP64" i="12"/>
  <c r="BR64" i="12"/>
  <c r="BT64" i="12"/>
  <c r="AT65" i="12"/>
  <c r="AX65" i="12"/>
  <c r="BD65" i="12"/>
  <c r="BF65" i="12"/>
  <c r="BL65" i="12"/>
  <c r="BN65" i="12"/>
  <c r="BP65" i="12"/>
  <c r="BR65" i="12"/>
  <c r="BT65" i="12"/>
  <c r="AX66" i="12"/>
  <c r="BD66" i="12"/>
  <c r="BF66" i="12"/>
  <c r="BL66" i="12"/>
  <c r="BN66" i="12"/>
  <c r="BP66" i="12"/>
  <c r="BR66" i="12"/>
  <c r="BT66" i="12"/>
  <c r="AX67" i="12"/>
  <c r="BD67" i="12"/>
  <c r="BL67" i="12"/>
  <c r="BN67" i="12"/>
  <c r="BP67" i="12"/>
  <c r="BR67" i="12"/>
  <c r="BT67" i="12"/>
  <c r="BD68" i="12"/>
  <c r="BF68" i="12"/>
  <c r="BL68" i="12"/>
  <c r="BN68" i="12"/>
  <c r="BP68" i="12"/>
  <c r="BR68" i="12"/>
  <c r="BT68" i="12"/>
  <c r="AX69" i="12"/>
  <c r="BD69" i="12"/>
  <c r="BF69" i="12"/>
  <c r="BL69" i="12"/>
  <c r="BN69" i="12"/>
  <c r="BP69" i="12"/>
  <c r="BR69" i="12"/>
  <c r="BT69" i="12"/>
  <c r="AT70" i="12"/>
  <c r="AX70" i="12"/>
  <c r="BD70" i="12"/>
  <c r="BF70" i="12"/>
  <c r="BL70" i="12"/>
  <c r="BN70" i="12"/>
  <c r="BP70" i="12"/>
  <c r="BR70" i="12"/>
  <c r="BT70" i="12"/>
  <c r="AX71" i="12"/>
  <c r="BD71" i="12"/>
  <c r="BF71" i="12"/>
  <c r="BL71" i="12"/>
  <c r="BN71" i="12"/>
  <c r="BP71" i="12"/>
  <c r="BR71" i="12"/>
  <c r="BT71" i="12"/>
  <c r="AX72" i="12"/>
  <c r="BD72" i="12"/>
  <c r="BF72" i="12"/>
  <c r="BL72" i="12"/>
  <c r="BN72" i="12"/>
  <c r="BP72" i="12"/>
  <c r="BR72" i="12"/>
  <c r="BT72" i="12"/>
  <c r="R73" i="12"/>
  <c r="BD73" i="12"/>
  <c r="BF73" i="12"/>
  <c r="BL73" i="12"/>
  <c r="BN73" i="12"/>
  <c r="BP73" i="12"/>
  <c r="BR73" i="12"/>
  <c r="BT73" i="12"/>
  <c r="AT74" i="12"/>
  <c r="AX74" i="12"/>
  <c r="BD74" i="12"/>
  <c r="BF74" i="12"/>
  <c r="BL74" i="12"/>
  <c r="BN74" i="12"/>
  <c r="BP74" i="12"/>
  <c r="BR74" i="12"/>
  <c r="BT74" i="12"/>
  <c r="BD75" i="12"/>
  <c r="BF75" i="12"/>
  <c r="BL75" i="12"/>
  <c r="BN75" i="12"/>
  <c r="BP75" i="12"/>
  <c r="BR75" i="12"/>
  <c r="BT75" i="12"/>
  <c r="BL76" i="12"/>
  <c r="BP76" i="12"/>
  <c r="BR76" i="12"/>
  <c r="BT76" i="12"/>
  <c r="AX77" i="12"/>
  <c r="BD77" i="12"/>
  <c r="BF77" i="12"/>
  <c r="BL77" i="12"/>
  <c r="BN77" i="12"/>
  <c r="BP77" i="12"/>
  <c r="BR77" i="12"/>
  <c r="BT77" i="12"/>
  <c r="AX78" i="12"/>
  <c r="BD78" i="12"/>
  <c r="BF78" i="12"/>
  <c r="BL78" i="12"/>
  <c r="BN78" i="12"/>
  <c r="BT78" i="12"/>
  <c r="AX79" i="12"/>
  <c r="BD79" i="12"/>
  <c r="BF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F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F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F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aspoede</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 ref="BP108" authorId="1" shapeId="0">
      <text>
        <r>
          <rPr>
            <b/>
            <sz val="8"/>
            <color indexed="81"/>
            <rFont val="Tahoma"/>
          </rPr>
          <t>aspoede:</t>
        </r>
        <r>
          <rPr>
            <sz val="8"/>
            <color indexed="81"/>
            <rFont val="Tahoma"/>
          </rPr>
          <t xml:space="preserve">
LD against Braden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aspoede</author>
    <author>James M. Armstrong</author>
  </authors>
  <commentList>
    <comment ref="BR16" authorId="0" shapeId="0">
      <text>
        <r>
          <rPr>
            <b/>
            <sz val="8"/>
            <color indexed="81"/>
            <rFont val="Tahoma"/>
          </rPr>
          <t>aspoede:</t>
        </r>
        <r>
          <rPr>
            <sz val="8"/>
            <color indexed="81"/>
            <rFont val="Tahoma"/>
          </rPr>
          <t xml:space="preserve">
Claim against Westinghouse for Liquidated damages
</t>
        </r>
      </text>
    </comment>
    <comment ref="BF200" authorId="1" shapeId="0">
      <text>
        <r>
          <rPr>
            <b/>
            <sz val="8"/>
            <color indexed="81"/>
            <rFont val="Tahoma"/>
          </rPr>
          <t>James M. Armstrong:</t>
        </r>
        <r>
          <rPr>
            <sz val="8"/>
            <color indexed="81"/>
            <rFont val="Tahoma"/>
          </rPr>
          <t xml:space="preserve">
</t>
        </r>
      </text>
    </comment>
    <comment ref="AJ206" authorId="1" shapeId="0">
      <text>
        <r>
          <rPr>
            <b/>
            <sz val="8"/>
            <color indexed="81"/>
            <rFont val="Tahoma"/>
          </rPr>
          <t>James M. Armstrong:</t>
        </r>
        <r>
          <rPr>
            <sz val="8"/>
            <color indexed="81"/>
            <rFont val="Tahoma"/>
          </rPr>
          <t xml:space="preserve">
Legal exp of $3534 deducted to tie to draw schedule</t>
        </r>
      </text>
    </comment>
    <comment ref="AT206" authorId="1" shapeId="0">
      <text>
        <r>
          <rPr>
            <b/>
            <sz val="8"/>
            <color indexed="81"/>
            <rFont val="Tahoma"/>
          </rPr>
          <t>James M. Armstrong:</t>
        </r>
        <r>
          <rPr>
            <sz val="8"/>
            <color indexed="81"/>
            <rFont val="Tahoma"/>
          </rPr>
          <t xml:space="preserve">
Legal exp of $7634 deducted to tie to draw schedule</t>
        </r>
      </text>
    </comment>
  </commentList>
</comments>
</file>

<file path=xl/comments4.xml><?xml version="1.0" encoding="utf-8"?>
<comments xmlns="http://schemas.openxmlformats.org/spreadsheetml/2006/main">
  <authors>
    <author>aspoede</author>
  </authors>
  <commentList>
    <comment ref="BP12" authorId="0" shapeId="0">
      <text>
        <r>
          <rPr>
            <b/>
            <sz val="8"/>
            <color indexed="81"/>
            <rFont val="Tahoma"/>
          </rPr>
          <t>aspoede:</t>
        </r>
        <r>
          <rPr>
            <sz val="8"/>
            <color indexed="81"/>
            <rFont val="Tahoma"/>
          </rPr>
          <t xml:space="preserve">
Claim against WH for Liquidated damages</t>
        </r>
      </text>
    </comment>
  </commentList>
</comments>
</file>

<file path=xl/sharedStrings.xml><?xml version="1.0" encoding="utf-8"?>
<sst xmlns="http://schemas.openxmlformats.org/spreadsheetml/2006/main" count="1989" uniqueCount="597">
  <si>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</si>
  <si>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</si>
  <si>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</si>
  <si>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</si>
  <si>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</si>
  <si>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</si>
  <si>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</si>
  <si>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</si>
  <si>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</si>
  <si>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</si>
  <si>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</si>
  <si>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</si>
  <si>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</si>
  <si>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</si>
  <si>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</si>
  <si>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</si>
  <si>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</si>
  <si>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</si>
  <si>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</si>
  <si>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</si>
  <si>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</si>
  <si>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</si>
  <si>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</si>
  <si>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</si>
  <si>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</si>
  <si>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</si>
  <si>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</si>
  <si>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</si>
  <si>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</si>
  <si>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</si>
  <si>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</si>
  <si>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</si>
  <si>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</si>
  <si>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</si>
  <si>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</si>
  <si>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</si>
  <si>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</si>
  <si>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</si>
  <si>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</si>
  <si>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</si>
  <si>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</si>
  <si>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</si>
  <si>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</si>
  <si>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</si>
  <si>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</si>
  <si>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</si>
  <si>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</si>
  <si>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</si>
  <si>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</si>
  <si>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</si>
  <si>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</si>
  <si>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</si>
  <si>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</si>
  <si>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</si>
  <si>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</si>
  <si>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</si>
  <si>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</si>
  <si>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</si>
  <si>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</si>
  <si>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</si>
  <si>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</si>
  <si>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</si>
  <si>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</si>
  <si>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</si>
  <si>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</si>
  <si>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</si>
  <si>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</si>
  <si>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</si>
  <si>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</si>
  <si>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</si>
  <si>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</si>
  <si>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</si>
  <si>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</si>
  <si>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</si>
  <si>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</si>
  <si>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</si>
  <si>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</si>
  <si>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</si>
  <si>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</si>
  <si>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</si>
  <si>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</si>
  <si>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</si>
  <si>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</si>
  <si>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</si>
  <si>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</si>
  <si>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</si>
  <si>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</si>
  <si>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</si>
  <si>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</si>
  <si>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</si>
  <si>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</si>
  <si>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</si>
  <si>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</si>
  <si>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</si>
  <si>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</si>
  <si>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</si>
  <si>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</si>
  <si>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</si>
  <si>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</si>
  <si>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</si>
  <si>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</si>
  <si>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</si>
  <si>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</si>
  <si>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</si>
  <si>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</si>
  <si>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</si>
  <si>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</si>
  <si>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</si>
  <si>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</si>
  <si>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</si>
  <si>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</si>
  <si>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</si>
  <si>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</si>
  <si>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</si>
  <si>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</si>
  <si>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</si>
  <si>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</si>
  <si>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</si>
  <si>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</si>
  <si>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</si>
  <si>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</si>
  <si>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</si>
  <si>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</si>
  <si>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</si>
  <si>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</si>
  <si>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</si>
  <si>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</si>
  <si>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</si>
  <si>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</si>
  <si>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</si>
  <si>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</si>
  <si>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</si>
  <si>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</si>
  <si>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</si>
  <si>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</si>
  <si>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</si>
  <si>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</si>
  <si>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</si>
  <si>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</si>
  <si>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</si>
  <si>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</si>
  <si>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</si>
  <si>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</si>
  <si>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</si>
  <si>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</si>
  <si>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</si>
  <si>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</si>
  <si>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</si>
  <si>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</si>
  <si>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</si>
  <si>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</si>
  <si>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</si>
  <si>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</si>
  <si>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</si>
  <si>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</si>
  <si>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</si>
  <si>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</si>
  <si>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</si>
  <si>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</si>
  <si>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</si>
  <si>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</si>
  <si>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</si>
  <si>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</si>
  <si>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</si>
  <si>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</si>
  <si>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</si>
  <si>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</si>
  <si>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</si>
  <si>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</si>
  <si>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</si>
  <si>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</si>
  <si>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</si>
  <si>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</si>
  <si>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</si>
  <si>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</si>
  <si>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</si>
  <si>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</si>
  <si>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</si>
  <si>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</si>
  <si>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</si>
  <si>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</si>
  <si>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</si>
  <si>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</si>
  <si>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</si>
  <si>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</si>
  <si>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</si>
  <si>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</si>
  <si>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</si>
  <si>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</si>
  <si>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</si>
  <si>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</si>
  <si>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</si>
  <si>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</si>
  <si>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</si>
  <si>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</si>
  <si>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</si>
  <si>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</si>
  <si>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</si>
  <si>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</si>
  <si>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</si>
  <si>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</si>
  <si>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</si>
  <si>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</si>
  <si>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</si>
  <si>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</si>
  <si>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</si>
  <si>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</si>
  <si>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</si>
  <si>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</si>
  <si>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</si>
  <si>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</si>
  <si>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</si>
  <si>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</si>
  <si>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</si>
  <si>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</si>
  <si>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</si>
  <si>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</si>
  <si>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</si>
  <si>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</si>
  <si>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</si>
  <si>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</si>
  <si>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</si>
  <si>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</si>
  <si>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</si>
  <si>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</si>
  <si>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</si>
  <si>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</si>
  <si>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</si>
  <si>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</si>
  <si>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</si>
  <si>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</si>
  <si>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</si>
  <si>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</si>
  <si>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</si>
  <si>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</si>
  <si>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</si>
  <si>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</si>
  <si>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</si>
  <si>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</si>
  <si>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</si>
  <si>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</si>
  <si>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</si>
  <si>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</si>
  <si>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</si>
  <si>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</si>
  <si>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</si>
  <si>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</si>
  <si>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</si>
  <si>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</si>
  <si>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</si>
  <si>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</si>
  <si>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</si>
  <si>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</si>
  <si>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</si>
  <si>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</si>
  <si>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</si>
  <si>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</si>
  <si>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</si>
  <si>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</si>
  <si>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</si>
  <si>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</si>
  <si>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</si>
  <si>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</si>
  <si>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</si>
  <si>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</si>
  <si>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</si>
  <si>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</si>
  <si>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</si>
  <si>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</si>
  <si>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</si>
  <si>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</si>
  <si>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</si>
  <si>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</si>
  <si>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</si>
  <si>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</si>
  <si>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</si>
  <si>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</si>
  <si>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</si>
  <si>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</si>
  <si>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</si>
  <si>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</si>
  <si>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</si>
  <si>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</si>
  <si>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</si>
  <si>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</si>
  <si>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</si>
  <si>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</si>
  <si>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</si>
  <si>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</si>
  <si>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</si>
  <si>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</si>
  <si>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</si>
  <si>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</si>
  <si>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</si>
  <si>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</si>
  <si>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</si>
  <si>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</si>
  <si>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</si>
  <si>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</si>
  <si>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</si>
  <si>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</si>
  <si>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</si>
  <si>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</si>
  <si>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</si>
  <si>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</si>
  <si>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</si>
  <si>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</si>
  <si>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</si>
  <si>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</si>
  <si>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</si>
  <si>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</si>
  <si>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</si>
  <si>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</si>
  <si>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</si>
  <si>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</si>
  <si>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</si>
  <si>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</si>
  <si>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</si>
  <si>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</si>
  <si>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</si>
  <si>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</si>
  <si>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</si>
  <si>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</si>
  <si>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</si>
  <si>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</si>
  <si>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</si>
  <si>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</si>
  <si>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</si>
  <si>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</si>
  <si>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</si>
  <si>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</si>
  <si>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</si>
  <si>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</si>
  <si>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</si>
  <si>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</si>
  <si>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</si>
  <si>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</si>
  <si>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</si>
  <si>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</si>
  <si>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</si>
  <si>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</si>
  <si>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</si>
  <si>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</si>
  <si>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</si>
  <si>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</si>
  <si>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</si>
  <si>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</si>
  <si>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</si>
  <si>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</si>
  <si>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</si>
  <si>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</si>
  <si>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</si>
  <si>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</si>
  <si>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</si>
  <si>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</si>
  <si>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</si>
  <si>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</si>
  <si>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</si>
  <si>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</si>
  <si>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</si>
  <si>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</si>
  <si>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</si>
  <si>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</si>
  <si>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</si>
  <si>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</si>
  <si>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</si>
  <si>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</si>
  <si>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</si>
  <si>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</si>
  <si>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</si>
  <si>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</si>
  <si>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</si>
  <si>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</si>
  <si>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</si>
  <si>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</si>
  <si>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</si>
  <si>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</si>
  <si>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</si>
  <si>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</si>
  <si>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</si>
  <si>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</si>
  <si>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</si>
  <si>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</si>
  <si>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</si>
  <si>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</si>
  <si>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</si>
  <si>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</si>
  <si>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</si>
  <si>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</si>
  <si>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</si>
  <si>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</si>
  <si>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</si>
  <si>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</si>
  <si>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</si>
  <si>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</si>
  <si>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</si>
  <si>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</si>
  <si>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</si>
  <si>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</si>
  <si>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</si>
  <si>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</si>
  <si>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</si>
  <si>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</si>
  <si>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</si>
  <si>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</si>
  <si>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</si>
  <si>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</si>
  <si>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</si>
  <si>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</si>
  <si>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</si>
  <si>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</si>
  <si>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</si>
  <si>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</si>
  <si>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</si>
  <si>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</si>
  <si>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</si>
  <si>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</si>
  <si>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</si>
  <si>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</si>
  <si>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</si>
  <si>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</si>
  <si>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</si>
  <si>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</si>
  <si>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</si>
  <si>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</si>
  <si>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</si>
  <si>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</si>
  <si>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</si>
  <si>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</si>
  <si>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</si>
  <si>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</si>
  <si>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</si>
  <si>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</si>
  <si>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</si>
  <si>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</si>
  <si>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</si>
  <si>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</si>
  <si>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</si>
  <si>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</si>
  <si>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</si>
  <si>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</si>
  <si>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</si>
  <si>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</si>
  <si>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</si>
  <si>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</si>
  <si>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</si>
  <si>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</si>
  <si>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</si>
  <si>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</si>
  <si>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</si>
  <si>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</si>
  <si>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</si>
  <si>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</si>
  <si>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</si>
  <si>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</si>
  <si>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</si>
  <si>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</si>
  <si>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</si>
  <si>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</si>
  <si>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</si>
  <si>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</si>
  <si>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</si>
  <si>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</si>
  <si>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</si>
  <si>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</si>
  <si>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</si>
  <si>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</si>
  <si>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</si>
  <si>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</si>
  <si>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</si>
  <si>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</si>
  <si>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</si>
  <si>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</si>
  <si>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</si>
  <si>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</si>
  <si>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</si>
  <si>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</si>
  <si>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</si>
  <si>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</si>
  <si>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</si>
  <si>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</si>
  <si>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</si>
  <si>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</si>
  <si>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</si>
  <si>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</si>
  <si>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</si>
  <si>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</si>
  <si>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</si>
  <si>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</si>
  <si>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</si>
  <si>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</si>
  <si>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</si>
  <si>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</si>
  <si>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</si>
  <si>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</si>
  <si>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</si>
  <si>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</si>
  <si>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</si>
  <si>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</si>
  <si>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</si>
  <si>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</si>
  <si>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</si>
  <si>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</si>
  <si>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</si>
  <si>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</si>
  <si>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</si>
  <si>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</si>
  <si>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</si>
  <si>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</si>
  <si>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</si>
  <si>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</si>
  <si>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</si>
  <si>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</si>
  <si>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</si>
  <si>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</si>
  <si>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</si>
  <si>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</si>
  <si>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</si>
  <si>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</si>
  <si>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</si>
  <si>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</si>
  <si>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</si>
  <si>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</si>
  <si>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</si>
  <si>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</si>
  <si>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</si>
  <si>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</si>
  <si>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</si>
  <si>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</si>
  <si>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</si>
  <si>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</si>
  <si>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</si>
  <si>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</si>
  <si>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</si>
  <si>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</si>
  <si>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</si>
  <si>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</si>
  <si>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</si>
  <si>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</si>
  <si>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</si>
  <si>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</si>
  <si>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</si>
  <si>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</si>
  <si>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</si>
  <si>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</si>
  <si>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</si>
  <si>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</si>
  <si>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</si>
  <si>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</si>
  <si>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</si>
  <si>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</si>
  <si>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</si>
  <si>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</si>
  <si>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</si>
  <si>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</si>
  <si>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</si>
  <si>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</si>
  <si>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</si>
  <si>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</si>
  <si>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</si>
  <si>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</si>
  <si>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</si>
  <si>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</si>
  <si>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</si>
  <si>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</si>
  <si>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</si>
  <si>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</si>
  <si>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</si>
  <si>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</si>
  <si>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</si>
  <si>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</si>
  <si>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</si>
  <si>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</si>
  <si>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</si>
  <si>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</si>
  <si>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</si>
  <si>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</si>
  <si>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</si>
  <si>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</si>
  <si>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</si>
  <si>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</si>
  <si>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</si>
  <si>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</si>
  <si>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</si>
  <si>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</si>
  <si>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</si>
  <si>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</si>
  <si>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</si>
  <si>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</si>
  <si>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</si>
  <si>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</si>
  <si>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Land Purchase - Marshall County Rd Pavement, Water Supply to land owners</t>
  </si>
  <si>
    <t>As of 07/31/00</t>
  </si>
  <si>
    <t>Increase in Permitting</t>
  </si>
  <si>
    <t>Increase Permitting</t>
  </si>
  <si>
    <t>Revision # 60</t>
  </si>
  <si>
    <t xml:space="preserve"> As of 08/14/00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</si>
</sst>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5" fillId="0" borderId="9" xfId="0" applyFont="1" applyBorder="1" applyAlignment="1"/>
    <xf numFmtId="0" fontId="0" fillId="0" borderId="9" xfId="0" applyFill="1" applyBorder="1" applyAlignment="1"/>
    <xf numFmtId="164" fontId="17" fillId="0" borderId="9"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2CB63E23-BACD-0AB6-55FA-F4ABB976D3E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77BAAE4F-18CE-DD32-CF79-0499F590C38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12E7D5EA-F73E-62B9-4F56-E18CA3A9EBB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 val="Wilton Leaseback Only"/>
      <sheetName val="Wheatland (2)"/>
      <sheetName val="Gleason (2)"/>
    </sheetNames>
    <sheetDataSet>
      <sheetData sheetId="0"/>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69" customWidth="1"/>
    <col min="14" max="14" width="15.28515625" style="369"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0"/>
      <c r="M1" s="370"/>
      <c r="N1" s="370"/>
      <c r="O1" s="49"/>
      <c r="P1" s="49"/>
    </row>
    <row r="2" spans="1:17" ht="11.25" customHeight="1">
      <c r="Q2" s="255"/>
    </row>
    <row r="3" spans="1:17" ht="40.5" customHeight="1">
      <c r="A3" s="256"/>
      <c r="B3" s="256" t="s">
        <v>337</v>
      </c>
      <c r="G3" s="340" t="s">
        <v>426</v>
      </c>
      <c r="Q3" s="255"/>
    </row>
    <row r="4" spans="1:17" ht="26.25">
      <c r="A4" s="257"/>
      <c r="B4" s="257" t="s">
        <v>338</v>
      </c>
      <c r="C4" s="255"/>
      <c r="D4" s="255"/>
      <c r="E4" s="255"/>
      <c r="F4" s="255"/>
      <c r="G4" s="255"/>
      <c r="H4" s="258"/>
      <c r="I4" s="258"/>
      <c r="J4" s="258"/>
      <c r="K4" s="258"/>
      <c r="L4" s="371"/>
      <c r="M4" s="371"/>
      <c r="N4" s="371"/>
      <c r="O4" s="255"/>
      <c r="P4" s="255"/>
      <c r="Q4" s="255"/>
    </row>
    <row r="5" spans="1:17" ht="20.25">
      <c r="A5" s="259"/>
      <c r="B5" s="259" t="s">
        <v>339</v>
      </c>
      <c r="C5" s="255"/>
      <c r="D5" s="255"/>
      <c r="E5" s="255"/>
      <c r="F5" s="255"/>
      <c r="G5" s="255"/>
      <c r="H5" s="258"/>
      <c r="I5" s="258"/>
      <c r="J5" s="258"/>
      <c r="K5" s="258"/>
      <c r="L5" s="371"/>
      <c r="M5" s="371"/>
      <c r="N5" s="371"/>
      <c r="O5" s="255"/>
      <c r="P5" s="255"/>
      <c r="Q5" s="255"/>
    </row>
    <row r="6" spans="1:17" ht="6.75" customHeight="1" thickBot="1">
      <c r="C6" s="49"/>
      <c r="H6" s="254"/>
      <c r="I6" s="254"/>
      <c r="J6" s="254"/>
      <c r="K6" s="254"/>
      <c r="L6" s="370"/>
      <c r="M6" s="370"/>
      <c r="N6" s="370"/>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72" t="s">
        <v>374</v>
      </c>
      <c r="M7" s="372"/>
      <c r="N7" s="372"/>
      <c r="O7" s="491" t="s">
        <v>351</v>
      </c>
      <c r="P7" s="482" t="s">
        <v>352</v>
      </c>
      <c r="Q7" s="260"/>
    </row>
    <row r="8" spans="1:17">
      <c r="A8" s="489"/>
      <c r="B8" s="492"/>
      <c r="C8" s="492"/>
      <c r="D8" s="492"/>
      <c r="E8" s="492"/>
      <c r="F8" s="492"/>
      <c r="G8" s="486"/>
      <c r="H8" s="486"/>
      <c r="I8" s="486"/>
      <c r="J8" s="486"/>
      <c r="K8" s="486"/>
      <c r="L8" s="373" t="s">
        <v>355</v>
      </c>
      <c r="M8" s="373" t="s">
        <v>502</v>
      </c>
      <c r="N8" s="373" t="s">
        <v>506</v>
      </c>
      <c r="O8" s="492"/>
      <c r="P8" s="483"/>
      <c r="Q8" s="261"/>
    </row>
    <row r="9" spans="1:17" ht="32.25" thickBot="1">
      <c r="A9" s="490"/>
      <c r="B9" s="493"/>
      <c r="C9" s="493"/>
      <c r="D9" s="493"/>
      <c r="E9" s="493"/>
      <c r="F9" s="493"/>
      <c r="G9" s="487"/>
      <c r="H9" s="487"/>
      <c r="I9" s="487"/>
      <c r="J9" s="487"/>
      <c r="K9" s="487"/>
      <c r="L9" s="374"/>
      <c r="M9" s="374" t="s">
        <v>505</v>
      </c>
      <c r="N9" s="374" t="s">
        <v>507</v>
      </c>
      <c r="O9" s="493"/>
      <c r="P9" s="484"/>
      <c r="Q9" s="262"/>
    </row>
    <row r="10" spans="1:17" ht="16.5" thickBot="1">
      <c r="A10" s="263"/>
      <c r="B10" s="264"/>
      <c r="C10" s="264"/>
      <c r="D10" s="264"/>
      <c r="E10" s="264"/>
      <c r="F10" s="264"/>
      <c r="G10" s="264"/>
      <c r="H10" s="263"/>
      <c r="I10" s="263"/>
      <c r="J10" s="263"/>
      <c r="K10" s="263"/>
      <c r="L10" s="375"/>
      <c r="M10" s="375"/>
      <c r="N10" s="375"/>
      <c r="O10" s="264"/>
      <c r="P10" s="264"/>
      <c r="Q10" s="265"/>
    </row>
    <row r="11" spans="1:17" s="30" customFormat="1" ht="18.75" customHeight="1" thickBot="1">
      <c r="A11" s="266" t="s">
        <v>353</v>
      </c>
      <c r="B11" s="267"/>
      <c r="C11" s="268"/>
      <c r="D11" s="268"/>
      <c r="E11" s="268"/>
      <c r="F11" s="268"/>
      <c r="G11" s="268"/>
      <c r="H11" s="269"/>
      <c r="I11" s="269"/>
      <c r="J11" s="269"/>
      <c r="K11" s="269"/>
      <c r="L11" s="376"/>
      <c r="M11" s="376"/>
      <c r="N11" s="376"/>
      <c r="O11" s="268"/>
      <c r="P11" s="265"/>
      <c r="Q11" s="265"/>
    </row>
    <row r="12" spans="1:17" ht="6" customHeight="1">
      <c r="A12" s="270"/>
      <c r="B12" s="271"/>
      <c r="C12" s="272"/>
      <c r="D12" s="272"/>
      <c r="E12" s="272"/>
      <c r="F12" s="272"/>
      <c r="G12" s="272"/>
      <c r="H12" s="273"/>
      <c r="I12" s="274"/>
      <c r="J12" s="274"/>
      <c r="K12" s="274"/>
      <c r="L12" s="377"/>
      <c r="M12" s="377"/>
      <c r="N12" s="377"/>
      <c r="O12" s="272"/>
      <c r="P12" s="275"/>
      <c r="Q12" s="276"/>
    </row>
    <row r="13" spans="1:17" s="322" customFormat="1" ht="134.25" customHeight="1">
      <c r="A13" s="342" t="s">
        <v>354</v>
      </c>
      <c r="B13" s="345" t="s">
        <v>421</v>
      </c>
      <c r="C13" s="325" t="s">
        <v>230</v>
      </c>
      <c r="D13" s="326">
        <v>36383</v>
      </c>
      <c r="E13" s="326">
        <v>36383</v>
      </c>
      <c r="F13" s="325" t="s">
        <v>436</v>
      </c>
      <c r="G13" s="327"/>
      <c r="H13" s="327">
        <v>1225177</v>
      </c>
      <c r="I13" s="328">
        <v>0</v>
      </c>
      <c r="J13" s="328">
        <v>0</v>
      </c>
      <c r="K13" s="328">
        <f>SUM(G13:J13)</f>
        <v>1225177</v>
      </c>
      <c r="L13" s="364">
        <f>-1161792+K13</f>
        <v>63385</v>
      </c>
      <c r="M13" s="364"/>
      <c r="N13" s="364"/>
      <c r="O13" s="325">
        <v>0</v>
      </c>
      <c r="P13" s="379" t="s">
        <v>461</v>
      </c>
      <c r="Q13" s="321"/>
    </row>
    <row r="14" spans="1:17" s="322" customFormat="1" ht="48" customHeight="1">
      <c r="A14" s="342" t="s">
        <v>452</v>
      </c>
      <c r="B14" s="345" t="s">
        <v>453</v>
      </c>
      <c r="C14" s="325" t="s">
        <v>230</v>
      </c>
      <c r="D14" s="326"/>
      <c r="E14" s="326"/>
      <c r="F14" s="325"/>
      <c r="G14" s="327"/>
      <c r="H14" s="327">
        <v>1865140</v>
      </c>
      <c r="I14" s="328"/>
      <c r="J14" s="328"/>
      <c r="K14" s="328">
        <f>SUM(G14:J14)</f>
        <v>1865140</v>
      </c>
      <c r="L14" s="364">
        <v>1707436</v>
      </c>
      <c r="M14" s="364">
        <v>1865140</v>
      </c>
      <c r="N14" s="364"/>
      <c r="O14" s="325"/>
      <c r="P14" s="379" t="s">
        <v>454</v>
      </c>
      <c r="Q14" s="321"/>
    </row>
    <row r="15" spans="1:17" s="322" customFormat="1" ht="91.5" customHeight="1">
      <c r="A15" s="342" t="s">
        <v>456</v>
      </c>
      <c r="B15" s="345" t="s">
        <v>457</v>
      </c>
      <c r="C15" s="325" t="s">
        <v>230</v>
      </c>
      <c r="D15" s="326"/>
      <c r="E15" s="326"/>
      <c r="F15" s="325"/>
      <c r="G15" s="327"/>
      <c r="H15" s="327">
        <v>2415377</v>
      </c>
      <c r="I15" s="328"/>
      <c r="J15" s="328"/>
      <c r="K15" s="328">
        <f>SUM(G15:J15)</f>
        <v>2415377</v>
      </c>
      <c r="L15" s="364">
        <v>0</v>
      </c>
      <c r="M15" s="364">
        <v>2169159</v>
      </c>
      <c r="N15" s="364"/>
      <c r="O15" s="325"/>
      <c r="P15" s="379" t="s">
        <v>458</v>
      </c>
      <c r="Q15" s="321"/>
    </row>
    <row r="16" spans="1:17" s="322" customFormat="1" ht="44.25" customHeight="1">
      <c r="A16" s="342" t="s">
        <v>455</v>
      </c>
      <c r="B16" s="345" t="s">
        <v>459</v>
      </c>
      <c r="C16" s="325" t="s">
        <v>230</v>
      </c>
      <c r="D16" s="326"/>
      <c r="E16" s="326"/>
      <c r="F16" s="325"/>
      <c r="G16" s="327"/>
      <c r="H16" s="327">
        <v>1992155</v>
      </c>
      <c r="I16" s="328"/>
      <c r="J16" s="328"/>
      <c r="K16" s="328">
        <f>SUM(G16:J16)</f>
        <v>1992155</v>
      </c>
      <c r="L16" s="364">
        <v>1258397</v>
      </c>
      <c r="M16" s="364">
        <v>1992155</v>
      </c>
      <c r="N16" s="364"/>
      <c r="O16" s="325"/>
      <c r="P16" s="379" t="s">
        <v>460</v>
      </c>
      <c r="Q16" s="321"/>
    </row>
    <row r="17" spans="1:17" s="322" customFormat="1" ht="44.25" customHeight="1">
      <c r="A17" s="342" t="s">
        <v>503</v>
      </c>
      <c r="B17" s="345" t="s">
        <v>504</v>
      </c>
      <c r="C17" s="325"/>
      <c r="D17" s="326"/>
      <c r="E17" s="326"/>
      <c r="F17" s="325"/>
      <c r="G17" s="327"/>
      <c r="H17" s="327"/>
      <c r="I17" s="328"/>
      <c r="J17" s="328"/>
      <c r="K17" s="328"/>
      <c r="L17" s="364"/>
      <c r="M17" s="364">
        <v>292550</v>
      </c>
      <c r="N17" s="364"/>
      <c r="O17" s="325"/>
      <c r="P17" s="379"/>
      <c r="Q17" s="321"/>
    </row>
    <row r="18" spans="1:17" s="322" customFormat="1">
      <c r="A18" s="342" t="s">
        <v>356</v>
      </c>
      <c r="B18" s="345" t="s">
        <v>357</v>
      </c>
      <c r="C18" s="316" t="s">
        <v>230</v>
      </c>
      <c r="D18" s="317">
        <v>36383</v>
      </c>
      <c r="E18" s="317">
        <v>36383</v>
      </c>
      <c r="F18" s="316" t="s">
        <v>358</v>
      </c>
      <c r="G18" s="318"/>
      <c r="H18" s="318">
        <v>0</v>
      </c>
      <c r="I18" s="319">
        <v>0</v>
      </c>
      <c r="J18" s="319">
        <v>0</v>
      </c>
      <c r="K18" s="319">
        <f t="shared" ref="K18:K41" si="0">SUM(G18:J18)</f>
        <v>0</v>
      </c>
      <c r="L18" s="363"/>
      <c r="M18" s="363"/>
      <c r="N18" s="363"/>
      <c r="O18" s="316">
        <v>0</v>
      </c>
      <c r="P18" s="320" t="s">
        <v>359</v>
      </c>
      <c r="Q18" s="321"/>
    </row>
    <row r="19" spans="1:17" s="322" customFormat="1" ht="51.75" customHeight="1">
      <c r="A19" s="342" t="s">
        <v>360</v>
      </c>
      <c r="B19" s="345" t="s">
        <v>428</v>
      </c>
      <c r="C19" s="325" t="s">
        <v>230</v>
      </c>
      <c r="D19" s="326">
        <v>36383</v>
      </c>
      <c r="E19" s="326"/>
      <c r="F19" s="325" t="s">
        <v>361</v>
      </c>
      <c r="G19" s="327"/>
      <c r="H19" s="327">
        <v>714015</v>
      </c>
      <c r="I19" s="328">
        <v>0</v>
      </c>
      <c r="J19" s="328">
        <v>0</v>
      </c>
      <c r="K19" s="328">
        <f t="shared" si="0"/>
        <v>714015</v>
      </c>
      <c r="L19" s="364">
        <v>381799</v>
      </c>
      <c r="M19" s="364">
        <v>443820</v>
      </c>
      <c r="N19" s="364">
        <f>-256057+698977</f>
        <v>442920</v>
      </c>
      <c r="O19" s="325">
        <v>0</v>
      </c>
      <c r="P19" s="329" t="s">
        <v>362</v>
      </c>
      <c r="Q19" s="321"/>
    </row>
    <row r="20" spans="1:17" s="390" customFormat="1" ht="102.75" customHeight="1">
      <c r="A20" s="380" t="s">
        <v>427</v>
      </c>
      <c r="B20" s="381" t="s">
        <v>429</v>
      </c>
      <c r="C20" s="382" t="s">
        <v>230</v>
      </c>
      <c r="D20" s="383">
        <v>36383</v>
      </c>
      <c r="E20" s="383"/>
      <c r="F20" s="384" t="s">
        <v>361</v>
      </c>
      <c r="G20" s="385"/>
      <c r="H20" s="385">
        <v>3249323</v>
      </c>
      <c r="I20" s="386">
        <v>0</v>
      </c>
      <c r="J20" s="386">
        <v>0</v>
      </c>
      <c r="K20" s="386">
        <f t="shared" si="0"/>
        <v>3249323</v>
      </c>
      <c r="L20" s="387">
        <v>2125513</v>
      </c>
      <c r="M20" s="387">
        <v>2474029</v>
      </c>
      <c r="N20" s="387">
        <f>3184986-1260263</f>
        <v>1924723</v>
      </c>
      <c r="O20" s="384">
        <v>0</v>
      </c>
      <c r="P20" s="388" t="s">
        <v>363</v>
      </c>
      <c r="Q20" s="389"/>
    </row>
    <row r="21" spans="1:17" s="401" customFormat="1" ht="31.5" customHeight="1">
      <c r="A21" s="391"/>
      <c r="B21" s="392" t="s">
        <v>419</v>
      </c>
      <c r="C21" s="393" t="s">
        <v>230</v>
      </c>
      <c r="D21" s="394">
        <v>36383</v>
      </c>
      <c r="E21" s="394"/>
      <c r="F21" s="395" t="s">
        <v>361</v>
      </c>
      <c r="G21" s="396"/>
      <c r="H21" s="396">
        <v>560292</v>
      </c>
      <c r="I21" s="397">
        <v>0</v>
      </c>
      <c r="J21" s="397">
        <v>0</v>
      </c>
      <c r="K21" s="397">
        <f t="shared" si="0"/>
        <v>560292</v>
      </c>
      <c r="L21" s="398">
        <v>0</v>
      </c>
      <c r="M21" s="398"/>
      <c r="N21" s="398"/>
      <c r="O21" s="395">
        <v>0</v>
      </c>
      <c r="P21" s="399" t="s">
        <v>363</v>
      </c>
      <c r="Q21" s="400"/>
    </row>
    <row r="22" spans="1:17" s="322" customFormat="1" ht="110.25">
      <c r="A22" s="342" t="s">
        <v>364</v>
      </c>
      <c r="B22" s="345" t="s">
        <v>420</v>
      </c>
      <c r="C22" s="335" t="s">
        <v>230</v>
      </c>
      <c r="D22" s="336">
        <v>36383</v>
      </c>
      <c r="E22" s="336">
        <v>36454</v>
      </c>
      <c r="F22" s="335" t="s">
        <v>358</v>
      </c>
      <c r="G22" s="337"/>
      <c r="H22" s="337">
        <v>796634</v>
      </c>
      <c r="I22" s="338">
        <v>0</v>
      </c>
      <c r="J22" s="338">
        <v>0</v>
      </c>
      <c r="K22" s="338">
        <f t="shared" si="0"/>
        <v>796634</v>
      </c>
      <c r="L22" s="378">
        <f>K22-28680-15617</f>
        <v>752337</v>
      </c>
      <c r="M22" s="378">
        <v>687700</v>
      </c>
      <c r="N22" s="378"/>
      <c r="O22" s="335">
        <v>0</v>
      </c>
      <c r="P22" s="339"/>
      <c r="Q22" s="321"/>
    </row>
    <row r="23" spans="1:17" s="322" customFormat="1" ht="78.75">
      <c r="A23" s="342" t="s">
        <v>365</v>
      </c>
      <c r="B23" s="345" t="s">
        <v>434</v>
      </c>
      <c r="C23" s="325" t="s">
        <v>230</v>
      </c>
      <c r="D23" s="326">
        <v>36383</v>
      </c>
      <c r="E23" s="326">
        <v>36454</v>
      </c>
      <c r="F23" s="325" t="s">
        <v>358</v>
      </c>
      <c r="G23" s="327"/>
      <c r="H23" s="327">
        <v>156452</v>
      </c>
      <c r="I23" s="328">
        <v>0</v>
      </c>
      <c r="J23" s="328">
        <v>0</v>
      </c>
      <c r="K23" s="328">
        <f t="shared" si="0"/>
        <v>156452</v>
      </c>
      <c r="L23" s="364">
        <v>156452</v>
      </c>
      <c r="M23" s="364">
        <v>156675</v>
      </c>
      <c r="N23" s="364"/>
      <c r="O23" s="325">
        <v>0</v>
      </c>
      <c r="P23" s="329"/>
      <c r="Q23" s="321"/>
    </row>
    <row r="24" spans="1:17" s="322" customFormat="1">
      <c r="A24" s="343" t="s">
        <v>366</v>
      </c>
      <c r="B24" s="345" t="s">
        <v>367</v>
      </c>
      <c r="C24" s="316" t="s">
        <v>230</v>
      </c>
      <c r="D24" s="317">
        <v>36383</v>
      </c>
      <c r="E24" s="317">
        <v>36383</v>
      </c>
      <c r="F24" s="316" t="s">
        <v>358</v>
      </c>
      <c r="G24" s="318"/>
      <c r="H24" s="318">
        <v>0</v>
      </c>
      <c r="I24" s="319">
        <v>0</v>
      </c>
      <c r="J24" s="319">
        <v>0</v>
      </c>
      <c r="K24" s="352">
        <f t="shared" si="0"/>
        <v>0</v>
      </c>
      <c r="L24" s="363"/>
      <c r="M24" s="363">
        <v>0</v>
      </c>
      <c r="N24" s="363"/>
      <c r="O24" s="316">
        <v>0</v>
      </c>
      <c r="P24" s="320" t="s">
        <v>359</v>
      </c>
      <c r="Q24" s="321"/>
    </row>
    <row r="25" spans="1:17" s="322" customFormat="1" ht="94.5">
      <c r="A25" s="342" t="s">
        <v>368</v>
      </c>
      <c r="B25" s="345" t="s">
        <v>430</v>
      </c>
      <c r="C25" s="325" t="s">
        <v>230</v>
      </c>
      <c r="D25" s="326">
        <v>36383</v>
      </c>
      <c r="E25" s="326">
        <v>36454</v>
      </c>
      <c r="F25" s="325" t="s">
        <v>358</v>
      </c>
      <c r="G25" s="327"/>
      <c r="H25" s="327">
        <v>496034</v>
      </c>
      <c r="I25" s="328">
        <v>0</v>
      </c>
      <c r="J25" s="328">
        <v>0</v>
      </c>
      <c r="K25" s="353">
        <f t="shared" si="0"/>
        <v>496034</v>
      </c>
      <c r="L25" s="364">
        <v>486308</v>
      </c>
      <c r="M25" s="364">
        <v>486424</v>
      </c>
      <c r="N25" s="364"/>
      <c r="O25" s="325">
        <v>0</v>
      </c>
      <c r="P25" s="329"/>
      <c r="Q25" s="321"/>
    </row>
    <row r="26" spans="1:17" s="322" customFormat="1" ht="47.25">
      <c r="A26" s="342" t="s">
        <v>369</v>
      </c>
      <c r="B26" s="345" t="s">
        <v>422</v>
      </c>
      <c r="C26" s="325" t="s">
        <v>230</v>
      </c>
      <c r="D26" s="326">
        <v>36383</v>
      </c>
      <c r="E26" s="326">
        <v>36454</v>
      </c>
      <c r="F26" s="325" t="s">
        <v>358</v>
      </c>
      <c r="G26" s="327"/>
      <c r="H26" s="327">
        <v>38207</v>
      </c>
      <c r="I26" s="328">
        <v>0</v>
      </c>
      <c r="J26" s="328">
        <v>0</v>
      </c>
      <c r="K26" s="353">
        <f t="shared" si="0"/>
        <v>38207</v>
      </c>
      <c r="L26" s="364">
        <f>K26-78-525-749</f>
        <v>36855</v>
      </c>
      <c r="M26" s="364">
        <v>37261</v>
      </c>
      <c r="N26" s="364"/>
      <c r="O26" s="325">
        <v>0</v>
      </c>
      <c r="P26" s="329"/>
      <c r="Q26" s="321"/>
    </row>
    <row r="27" spans="1:17" s="322" customFormat="1" ht="78.75">
      <c r="A27" s="342" t="s">
        <v>370</v>
      </c>
      <c r="B27" s="345" t="s">
        <v>423</v>
      </c>
      <c r="C27" s="325" t="s">
        <v>230</v>
      </c>
      <c r="D27" s="326">
        <v>36383</v>
      </c>
      <c r="E27" s="326">
        <v>36454</v>
      </c>
      <c r="F27" s="325" t="s">
        <v>358</v>
      </c>
      <c r="G27" s="327"/>
      <c r="H27" s="327">
        <v>67746</v>
      </c>
      <c r="I27" s="328">
        <v>0</v>
      </c>
      <c r="J27" s="328">
        <v>0</v>
      </c>
      <c r="K27" s="353">
        <f t="shared" si="0"/>
        <v>67746</v>
      </c>
      <c r="L27" s="364">
        <f>K27-650-4125-1328</f>
        <v>61643</v>
      </c>
      <c r="M27" s="364">
        <v>64450</v>
      </c>
      <c r="N27" s="364"/>
      <c r="O27" s="325">
        <v>0</v>
      </c>
      <c r="P27" s="329"/>
      <c r="Q27" s="321"/>
    </row>
    <row r="28" spans="1:17">
      <c r="A28" s="344"/>
      <c r="B28" s="346"/>
      <c r="C28" s="278"/>
      <c r="D28" s="279"/>
      <c r="E28" s="279"/>
      <c r="F28" s="278"/>
      <c r="G28" s="280"/>
      <c r="H28" s="280"/>
      <c r="I28" s="281"/>
      <c r="J28" s="281"/>
      <c r="K28" s="354"/>
      <c r="L28" s="365"/>
      <c r="M28" s="365"/>
      <c r="N28" s="365"/>
      <c r="O28" s="278"/>
      <c r="P28" s="282"/>
      <c r="Q28" s="283"/>
    </row>
    <row r="29" spans="1:17" s="322" customFormat="1" ht="31.5">
      <c r="A29" s="343" t="s">
        <v>371</v>
      </c>
      <c r="B29" s="345" t="s">
        <v>424</v>
      </c>
      <c r="C29" s="316" t="s">
        <v>236</v>
      </c>
      <c r="D29" s="317">
        <v>36458</v>
      </c>
      <c r="E29" s="317">
        <v>36458</v>
      </c>
      <c r="F29" s="316" t="s">
        <v>355</v>
      </c>
      <c r="G29" s="318"/>
      <c r="H29" s="318">
        <v>0</v>
      </c>
      <c r="I29" s="319">
        <v>5000</v>
      </c>
      <c r="J29" s="319">
        <v>0</v>
      </c>
      <c r="K29" s="352">
        <f t="shared" si="0"/>
        <v>5000</v>
      </c>
      <c r="L29" s="363">
        <v>5000</v>
      </c>
      <c r="M29" s="363">
        <v>5000</v>
      </c>
      <c r="N29" s="363"/>
      <c r="O29" s="316">
        <v>0</v>
      </c>
      <c r="P29" s="320"/>
      <c r="Q29" s="321"/>
    </row>
    <row r="30" spans="1:17" ht="18">
      <c r="A30" s="277"/>
      <c r="B30" s="293" t="s">
        <v>378</v>
      </c>
      <c r="C30" s="278"/>
      <c r="D30" s="278"/>
      <c r="E30" s="278"/>
      <c r="F30" s="278" t="s">
        <v>355</v>
      </c>
      <c r="G30" s="294"/>
      <c r="H30" s="350">
        <f t="shared" ref="H30:M30" si="1">SUM(H13:H29)</f>
        <v>13576552</v>
      </c>
      <c r="I30" s="350">
        <f t="shared" si="1"/>
        <v>5000</v>
      </c>
      <c r="J30" s="350">
        <f t="shared" si="1"/>
        <v>0</v>
      </c>
      <c r="K30" s="350">
        <f t="shared" si="1"/>
        <v>13581552</v>
      </c>
      <c r="L30" s="412">
        <f t="shared" si="1"/>
        <v>7035125</v>
      </c>
      <c r="M30" s="412">
        <f t="shared" si="1"/>
        <v>10674363</v>
      </c>
      <c r="N30" s="412"/>
      <c r="O30" s="278"/>
      <c r="P30" s="282"/>
      <c r="Q30" s="283"/>
    </row>
    <row r="31" spans="1:17">
      <c r="A31" s="277"/>
      <c r="B31" s="293" t="s">
        <v>379</v>
      </c>
      <c r="C31" s="278"/>
      <c r="D31" s="278"/>
      <c r="E31" s="278"/>
      <c r="F31" s="278" t="s">
        <v>358</v>
      </c>
      <c r="G31" s="294"/>
      <c r="H31" s="294">
        <v>0</v>
      </c>
      <c r="I31" s="294">
        <v>0</v>
      </c>
      <c r="J31" s="294">
        <v>0</v>
      </c>
      <c r="K31" s="350">
        <v>0</v>
      </c>
      <c r="L31" s="367"/>
      <c r="M31" s="367"/>
      <c r="N31" s="367"/>
      <c r="O31" s="278"/>
      <c r="P31" s="282"/>
      <c r="Q31" s="283"/>
    </row>
    <row r="32" spans="1:17">
      <c r="A32" s="277"/>
      <c r="B32" s="293" t="s">
        <v>380</v>
      </c>
      <c r="C32" s="278"/>
      <c r="D32" s="278"/>
      <c r="E32" s="278"/>
      <c r="F32" s="278" t="s">
        <v>361</v>
      </c>
      <c r="G32" s="294"/>
      <c r="H32" s="294">
        <v>0</v>
      </c>
      <c r="I32" s="294">
        <v>0</v>
      </c>
      <c r="J32" s="294">
        <v>0</v>
      </c>
      <c r="K32" s="350">
        <v>0</v>
      </c>
      <c r="L32" s="367"/>
      <c r="M32" s="367"/>
      <c r="N32" s="367"/>
      <c r="O32" s="278"/>
      <c r="P32" s="282"/>
      <c r="Q32" s="283"/>
    </row>
    <row r="33" spans="1:17">
      <c r="A33" s="277"/>
      <c r="B33" s="293" t="s">
        <v>381</v>
      </c>
      <c r="C33" s="278"/>
      <c r="D33" s="278"/>
      <c r="E33" s="278"/>
      <c r="F33" s="278" t="s">
        <v>382</v>
      </c>
      <c r="G33" s="294"/>
      <c r="H33" s="294">
        <v>0</v>
      </c>
      <c r="I33" s="294">
        <v>0</v>
      </c>
      <c r="J33" s="294">
        <v>0</v>
      </c>
      <c r="K33" s="350">
        <v>0</v>
      </c>
      <c r="L33" s="367"/>
      <c r="M33" s="367"/>
      <c r="N33" s="367"/>
      <c r="O33" s="278"/>
      <c r="P33" s="282"/>
      <c r="Q33" s="283"/>
    </row>
    <row r="34" spans="1:17" ht="16.5" thickBot="1">
      <c r="A34" s="295"/>
      <c r="B34" s="296"/>
      <c r="C34" s="297"/>
      <c r="D34" s="297"/>
      <c r="E34" s="297"/>
      <c r="F34" s="298"/>
      <c r="G34" s="299"/>
      <c r="H34" s="299"/>
      <c r="I34" s="299"/>
      <c r="J34" s="299"/>
      <c r="K34" s="351"/>
      <c r="L34" s="368"/>
      <c r="M34" s="368"/>
      <c r="N34" s="368"/>
      <c r="O34" s="297"/>
      <c r="P34" s="300"/>
      <c r="Q34" s="301"/>
    </row>
    <row r="35" spans="1:17">
      <c r="A35" s="277"/>
      <c r="B35" s="293"/>
      <c r="C35" s="278"/>
      <c r="D35" s="278"/>
      <c r="E35" s="278"/>
      <c r="F35" s="411"/>
      <c r="G35" s="294"/>
      <c r="H35" s="294"/>
      <c r="I35" s="294"/>
      <c r="J35" s="294"/>
      <c r="K35" s="350"/>
      <c r="L35" s="367"/>
      <c r="M35" s="367"/>
      <c r="N35" s="367"/>
      <c r="O35" s="278"/>
      <c r="P35" s="282"/>
      <c r="Q35" s="283"/>
    </row>
    <row r="36" spans="1:17">
      <c r="A36" s="277"/>
      <c r="B36" s="293"/>
      <c r="C36" s="278"/>
      <c r="D36" s="278"/>
      <c r="E36" s="278"/>
      <c r="F36" s="411"/>
      <c r="G36" s="294"/>
      <c r="H36" s="294"/>
      <c r="I36" s="294"/>
      <c r="J36" s="294"/>
      <c r="K36" s="350"/>
      <c r="L36" s="367"/>
      <c r="M36" s="367"/>
      <c r="N36" s="367"/>
      <c r="O36" s="278"/>
      <c r="P36" s="282"/>
      <c r="Q36" s="283"/>
    </row>
    <row r="37" spans="1:17" s="33" customFormat="1">
      <c r="A37" s="344"/>
      <c r="B37" s="410" t="s">
        <v>462</v>
      </c>
      <c r="C37" s="402"/>
      <c r="D37" s="403"/>
      <c r="E37" s="403"/>
      <c r="F37" s="402"/>
      <c r="G37" s="404"/>
      <c r="H37" s="404"/>
      <c r="I37" s="405"/>
      <c r="J37" s="405"/>
      <c r="K37" s="406"/>
      <c r="L37" s="407"/>
      <c r="M37" s="407"/>
      <c r="N37" s="407"/>
      <c r="O37" s="402"/>
      <c r="P37" s="408"/>
      <c r="Q37" s="409"/>
    </row>
    <row r="38" spans="1:17" s="322" customFormat="1">
      <c r="A38" s="343" t="s">
        <v>372</v>
      </c>
      <c r="B38" s="345" t="s">
        <v>373</v>
      </c>
      <c r="C38" s="316" t="s">
        <v>374</v>
      </c>
      <c r="D38" s="317">
        <v>36210</v>
      </c>
      <c r="E38" s="317">
        <v>36210</v>
      </c>
      <c r="F38" s="316" t="s">
        <v>355</v>
      </c>
      <c r="G38" s="318">
        <v>480000</v>
      </c>
      <c r="H38" s="318">
        <v>0</v>
      </c>
      <c r="I38" s="319">
        <v>0</v>
      </c>
      <c r="J38" s="319">
        <v>0</v>
      </c>
      <c r="K38" s="352">
        <f t="shared" si="0"/>
        <v>480000</v>
      </c>
      <c r="L38" s="363">
        <v>480000</v>
      </c>
      <c r="M38" s="363"/>
      <c r="N38" s="363"/>
      <c r="O38" s="316">
        <v>0</v>
      </c>
      <c r="P38" s="320"/>
      <c r="Q38" s="321"/>
    </row>
    <row r="39" spans="1:17" s="322" customFormat="1" ht="47.25">
      <c r="A39" s="342" t="s">
        <v>375</v>
      </c>
      <c r="B39" s="345" t="s">
        <v>425</v>
      </c>
      <c r="C39" s="325" t="s">
        <v>374</v>
      </c>
      <c r="D39" s="326">
        <v>36416</v>
      </c>
      <c r="E39" s="326">
        <v>36416</v>
      </c>
      <c r="F39" s="325" t="s">
        <v>355</v>
      </c>
      <c r="G39" s="327">
        <v>1832000</v>
      </c>
      <c r="H39" s="327">
        <v>0</v>
      </c>
      <c r="I39" s="328">
        <v>0</v>
      </c>
      <c r="J39" s="328">
        <v>0</v>
      </c>
      <c r="K39" s="353">
        <f t="shared" si="0"/>
        <v>1832000</v>
      </c>
      <c r="L39" s="364">
        <v>1832000</v>
      </c>
      <c r="M39" s="364"/>
      <c r="N39" s="364"/>
      <c r="O39" s="325">
        <v>0</v>
      </c>
      <c r="P39" s="329"/>
      <c r="Q39" s="321"/>
    </row>
    <row r="40" spans="1:17">
      <c r="A40" s="344"/>
      <c r="B40" s="346"/>
      <c r="C40" s="278"/>
      <c r="D40" s="279"/>
      <c r="E40" s="279"/>
      <c r="F40" s="278"/>
      <c r="G40" s="280"/>
      <c r="H40" s="280"/>
      <c r="I40" s="281"/>
      <c r="J40" s="281"/>
      <c r="K40" s="354"/>
      <c r="L40" s="365"/>
      <c r="M40" s="365"/>
      <c r="N40" s="365"/>
      <c r="O40" s="278"/>
      <c r="P40" s="282"/>
      <c r="Q40" s="283"/>
    </row>
    <row r="41" spans="1:17" s="322" customFormat="1">
      <c r="A41" s="343" t="s">
        <v>376</v>
      </c>
      <c r="B41" s="345" t="s">
        <v>377</v>
      </c>
      <c r="C41" s="316" t="s">
        <v>374</v>
      </c>
      <c r="D41" s="317">
        <v>36413</v>
      </c>
      <c r="E41" s="317">
        <v>36413</v>
      </c>
      <c r="F41" s="316" t="s">
        <v>355</v>
      </c>
      <c r="G41" s="318">
        <v>9479079</v>
      </c>
      <c r="H41" s="318">
        <v>0</v>
      </c>
      <c r="I41" s="319">
        <v>0</v>
      </c>
      <c r="J41" s="319">
        <v>0</v>
      </c>
      <c r="K41" s="352">
        <f t="shared" si="0"/>
        <v>9479079</v>
      </c>
      <c r="L41" s="363">
        <v>9479079</v>
      </c>
      <c r="M41" s="363"/>
      <c r="N41" s="363"/>
      <c r="O41" s="316">
        <v>0</v>
      </c>
      <c r="P41" s="320"/>
      <c r="Q41" s="321"/>
    </row>
    <row r="42" spans="1:17">
      <c r="A42" s="284"/>
      <c r="B42" s="315"/>
      <c r="C42" s="278"/>
      <c r="D42" s="279"/>
      <c r="E42" s="279"/>
      <c r="F42" s="278"/>
      <c r="G42" s="280"/>
      <c r="H42" s="280"/>
      <c r="I42" s="281"/>
      <c r="J42" s="281"/>
      <c r="K42" s="354"/>
      <c r="L42" s="365"/>
      <c r="M42" s="365"/>
      <c r="N42" s="365"/>
      <c r="O42" s="278"/>
      <c r="P42" s="282"/>
      <c r="Q42" s="283"/>
    </row>
    <row r="43" spans="1:17" ht="4.5" customHeight="1">
      <c r="A43" s="286"/>
      <c r="B43" s="314"/>
      <c r="C43" s="288"/>
      <c r="D43" s="288"/>
      <c r="E43" s="288"/>
      <c r="F43" s="288"/>
      <c r="G43" s="289"/>
      <c r="H43" s="289"/>
      <c r="I43" s="290"/>
      <c r="J43" s="290"/>
      <c r="K43" s="355"/>
      <c r="L43" s="366"/>
      <c r="M43" s="366"/>
      <c r="N43" s="366"/>
      <c r="O43" s="288"/>
      <c r="P43" s="291"/>
      <c r="Q43" s="292"/>
    </row>
    <row r="44" spans="1:17" ht="4.5" customHeight="1">
      <c r="A44" s="277"/>
      <c r="B44" s="293"/>
      <c r="C44" s="278"/>
      <c r="D44" s="278"/>
      <c r="E44" s="278"/>
      <c r="F44" s="278"/>
      <c r="G44" s="278"/>
      <c r="H44" s="294"/>
      <c r="I44" s="294"/>
      <c r="J44" s="294"/>
      <c r="K44" s="350"/>
      <c r="L44" s="367"/>
      <c r="M44" s="367"/>
      <c r="N44" s="367"/>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13">
        <f t="shared" si="2"/>
        <v>11791079</v>
      </c>
      <c r="M45" s="413"/>
      <c r="N45" s="413"/>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0">
        <v>0</v>
      </c>
      <c r="L46" s="367"/>
      <c r="M46" s="367"/>
      <c r="N46" s="367"/>
      <c r="O46" s="278"/>
      <c r="P46" s="282"/>
      <c r="Q46" s="283"/>
    </row>
    <row r="47" spans="1:17">
      <c r="A47" s="277"/>
      <c r="B47" s="293" t="s">
        <v>380</v>
      </c>
      <c r="C47" s="278"/>
      <c r="D47" s="278"/>
      <c r="E47" s="278"/>
      <c r="F47" s="278" t="s">
        <v>361</v>
      </c>
      <c r="G47" s="294">
        <f t="shared" si="3"/>
        <v>0</v>
      </c>
      <c r="H47" s="294">
        <v>0</v>
      </c>
      <c r="I47" s="294">
        <f t="shared" si="3"/>
        <v>0</v>
      </c>
      <c r="J47" s="294">
        <f t="shared" si="3"/>
        <v>0</v>
      </c>
      <c r="K47" s="350">
        <v>0</v>
      </c>
      <c r="L47" s="367"/>
      <c r="M47" s="367"/>
      <c r="N47" s="367"/>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0">
        <f t="shared" si="3"/>
        <v>0</v>
      </c>
      <c r="L48" s="367"/>
      <c r="M48" s="367"/>
      <c r="N48" s="367"/>
      <c r="O48" s="278"/>
      <c r="P48" s="282"/>
      <c r="Q48" s="283"/>
    </row>
    <row r="49" spans="1:14" ht="12.75">
      <c r="L49"/>
      <c r="M49"/>
      <c r="N49"/>
    </row>
    <row r="50" spans="1:14">
      <c r="K50" s="356"/>
    </row>
    <row r="51" spans="1:14">
      <c r="B51" s="24" t="s">
        <v>463</v>
      </c>
      <c r="K51" s="356"/>
    </row>
    <row r="52" spans="1:14">
      <c r="K52" s="415"/>
      <c r="L52" s="414"/>
      <c r="M52" s="414"/>
      <c r="N52" s="414"/>
    </row>
    <row r="55" spans="1:14" ht="15">
      <c r="A55" s="418" t="s">
        <v>490</v>
      </c>
      <c r="B55" s="419"/>
      <c r="L55"/>
      <c r="M55"/>
      <c r="N55"/>
    </row>
    <row r="56" spans="1:14" s="18" customFormat="1" ht="15">
      <c r="A56" s="425" t="s">
        <v>515</v>
      </c>
      <c r="B56" s="424" t="s">
        <v>516</v>
      </c>
      <c r="H56" s="68">
        <v>385857</v>
      </c>
    </row>
    <row r="57" spans="1:14" s="18" customFormat="1" ht="15">
      <c r="A57" s="425" t="s">
        <v>517</v>
      </c>
      <c r="B57" s="424" t="s">
        <v>518</v>
      </c>
      <c r="H57" s="68">
        <v>-67189</v>
      </c>
    </row>
    <row r="58" spans="1:14" s="18" customFormat="1" ht="15">
      <c r="A58" s="425" t="s">
        <v>495</v>
      </c>
      <c r="B58" s="424" t="s">
        <v>519</v>
      </c>
      <c r="H58" s="68">
        <v>38441</v>
      </c>
    </row>
    <row r="59" spans="1:14" s="18" customFormat="1" ht="15">
      <c r="A59" s="425" t="s">
        <v>520</v>
      </c>
      <c r="B59" s="424" t="s">
        <v>521</v>
      </c>
      <c r="H59" s="68">
        <v>99963</v>
      </c>
    </row>
    <row r="60" spans="1:14" s="18" customFormat="1" ht="15">
      <c r="A60" s="425" t="s">
        <v>497</v>
      </c>
      <c r="B60" s="424" t="s">
        <v>522</v>
      </c>
      <c r="H60" s="68">
        <v>-64133</v>
      </c>
    </row>
    <row r="61" spans="1:14" s="18" customFormat="1" ht="15">
      <c r="A61" s="425" t="s">
        <v>523</v>
      </c>
      <c r="B61" s="424" t="s">
        <v>524</v>
      </c>
      <c r="H61" s="68">
        <v>-85517</v>
      </c>
    </row>
    <row r="62" spans="1:14" s="18" customFormat="1" ht="15">
      <c r="A62" s="425" t="s">
        <v>525</v>
      </c>
      <c r="B62" s="424" t="s">
        <v>526</v>
      </c>
      <c r="H62" s="68">
        <v>93106</v>
      </c>
    </row>
    <row r="63" spans="1:14" s="18" customFormat="1" ht="15">
      <c r="A63" s="425" t="s">
        <v>497</v>
      </c>
      <c r="B63" s="424" t="s">
        <v>522</v>
      </c>
      <c r="H63" s="68">
        <v>24659</v>
      </c>
    </row>
    <row r="64" spans="1:14" s="305" customFormat="1" ht="15">
      <c r="A64" s="422" t="s">
        <v>384</v>
      </c>
      <c r="B64" s="422"/>
      <c r="H64" s="426">
        <f>SUM(H56:H63)</f>
        <v>425187</v>
      </c>
    </row>
    <row r="65" spans="1:14" ht="12.75">
      <c r="A65" s="30"/>
      <c r="B65" s="30"/>
      <c r="L65"/>
      <c r="M65"/>
      <c r="N65"/>
    </row>
    <row r="66" spans="1:14" ht="12.75">
      <c r="A66" s="30"/>
      <c r="B66" s="30"/>
      <c r="L66"/>
      <c r="M66"/>
      <c r="N66"/>
    </row>
    <row r="67" spans="1:14" ht="18.75" thickBot="1">
      <c r="B67" s="430" t="s">
        <v>514</v>
      </c>
      <c r="C67" s="431"/>
      <c r="D67" s="431"/>
      <c r="E67" s="431"/>
      <c r="F67" s="431"/>
      <c r="G67" s="431"/>
      <c r="H67" s="443">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0"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c r="A8" s="489"/>
      <c r="B8" s="492"/>
      <c r="C8" s="492"/>
      <c r="D8" s="492"/>
      <c r="E8" s="492"/>
      <c r="F8" s="492"/>
      <c r="G8" s="486"/>
      <c r="H8" s="486"/>
      <c r="I8" s="486"/>
      <c r="J8" s="486"/>
      <c r="K8" s="486"/>
      <c r="L8" s="492"/>
      <c r="M8" s="483"/>
      <c r="N8" s="261"/>
    </row>
    <row r="9" spans="1:19" ht="13.5" thickBot="1">
      <c r="A9" s="490"/>
      <c r="B9" s="493"/>
      <c r="C9" s="493"/>
      <c r="D9" s="493"/>
      <c r="E9" s="493"/>
      <c r="F9" s="493"/>
      <c r="G9" s="487"/>
      <c r="H9" s="487"/>
      <c r="I9" s="487"/>
      <c r="J9" s="487"/>
      <c r="K9" s="487"/>
      <c r="L9" s="493"/>
      <c r="M9" s="484"/>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24" customFormat="1" ht="110.25">
      <c r="A13" s="341" t="s">
        <v>386</v>
      </c>
      <c r="B13" s="347" t="s">
        <v>432</v>
      </c>
      <c r="C13" s="330" t="s">
        <v>230</v>
      </c>
      <c r="D13" s="331">
        <v>36369</v>
      </c>
      <c r="E13" s="331"/>
      <c r="F13" s="330" t="s">
        <v>361</v>
      </c>
      <c r="G13" s="332"/>
      <c r="H13" s="332">
        <v>3822297</v>
      </c>
      <c r="I13" s="333">
        <v>0</v>
      </c>
      <c r="J13" s="333">
        <v>0</v>
      </c>
      <c r="K13" s="333">
        <f>SUM(G13:J13)</f>
        <v>3822297</v>
      </c>
      <c r="L13" s="330" t="s">
        <v>387</v>
      </c>
      <c r="M13" s="334"/>
      <c r="N13" s="323"/>
    </row>
    <row r="14" spans="1:19" s="324" customFormat="1" ht="141.75">
      <c r="A14" s="341" t="s">
        <v>388</v>
      </c>
      <c r="B14" s="347" t="s">
        <v>431</v>
      </c>
      <c r="C14" s="330" t="s">
        <v>230</v>
      </c>
      <c r="D14" s="331">
        <v>36464</v>
      </c>
      <c r="E14" s="331"/>
      <c r="F14" s="330" t="s">
        <v>361</v>
      </c>
      <c r="G14" s="332"/>
      <c r="H14" s="332">
        <v>2906759</v>
      </c>
      <c r="I14" s="333">
        <v>0</v>
      </c>
      <c r="J14" s="333">
        <v>0</v>
      </c>
      <c r="K14" s="333">
        <f>SUM(G14:J14)</f>
        <v>2906759</v>
      </c>
      <c r="L14" s="330" t="s">
        <v>387</v>
      </c>
      <c r="M14" s="334"/>
      <c r="N14" s="323"/>
    </row>
    <row r="15" spans="1:19" s="427" customFormat="1">
      <c r="A15" s="331"/>
      <c r="B15" s="442" t="s">
        <v>509</v>
      </c>
      <c r="C15" s="331"/>
      <c r="D15" s="331"/>
      <c r="E15" s="331"/>
      <c r="F15" s="331"/>
      <c r="G15" s="331"/>
      <c r="H15" s="428">
        <v>263743</v>
      </c>
      <c r="I15" s="331"/>
      <c r="J15" s="331"/>
      <c r="K15" s="429">
        <f>SUM(C15:J15)</f>
        <v>263743</v>
      </c>
      <c r="L15" s="331"/>
      <c r="M15" s="331"/>
      <c r="N15" s="331"/>
      <c r="O15" s="331"/>
      <c r="P15" s="331"/>
      <c r="Q15" s="331"/>
      <c r="R15" s="331"/>
      <c r="S15" s="331"/>
    </row>
    <row r="16" spans="1:19" ht="15.75">
      <c r="A16" s="277" t="s">
        <v>389</v>
      </c>
      <c r="B16" s="348"/>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48"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48"/>
      <c r="C18" s="278"/>
      <c r="D18" s="279"/>
      <c r="E18" s="279"/>
      <c r="F18" s="278"/>
      <c r="G18" s="280"/>
      <c r="H18" s="280"/>
      <c r="I18" s="281"/>
      <c r="J18" s="281"/>
      <c r="K18" s="281"/>
      <c r="L18" s="278"/>
      <c r="M18" s="282"/>
      <c r="N18" s="283"/>
    </row>
    <row r="19" spans="1:14" ht="15.75">
      <c r="A19" s="277" t="s">
        <v>392</v>
      </c>
      <c r="B19" s="348"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48"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48"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48"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48"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49"/>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18" t="s">
        <v>490</v>
      </c>
      <c r="B39" s="419"/>
    </row>
    <row r="40" spans="1:8" s="18" customFormat="1" ht="15">
      <c r="A40" s="425" t="s">
        <v>491</v>
      </c>
      <c r="B40" s="424" t="s">
        <v>494</v>
      </c>
      <c r="H40" s="68">
        <v>317897</v>
      </c>
    </row>
    <row r="41" spans="1:8" s="18" customFormat="1" ht="15">
      <c r="A41" s="425" t="s">
        <v>495</v>
      </c>
      <c r="B41" s="424" t="s">
        <v>498</v>
      </c>
      <c r="H41" s="68">
        <v>-739008</v>
      </c>
    </row>
    <row r="42" spans="1:8" s="18" customFormat="1" ht="15">
      <c r="A42" s="425" t="s">
        <v>497</v>
      </c>
      <c r="B42" s="424" t="s">
        <v>510</v>
      </c>
      <c r="H42" s="68">
        <v>421112</v>
      </c>
    </row>
    <row r="43" spans="1:8" s="305" customFormat="1" ht="15">
      <c r="A43" s="422" t="s">
        <v>384</v>
      </c>
      <c r="B43" s="422"/>
      <c r="H43" s="426">
        <f>SUM(H40:H42)</f>
        <v>1</v>
      </c>
    </row>
    <row r="44" spans="1:8">
      <c r="H44" s="254"/>
    </row>
    <row r="46" spans="1:8" ht="18.75" thickBot="1">
      <c r="B46" s="430" t="s">
        <v>514</v>
      </c>
      <c r="C46" s="431"/>
      <c r="D46" s="431"/>
      <c r="E46" s="431"/>
      <c r="F46" s="431"/>
      <c r="G46" s="431"/>
      <c r="H46" s="432">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0"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c r="A8" s="489"/>
      <c r="B8" s="492"/>
      <c r="C8" s="492"/>
      <c r="D8" s="492"/>
      <c r="E8" s="492"/>
      <c r="F8" s="492"/>
      <c r="G8" s="486"/>
      <c r="H8" s="486"/>
      <c r="I8" s="486"/>
      <c r="J8" s="486"/>
      <c r="K8" s="486"/>
      <c r="L8" s="492"/>
      <c r="M8" s="483"/>
      <c r="N8" s="261"/>
    </row>
    <row r="9" spans="1:14" ht="13.5" thickBot="1">
      <c r="A9" s="490"/>
      <c r="B9" s="493"/>
      <c r="C9" s="493"/>
      <c r="D9" s="493"/>
      <c r="E9" s="493"/>
      <c r="F9" s="493"/>
      <c r="G9" s="487"/>
      <c r="H9" s="487"/>
      <c r="I9" s="487"/>
      <c r="J9" s="487"/>
      <c r="K9" s="487"/>
      <c r="L9" s="493"/>
      <c r="M9" s="484"/>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24" customFormat="1" ht="74.25" customHeight="1">
      <c r="A12" s="341" t="s">
        <v>405</v>
      </c>
      <c r="B12" s="347" t="s">
        <v>433</v>
      </c>
      <c r="C12" s="330" t="s">
        <v>230</v>
      </c>
      <c r="D12" s="331">
        <v>36388</v>
      </c>
      <c r="E12" s="331"/>
      <c r="F12" s="330" t="s">
        <v>361</v>
      </c>
      <c r="G12" s="332"/>
      <c r="H12" s="332">
        <v>3953393</v>
      </c>
      <c r="I12" s="333">
        <v>0</v>
      </c>
      <c r="J12" s="333">
        <v>0</v>
      </c>
      <c r="K12" s="333">
        <f>SUM(G12:J12)</f>
        <v>3953393</v>
      </c>
      <c r="L12" s="330" t="s">
        <v>387</v>
      </c>
      <c r="M12" s="334"/>
      <c r="N12" s="323"/>
    </row>
    <row r="13" spans="1:14" s="324" customFormat="1" ht="89.25" customHeight="1">
      <c r="A13" s="341" t="s">
        <v>406</v>
      </c>
      <c r="B13" s="347" t="s">
        <v>435</v>
      </c>
      <c r="C13" s="330" t="s">
        <v>230</v>
      </c>
      <c r="D13" s="331">
        <v>36464</v>
      </c>
      <c r="E13" s="331"/>
      <c r="F13" s="330" t="s">
        <v>361</v>
      </c>
      <c r="G13" s="332"/>
      <c r="H13" s="332">
        <v>2321129</v>
      </c>
      <c r="I13" s="333">
        <v>0</v>
      </c>
      <c r="J13" s="333">
        <v>0</v>
      </c>
      <c r="K13" s="333">
        <f>SUM(G13:J13)</f>
        <v>2321129</v>
      </c>
      <c r="L13" s="330" t="s">
        <v>387</v>
      </c>
      <c r="M13" s="334"/>
      <c r="N13" s="323"/>
    </row>
    <row r="14" spans="1:14" s="441" customFormat="1" ht="23.25" customHeight="1">
      <c r="A14" s="433"/>
      <c r="B14" s="434" t="s">
        <v>509</v>
      </c>
      <c r="C14" s="435"/>
      <c r="D14" s="436"/>
      <c r="E14" s="436"/>
      <c r="F14" s="435"/>
      <c r="G14" s="437"/>
      <c r="H14" s="437">
        <v>294693</v>
      </c>
      <c r="I14" s="438"/>
      <c r="J14" s="438"/>
      <c r="K14" s="438">
        <f>SUM(H14:J14)</f>
        <v>294693</v>
      </c>
      <c r="L14" s="435"/>
      <c r="M14" s="439"/>
      <c r="N14" s="440"/>
    </row>
    <row r="15" spans="1:14" ht="15.75">
      <c r="A15" s="277"/>
      <c r="B15" s="348"/>
      <c r="C15" s="278"/>
      <c r="D15" s="279"/>
      <c r="E15" s="279"/>
      <c r="F15" s="278"/>
      <c r="G15" s="280"/>
      <c r="H15" s="280"/>
      <c r="I15" s="281"/>
      <c r="J15" s="281"/>
      <c r="K15" s="281"/>
      <c r="L15" s="278"/>
      <c r="M15" s="282"/>
      <c r="N15" s="283"/>
    </row>
    <row r="16" spans="1:14" ht="15.75">
      <c r="A16" s="277" t="s">
        <v>407</v>
      </c>
      <c r="B16" s="348"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48"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48"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23" t="s">
        <v>401</v>
      </c>
      <c r="B28" s="30"/>
    </row>
    <row r="29" spans="1:14" ht="15">
      <c r="A29" s="423"/>
      <c r="B29" s="30"/>
    </row>
    <row r="30" spans="1:14" s="122" customFormat="1" ht="15.75">
      <c r="A30" s="420" t="s">
        <v>383</v>
      </c>
      <c r="B30" s="420"/>
      <c r="H30" s="302">
        <f>H19+H20</f>
        <v>0</v>
      </c>
    </row>
    <row r="31" spans="1:14">
      <c r="A31" s="30"/>
      <c r="B31" s="30"/>
    </row>
    <row r="32" spans="1:14" s="303" customFormat="1" ht="15">
      <c r="A32" s="421" t="s">
        <v>402</v>
      </c>
      <c r="B32" s="421"/>
      <c r="H32" s="304">
        <v>0</v>
      </c>
    </row>
    <row r="33" spans="1:8">
      <c r="A33" s="30"/>
      <c r="B33" s="30"/>
    </row>
    <row r="34" spans="1:8">
      <c r="A34" s="30"/>
      <c r="B34" s="30"/>
    </row>
    <row r="35" spans="1:8" ht="15">
      <c r="A35" s="418" t="s">
        <v>490</v>
      </c>
      <c r="B35" s="419"/>
    </row>
    <row r="36" spans="1:8" s="18" customFormat="1" ht="15">
      <c r="A36" s="425" t="s">
        <v>491</v>
      </c>
      <c r="B36" s="424" t="s">
        <v>492</v>
      </c>
      <c r="H36" s="68">
        <v>-124695</v>
      </c>
    </row>
    <row r="37" spans="1:8" s="18" customFormat="1" ht="15">
      <c r="A37" s="425" t="s">
        <v>493</v>
      </c>
      <c r="B37" s="424" t="s">
        <v>494</v>
      </c>
      <c r="H37" s="68">
        <v>-95805</v>
      </c>
    </row>
    <row r="38" spans="1:8" s="18" customFormat="1" ht="15">
      <c r="A38" s="425" t="s">
        <v>495</v>
      </c>
      <c r="B38" s="424" t="s">
        <v>496</v>
      </c>
      <c r="H38" s="68">
        <v>-477220</v>
      </c>
    </row>
    <row r="39" spans="1:8" s="18" customFormat="1" ht="15">
      <c r="A39" s="425" t="s">
        <v>497</v>
      </c>
      <c r="B39" s="424" t="s">
        <v>498</v>
      </c>
      <c r="H39" s="68">
        <v>745403</v>
      </c>
    </row>
    <row r="40" spans="1:8" s="305" customFormat="1" ht="15">
      <c r="A40" s="422" t="s">
        <v>384</v>
      </c>
      <c r="B40" s="422"/>
      <c r="H40" s="426">
        <f>SUM(H36:H39)</f>
        <v>47683</v>
      </c>
    </row>
    <row r="41" spans="1:8">
      <c r="A41" s="30"/>
      <c r="B41" s="30"/>
    </row>
    <row r="42" spans="1:8">
      <c r="A42" s="30"/>
      <c r="B42" s="30"/>
    </row>
    <row r="43" spans="1:8" ht="18.75" thickBot="1">
      <c r="B43" s="430" t="s">
        <v>514</v>
      </c>
      <c r="C43" s="431"/>
      <c r="D43" s="431"/>
      <c r="E43" s="431"/>
      <c r="F43" s="431"/>
      <c r="G43" s="431"/>
      <c r="H43" s="432">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57">
        <v>19947.871999999999</v>
      </c>
      <c r="J45" s="20">
        <f>I45+10717.074</f>
        <v>30664.946</v>
      </c>
    </row>
    <row r="46" spans="1:79" ht="16.5" thickBot="1">
      <c r="D46" t="s">
        <v>418</v>
      </c>
      <c r="I46" s="35">
        <f>I45-I42</f>
        <v>10528.787</v>
      </c>
      <c r="J46" s="35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5"/>
  <sheetViews>
    <sheetView tabSelected="1" zoomScale="90" zoomScaleNormal="90" zoomScaleSheetLayoutView="100" workbookViewId="0">
      <selection activeCell="C39" sqref="C39"/>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36752.660091203703</v>
      </c>
    </row>
    <row r="3" spans="1:74" ht="15.75">
      <c r="A3" s="178" t="s">
        <v>189</v>
      </c>
      <c r="G3" s="176"/>
      <c r="J3" s="177"/>
      <c r="O3" s="176"/>
      <c r="BV3" t="str">
        <f>Summary!A5</f>
        <v>Revision # 60</v>
      </c>
    </row>
    <row r="4" spans="1:74" ht="15.75">
      <c r="A4" s="174" t="s">
        <v>185</v>
      </c>
      <c r="J4" s="177" t="s">
        <v>125</v>
      </c>
      <c r="O4" s="98" t="s">
        <v>596</v>
      </c>
    </row>
    <row r="5" spans="1:74" ht="15.75">
      <c r="A5" s="178" t="s">
        <v>595</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08/14/00</v>
      </c>
      <c r="H9" s="182"/>
      <c r="I9" s="53" t="str">
        <f>+O4</f>
        <v xml:space="preserve"> As of 08/14/00</v>
      </c>
      <c r="J9" s="182"/>
      <c r="K9" s="90" t="str">
        <f>+O4</f>
        <v xml:space="preserve"> As of 08/14/00</v>
      </c>
      <c r="M9" s="28" t="s">
        <v>143</v>
      </c>
      <c r="O9" s="28" t="s">
        <v>46</v>
      </c>
    </row>
    <row r="10" spans="1:74">
      <c r="A10" s="180"/>
      <c r="C10" s="27"/>
      <c r="E10" s="180"/>
      <c r="G10" s="183"/>
      <c r="H10" s="182"/>
      <c r="I10" s="180"/>
      <c r="J10" s="182"/>
      <c r="K10" s="184"/>
      <c r="M10" s="180"/>
      <c r="O10" s="180"/>
    </row>
    <row r="11" spans="1:74">
      <c r="A11" s="185" t="s">
        <v>254</v>
      </c>
      <c r="C11" s="446">
        <v>608</v>
      </c>
      <c r="E11" s="187">
        <f>Wilton!R178/1000</f>
        <v>239675.46775000001</v>
      </c>
      <c r="F11" s="186"/>
      <c r="G11" s="188">
        <f>Wilton!BL178/1000</f>
        <v>262449.99583869206</v>
      </c>
      <c r="H11" s="182"/>
      <c r="I11" s="187">
        <f>K11-G11</f>
        <v>9638.081426178629</v>
      </c>
      <c r="J11" s="182"/>
      <c r="K11" s="189">
        <f>Wilton!BR178/1000</f>
        <v>272088.07726487069</v>
      </c>
      <c r="M11" s="187">
        <f>+E11-K11</f>
        <v>-32412.609514870681</v>
      </c>
      <c r="O11" s="190">
        <f>+G11/K11</f>
        <v>0.96457734744181312</v>
      </c>
    </row>
    <row r="12" spans="1:74">
      <c r="A12" s="191"/>
      <c r="C12" s="446"/>
      <c r="E12" s="192"/>
      <c r="F12" s="186"/>
      <c r="G12" s="193"/>
      <c r="H12" s="182"/>
      <c r="I12" s="192"/>
      <c r="J12" s="182"/>
      <c r="K12" s="194"/>
      <c r="M12" s="192"/>
      <c r="O12" s="195"/>
    </row>
    <row r="13" spans="1:74">
      <c r="A13" s="185" t="str">
        <f>Gleason!A3</f>
        <v>Gleason, TN</v>
      </c>
      <c r="C13" s="446">
        <v>509</v>
      </c>
      <c r="E13" s="187">
        <f>Gleason!R225/1000</f>
        <v>170575.01</v>
      </c>
      <c r="F13" s="186"/>
      <c r="G13" s="188">
        <f>Gleason!BN225/1000</f>
        <v>169962.22972366746</v>
      </c>
      <c r="H13" s="182"/>
      <c r="I13" s="187">
        <f>K13-G13</f>
        <v>7655.1330299999972</v>
      </c>
      <c r="J13" s="182"/>
      <c r="K13" s="189">
        <f>Gleason!BT225/1000</f>
        <v>177617.36275366746</v>
      </c>
      <c r="M13" s="187">
        <f>+E13-K13</f>
        <v>-7042.3527536674519</v>
      </c>
      <c r="O13" s="190">
        <f>+G13/K13</f>
        <v>0.95690098697942783</v>
      </c>
    </row>
    <row r="14" spans="1:74">
      <c r="A14" s="191"/>
      <c r="C14" s="446"/>
      <c r="E14" s="192"/>
      <c r="F14" s="186"/>
      <c r="G14" s="193"/>
      <c r="H14" s="182"/>
      <c r="I14" s="192"/>
      <c r="J14" s="182"/>
      <c r="K14" s="194"/>
      <c r="M14" s="192"/>
      <c r="O14" s="195"/>
    </row>
    <row r="15" spans="1:74">
      <c r="A15" s="185" t="s">
        <v>194</v>
      </c>
      <c r="C15" s="446">
        <v>470</v>
      </c>
      <c r="E15" s="187">
        <f>Wheatland!R176/1000</f>
        <v>158451.2481</v>
      </c>
      <c r="F15" s="186"/>
      <c r="G15" s="188">
        <f>Wheatland!BL176/1000</f>
        <v>153568.43636029519</v>
      </c>
      <c r="H15" s="182"/>
      <c r="I15" s="187">
        <f>K15-G15</f>
        <v>9507.937799999956</v>
      </c>
      <c r="J15" s="182"/>
      <c r="K15" s="189">
        <f>Wheatland!BR176/1000</f>
        <v>163076.37416029515</v>
      </c>
      <c r="M15" s="187">
        <f>+E15-K15</f>
        <v>-4625.1260602951515</v>
      </c>
      <c r="O15" s="190">
        <f>+G15/K15</f>
        <v>0.94169641158041584</v>
      </c>
      <c r="AC15" t="s">
        <v>154</v>
      </c>
    </row>
    <row r="16" spans="1:74" ht="8.25" customHeight="1">
      <c r="A16" s="191"/>
      <c r="B16" s="182"/>
      <c r="C16" s="447"/>
      <c r="D16" s="182"/>
      <c r="E16" s="196"/>
      <c r="F16" s="182"/>
      <c r="G16" s="197"/>
      <c r="H16" s="182"/>
      <c r="I16" s="196"/>
      <c r="J16" s="182"/>
      <c r="K16" s="198"/>
      <c r="L16" s="182"/>
      <c r="M16" s="196"/>
      <c r="N16" s="182"/>
      <c r="O16" s="191"/>
    </row>
    <row r="17" spans="1:29">
      <c r="A17" s="199" t="s">
        <v>267</v>
      </c>
      <c r="B17" s="200"/>
      <c r="C17" s="448">
        <f>SUM(C11:C15)</f>
        <v>1587</v>
      </c>
      <c r="D17" s="182"/>
      <c r="E17" s="201">
        <f>SUM(E11:E15)</f>
        <v>568701.72585000005</v>
      </c>
      <c r="F17" s="202"/>
      <c r="G17" s="203">
        <f>SUM(G11:G15)</f>
        <v>585980.66192265472</v>
      </c>
      <c r="H17" s="202"/>
      <c r="I17" s="201">
        <f>SUM(I11:I15)</f>
        <v>26801.152256178582</v>
      </c>
      <c r="J17" s="182"/>
      <c r="K17" s="204">
        <f>SUM(K11:K15)</f>
        <v>612781.81417883327</v>
      </c>
      <c r="L17" s="182"/>
      <c r="M17" s="201">
        <f>SUM(M10:M15)</f>
        <v>-44080.088328833284</v>
      </c>
      <c r="N17" s="182"/>
      <c r="O17" s="205">
        <f>+G17/K17</f>
        <v>0.95626314026291104</v>
      </c>
    </row>
    <row r="18" spans="1:29" ht="13.5" thickBot="1">
      <c r="A18" s="206" t="s">
        <v>50</v>
      </c>
      <c r="B18" s="200"/>
      <c r="C18" s="206"/>
      <c r="D18" s="182"/>
      <c r="E18" s="207">
        <f>E17/C17</f>
        <v>358.35017381852555</v>
      </c>
      <c r="F18" s="202"/>
      <c r="G18" s="208"/>
      <c r="H18" s="209"/>
      <c r="I18" s="210"/>
      <c r="J18" s="211"/>
      <c r="K18" s="212">
        <f>+K17/C17</f>
        <v>386.12590685496741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08/14/00</v>
      </c>
      <c r="H22" s="182"/>
      <c r="I22" s="53" t="str">
        <f>I9</f>
        <v xml:space="preserve"> As of 08/14/00</v>
      </c>
      <c r="J22" s="182"/>
      <c r="K22" s="90" t="str">
        <f>K9</f>
        <v xml:space="preserve"> As of 08/14/00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08/14/00</v>
      </c>
      <c r="H35" s="182"/>
      <c r="I35" s="53" t="str">
        <f>O4</f>
        <v xml:space="preserve"> As of 08/14/00</v>
      </c>
      <c r="J35" s="182"/>
      <c r="K35" s="90" t="str">
        <f>O4</f>
        <v xml:space="preserve"> As of 08/14/00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5" thickBot="1"/>
    <row r="45" spans="1:29" ht="13.5"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-26168.616999999998</v>
      </c>
      <c r="E58" s="175" t="s">
        <v>415</v>
      </c>
    </row>
    <row r="59" spans="1:15">
      <c r="A59" s="182"/>
      <c r="C59" s="226">
        <f>Wilton!BT12/1000</f>
        <v>-1832.0004399999975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-200.09361333333339</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572</v>
      </c>
    </row>
    <row r="66" spans="1:12">
      <c r="A66" s="182"/>
      <c r="C66" s="226">
        <f>(Wilton!BT156+Wilton!BT157+Wilton!BT158+Wilton!BT159)/1000</f>
        <v>-775.81427999999994</v>
      </c>
      <c r="E66" s="175" t="s">
        <v>527</v>
      </c>
    </row>
    <row r="67" spans="1:12">
      <c r="A67" s="182"/>
      <c r="C67" s="226">
        <f>-Wilton!BR160/1000</f>
        <v>-191.01289000000003</v>
      </c>
      <c r="E67" s="175" t="s">
        <v>440</v>
      </c>
    </row>
    <row r="68" spans="1:12">
      <c r="A68" s="182"/>
      <c r="C68" s="226">
        <f>Wilton!BT139/1000</f>
        <v>-17.167890000000014</v>
      </c>
      <c r="E68" s="175" t="s">
        <v>594</v>
      </c>
    </row>
    <row r="69" spans="1:12">
      <c r="A69" s="182"/>
      <c r="C69" s="226">
        <f>Wilton!BT147/1000</f>
        <v>-353.46850000000001</v>
      </c>
      <c r="E69" s="175" t="s">
        <v>562</v>
      </c>
    </row>
    <row r="70" spans="1:12">
      <c r="A70" s="182"/>
      <c r="C70" s="226">
        <f>Wilton!BT169/1000</f>
        <v>-368.28674000000001</v>
      </c>
      <c r="E70" s="175" t="s">
        <v>449</v>
      </c>
    </row>
    <row r="71" spans="1:12">
      <c r="A71" s="182"/>
      <c r="C71" s="313">
        <v>4408.0720000000001</v>
      </c>
      <c r="E71" s="182" t="s">
        <v>324</v>
      </c>
      <c r="F71" s="182"/>
      <c r="G71" s="182"/>
      <c r="H71" s="182"/>
      <c r="I71" s="182"/>
    </row>
    <row r="72" spans="1:12">
      <c r="A72" s="182"/>
      <c r="C72" s="313">
        <f>Wilton!BT151/1000</f>
        <v>-121.30825</v>
      </c>
      <c r="E72" s="182" t="s">
        <v>437</v>
      </c>
      <c r="F72" s="182"/>
      <c r="G72" s="182"/>
      <c r="H72" s="182"/>
      <c r="I72" s="182"/>
    </row>
    <row r="73" spans="1:12">
      <c r="A73" s="182"/>
      <c r="C73" s="245">
        <f>Wilton!BT121/1000</f>
        <v>-396.66321000000005</v>
      </c>
      <c r="D73" s="246"/>
      <c r="E73" s="246" t="s">
        <v>442</v>
      </c>
      <c r="F73" s="246"/>
      <c r="G73" s="246"/>
      <c r="H73" s="246"/>
      <c r="I73" s="246"/>
      <c r="J73" s="246"/>
      <c r="K73" s="246"/>
    </row>
    <row r="74" spans="1:12">
      <c r="A74" s="182"/>
      <c r="C74" s="470">
        <f>SUM(C57:C73)</f>
        <v>-32412.609264870658</v>
      </c>
      <c r="D74" s="471"/>
      <c r="E74" s="472" t="s">
        <v>417</v>
      </c>
      <c r="F74" s="471"/>
      <c r="G74" s="471"/>
      <c r="H74" s="471"/>
      <c r="I74" s="471"/>
      <c r="J74" s="471"/>
      <c r="K74" s="471"/>
      <c r="L74" s="182"/>
    </row>
    <row r="75" spans="1:12">
      <c r="A75" s="182"/>
      <c r="C75" s="444"/>
      <c r="D75" s="182"/>
      <c r="E75" s="417"/>
      <c r="F75" s="182"/>
      <c r="G75" s="182"/>
      <c r="H75" s="182"/>
      <c r="I75" s="182"/>
      <c r="J75" s="182"/>
      <c r="K75" s="182"/>
      <c r="L75" s="182"/>
    </row>
    <row r="76" spans="1:12">
      <c r="A76" s="182"/>
      <c r="C76" s="445"/>
    </row>
    <row r="77" spans="1:12">
      <c r="A77" s="182"/>
      <c r="C77" s="226"/>
    </row>
    <row r="78" spans="1:12">
      <c r="A78" s="225" t="s">
        <v>294</v>
      </c>
      <c r="C78" s="226">
        <f>Gleason!BV202/1000</f>
        <v>-32.203279999999999</v>
      </c>
      <c r="E78" s="217" t="s">
        <v>279</v>
      </c>
      <c r="F78" s="217"/>
      <c r="G78" s="217"/>
      <c r="H78" s="217"/>
      <c r="I78" s="217"/>
    </row>
    <row r="79" spans="1:12">
      <c r="A79" s="225"/>
      <c r="C79" s="313">
        <f>Gleason!BV97/1000</f>
        <v>-4993.6000000000004</v>
      </c>
      <c r="D79" s="182"/>
      <c r="E79" s="175" t="s">
        <v>415</v>
      </c>
      <c r="F79" s="215"/>
      <c r="G79" s="215"/>
      <c r="H79" s="215"/>
      <c r="I79" s="215"/>
      <c r="J79" s="182"/>
      <c r="K79" s="182"/>
    </row>
    <row r="80" spans="1:12">
      <c r="A80" s="225"/>
      <c r="C80" s="313">
        <f>Gleason!BV16/1000</f>
        <v>-3392.7400499999972</v>
      </c>
      <c r="E80" s="175" t="s">
        <v>322</v>
      </c>
      <c r="F80" s="215"/>
      <c r="G80" s="215"/>
      <c r="H80" s="215"/>
      <c r="I80" s="215"/>
      <c r="J80" s="182"/>
      <c r="K80" s="182"/>
    </row>
    <row r="81" spans="1:15">
      <c r="A81" s="225"/>
      <c r="C81" s="313">
        <f>Gleason!BV35/1000</f>
        <v>-579.65</v>
      </c>
      <c r="E81" s="175" t="s">
        <v>482</v>
      </c>
      <c r="F81" s="215"/>
      <c r="G81" s="215"/>
      <c r="H81" s="215"/>
      <c r="I81" s="215"/>
      <c r="J81" s="182"/>
      <c r="K81" s="182"/>
    </row>
    <row r="82" spans="1:15">
      <c r="A82" s="225"/>
      <c r="C82" s="313">
        <f>Gleason!BV182/1000</f>
        <v>-1802.23153</v>
      </c>
      <c r="E82" s="175" t="s">
        <v>445</v>
      </c>
      <c r="F82" s="215"/>
      <c r="G82" s="215"/>
      <c r="H82" s="215"/>
      <c r="I82" s="215"/>
      <c r="J82" s="182"/>
      <c r="K82" s="182"/>
    </row>
    <row r="83" spans="1:15">
      <c r="A83" s="225"/>
      <c r="C83" s="313">
        <f>Gleason!BV201/1000</f>
        <v>-191.01290000000003</v>
      </c>
      <c r="E83" s="175" t="s">
        <v>440</v>
      </c>
      <c r="F83" s="215"/>
      <c r="G83" s="215"/>
      <c r="H83" s="215"/>
      <c r="I83" s="215"/>
      <c r="J83" s="182"/>
      <c r="K83" s="182"/>
    </row>
    <row r="84" spans="1:15">
      <c r="A84" s="225"/>
      <c r="C84" s="313">
        <f>Gleason!BV211/1000</f>
        <v>675.50984633251471</v>
      </c>
      <c r="E84" s="175" t="s">
        <v>512</v>
      </c>
      <c r="F84" s="215"/>
      <c r="G84" s="215"/>
      <c r="H84" s="215"/>
      <c r="I84" s="215"/>
      <c r="J84" s="182"/>
      <c r="K84" s="182"/>
    </row>
    <row r="85" spans="1:15">
      <c r="A85" s="225"/>
      <c r="C85" s="313">
        <f>Gleason!BV209/1000</f>
        <v>-252.20846000000003</v>
      </c>
      <c r="E85" s="175" t="s">
        <v>450</v>
      </c>
      <c r="F85" s="215"/>
      <c r="G85" s="215"/>
      <c r="H85" s="215"/>
      <c r="I85" s="215"/>
      <c r="J85" s="182"/>
      <c r="K85" s="182"/>
    </row>
    <row r="86" spans="1:15">
      <c r="A86" s="225"/>
      <c r="C86" s="313">
        <f>Gleason!BV149/1000</f>
        <v>-59.51</v>
      </c>
      <c r="E86" s="175" t="s">
        <v>483</v>
      </c>
      <c r="F86" s="215"/>
      <c r="G86" s="215"/>
      <c r="H86" s="215"/>
      <c r="I86" s="215"/>
      <c r="J86" s="182"/>
      <c r="K86" s="182"/>
    </row>
    <row r="87" spans="1:15">
      <c r="A87" s="225"/>
      <c r="C87" s="313">
        <f>Gleason!BV159/1000</f>
        <v>-640.99358999999993</v>
      </c>
      <c r="E87" s="175" t="s">
        <v>484</v>
      </c>
      <c r="F87" s="215"/>
      <c r="G87" s="215"/>
      <c r="H87" s="215"/>
      <c r="I87" s="215"/>
      <c r="J87" s="182"/>
      <c r="K87" s="182"/>
    </row>
    <row r="88" spans="1:15">
      <c r="A88" s="225"/>
      <c r="C88" s="313">
        <f>Gleason!BV190/1000</f>
        <v>-597.87991999999997</v>
      </c>
      <c r="E88" s="175" t="s">
        <v>564</v>
      </c>
      <c r="F88" s="215"/>
      <c r="G88" s="215"/>
      <c r="H88" s="215"/>
      <c r="I88" s="215"/>
      <c r="J88" s="182"/>
      <c r="K88" s="182"/>
    </row>
    <row r="89" spans="1:15">
      <c r="A89" s="225"/>
      <c r="C89" s="313">
        <f>Gleason!BV136/1000</f>
        <v>-109.559</v>
      </c>
      <c r="E89" s="175" t="s">
        <v>563</v>
      </c>
      <c r="F89" s="215"/>
      <c r="G89" s="215"/>
      <c r="H89" s="215"/>
      <c r="I89" s="215"/>
      <c r="J89" s="182"/>
      <c r="K89" s="182"/>
    </row>
    <row r="90" spans="1:15">
      <c r="A90" s="225"/>
      <c r="C90" s="313">
        <f>Gleason!BV194/1000</f>
        <v>87.884649999999993</v>
      </c>
      <c r="E90" s="175" t="s">
        <v>572</v>
      </c>
      <c r="F90" s="215"/>
      <c r="G90" s="215"/>
      <c r="H90" s="215"/>
      <c r="I90" s="215"/>
      <c r="J90" s="182"/>
      <c r="K90" s="182"/>
    </row>
    <row r="91" spans="1:15">
      <c r="A91" s="225"/>
      <c r="C91" s="313">
        <f>Gleason!BV200/1000</f>
        <v>-578.65175999999997</v>
      </c>
      <c r="E91" s="175" t="s">
        <v>527</v>
      </c>
      <c r="F91" s="215"/>
      <c r="G91" s="215"/>
      <c r="H91" s="215"/>
      <c r="I91" s="215"/>
      <c r="J91" s="182"/>
      <c r="K91" s="182"/>
    </row>
    <row r="92" spans="1:15">
      <c r="A92" s="225"/>
      <c r="C92" s="313">
        <f>Gleason!BV215/1000</f>
        <v>5423.4979999999996</v>
      </c>
      <c r="D92" s="182"/>
      <c r="E92" s="182" t="s">
        <v>324</v>
      </c>
      <c r="F92" s="215"/>
      <c r="G92" s="215"/>
      <c r="H92" s="215"/>
      <c r="I92" s="215"/>
      <c r="J92" s="182"/>
      <c r="K92" s="182"/>
    </row>
    <row r="93" spans="1:15" s="30" customFormat="1">
      <c r="A93" s="225"/>
      <c r="B93" s="182"/>
      <c r="C93" s="245">
        <f>Gleason!BV105/1000+1</f>
        <v>1</v>
      </c>
      <c r="D93" s="246"/>
      <c r="E93" s="359" t="s">
        <v>446</v>
      </c>
      <c r="F93" s="312"/>
      <c r="G93" s="312"/>
      <c r="H93" s="312"/>
      <c r="I93" s="312"/>
      <c r="J93" s="246"/>
      <c r="K93" s="246"/>
      <c r="L93" s="182"/>
      <c r="M93" s="182"/>
      <c r="N93" s="182"/>
      <c r="O93" s="182"/>
    </row>
    <row r="94" spans="1:15">
      <c r="A94" s="225"/>
      <c r="C94" s="470">
        <f>SUM(C78:C93)</f>
        <v>-7042.3479936674812</v>
      </c>
      <c r="D94" s="471"/>
      <c r="E94" s="477" t="s">
        <v>414</v>
      </c>
      <c r="F94" s="478"/>
      <c r="G94" s="478"/>
      <c r="H94" s="478"/>
      <c r="I94" s="478"/>
      <c r="J94" s="471"/>
      <c r="K94" s="471"/>
    </row>
    <row r="95" spans="1:15">
      <c r="A95" s="182"/>
      <c r="C95" s="226"/>
      <c r="E95" s="217"/>
      <c r="F95" s="217"/>
      <c r="G95" s="217"/>
      <c r="H95" s="217"/>
      <c r="I95" s="217"/>
    </row>
    <row r="96" spans="1:15">
      <c r="A96" s="182"/>
      <c r="C96" s="226"/>
      <c r="E96" s="217"/>
      <c r="F96" s="217"/>
      <c r="G96" s="217"/>
      <c r="H96" s="217"/>
      <c r="I96" s="217"/>
    </row>
    <row r="97" spans="1:15">
      <c r="A97" s="225" t="s">
        <v>194</v>
      </c>
      <c r="C97" s="226">
        <f>Wheatland!BT159/1000</f>
        <v>-168.35607999999999</v>
      </c>
      <c r="E97" s="217" t="s">
        <v>279</v>
      </c>
    </row>
    <row r="98" spans="1:15">
      <c r="C98" s="226">
        <f>Wheatland!BT91/1000</f>
        <v>-5550.8</v>
      </c>
      <c r="E98" s="175" t="s">
        <v>416</v>
      </c>
    </row>
    <row r="99" spans="1:15">
      <c r="A99" s="229"/>
      <c r="B99" s="230"/>
      <c r="C99" s="226">
        <f>Wheatland!BT12/1000</f>
        <v>-966.48900000000003</v>
      </c>
      <c r="D99" s="230"/>
      <c r="E99" s="175" t="s">
        <v>322</v>
      </c>
      <c r="F99" s="230"/>
      <c r="G99" s="230"/>
      <c r="H99" s="230"/>
      <c r="I99" s="230"/>
      <c r="J99" s="230"/>
      <c r="K99" s="230"/>
      <c r="L99" s="230"/>
      <c r="M99" s="230"/>
      <c r="N99" s="230"/>
    </row>
    <row r="100" spans="1:15">
      <c r="C100" s="226">
        <f>Wheatland!BT32/1000</f>
        <v>-428.48060000000055</v>
      </c>
      <c r="E100" s="175" t="s">
        <v>325</v>
      </c>
    </row>
    <row r="101" spans="1:15">
      <c r="C101" s="226">
        <f>Wheatland!BT130/1000</f>
        <v>-1142.8025700000001</v>
      </c>
      <c r="E101" s="175" t="s">
        <v>403</v>
      </c>
    </row>
    <row r="102" spans="1:15">
      <c r="C102" s="226">
        <f>Wheatland!BT135/1000</f>
        <v>-13.704209999999904</v>
      </c>
      <c r="E102" s="175" t="s">
        <v>593</v>
      </c>
    </row>
    <row r="103" spans="1:15">
      <c r="C103" s="226">
        <f>Wheatland!BT157/1000</f>
        <v>-292.18517999999995</v>
      </c>
      <c r="E103" s="175" t="s">
        <v>527</v>
      </c>
    </row>
    <row r="104" spans="1:15">
      <c r="C104" s="226">
        <f>Wheatland!BT158/1000</f>
        <v>-195.04080999999999</v>
      </c>
      <c r="E104" s="175" t="s">
        <v>451</v>
      </c>
    </row>
    <row r="105" spans="1:15">
      <c r="C105" s="226">
        <f>Wheatland!BT151/1000</f>
        <v>84.56859</v>
      </c>
      <c r="E105" s="175" t="s">
        <v>572</v>
      </c>
    </row>
    <row r="106" spans="1:15">
      <c r="C106" s="226">
        <f>Wheatland!BT167/1000</f>
        <v>-301.67212999999998</v>
      </c>
      <c r="E106" s="175" t="s">
        <v>450</v>
      </c>
    </row>
    <row r="107" spans="1:15">
      <c r="C107" s="226">
        <f>Wheatland!BT169/1000</f>
        <v>1025.683929704817</v>
      </c>
      <c r="E107" s="175" t="s">
        <v>488</v>
      </c>
    </row>
    <row r="108" spans="1:15">
      <c r="A108" s="229"/>
      <c r="B108" s="230"/>
      <c r="C108" s="313">
        <v>3324.1521000000002</v>
      </c>
      <c r="D108" s="417"/>
      <c r="E108" s="182" t="s">
        <v>324</v>
      </c>
      <c r="F108" s="417"/>
      <c r="G108" s="417"/>
      <c r="H108" s="417"/>
      <c r="I108" s="417"/>
      <c r="J108" s="417"/>
      <c r="K108" s="417"/>
      <c r="L108" s="230"/>
      <c r="M108" s="230"/>
    </row>
    <row r="109" spans="1:15" ht="14.25" customHeight="1">
      <c r="C109" s="479">
        <f>SUM(C97:C108)</f>
        <v>-4625.1259602951841</v>
      </c>
      <c r="D109" s="471"/>
      <c r="E109" s="472" t="s">
        <v>417</v>
      </c>
      <c r="F109" s="471"/>
      <c r="G109" s="471"/>
      <c r="H109" s="471"/>
      <c r="I109" s="471"/>
      <c r="J109" s="471"/>
      <c r="K109" s="471"/>
    </row>
    <row r="111" spans="1:15">
      <c r="C111"/>
      <c r="D111"/>
      <c r="E111"/>
      <c r="F111"/>
      <c r="G111"/>
      <c r="H111"/>
      <c r="I111"/>
      <c r="J111"/>
      <c r="K111"/>
    </row>
    <row r="112" spans="1:15">
      <c r="A112"/>
      <c r="B112"/>
      <c r="C112"/>
      <c r="D112"/>
      <c r="E112"/>
      <c r="F112"/>
      <c r="G112"/>
      <c r="H112"/>
      <c r="I112"/>
      <c r="J112"/>
      <c r="K112"/>
      <c r="L112"/>
      <c r="M112"/>
      <c r="N112"/>
      <c r="O112"/>
    </row>
    <row r="113" spans="1:15">
      <c r="A113"/>
      <c r="B113"/>
      <c r="C113"/>
      <c r="D113"/>
      <c r="E113"/>
      <c r="F113"/>
      <c r="G113"/>
      <c r="H113"/>
      <c r="I113"/>
      <c r="J113"/>
      <c r="K113"/>
      <c r="L113"/>
      <c r="M113"/>
      <c r="N113"/>
      <c r="O113"/>
    </row>
    <row r="114" spans="1:15">
      <c r="B114" s="26"/>
      <c r="C114" s="177"/>
    </row>
    <row r="115" spans="1:15">
      <c r="A115" s="218" t="str">
        <f ca="1">CELL("FILENAME")</f>
        <v>O:\Fin_Ops\Engysvc\PowerPlants\2000 Plants\Weekly Report\[2000 Weekly Report - 0731xls.xls]Gleason</v>
      </c>
      <c r="B115" s="177"/>
      <c r="C115"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zoomScale="80" zoomScaleNormal="66" workbookViewId="0">
      <pane xSplit="19" ySplit="8" topLeftCell="BL81" activePane="bottomRight" state="frozen"/>
      <selection activeCell="K13" sqref="K13:K16"/>
      <selection pane="topRight" activeCell="K13" sqref="K13:K16"/>
      <selection pane="bottomLeft" activeCell="K13" sqref="K13:K16"/>
      <selection pane="bottomRight" activeCell="BM110" sqref="BM110"/>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customWidth="1"/>
    <col min="18" max="18" width="21.28515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1.7109375" style="6" hidden="1" customWidth="1"/>
    <col min="47" max="47" width="6.42578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hidden="1" customWidth="1"/>
    <col min="58" max="58" width="17.85546875" style="6" hidden="1" customWidth="1"/>
    <col min="59" max="59" width="0.85546875" hidden="1" customWidth="1"/>
    <col min="60" max="60" width="17.85546875" style="6" hidden="1" customWidth="1"/>
    <col min="61" max="61" width="0.85546875" hidden="1" customWidth="1"/>
    <col min="62" max="62" width="17.28515625" style="65" hidden="1" customWidth="1"/>
    <col min="63" max="63" width="2.140625" hidden="1" customWidth="1"/>
    <col min="64" max="64" width="20.85546875" style="6" customWidth="1"/>
    <col min="65" max="65" width="1.5703125" customWidth="1"/>
    <col min="66" max="66" width="19.140625" style="65" customWidth="1"/>
    <col min="67" max="67" width="0.85546875"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t="s">
        <v>592</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- 0731xls.xls]Gleason</v>
      </c>
    </row>
    <row r="3" spans="1:74" s="18" customFormat="1" ht="15.75">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36752.660091203703</v>
      </c>
      <c r="BR3" s="23"/>
      <c r="BT3" s="78" t="str">
        <f>Summary!A5</f>
        <v>Revision # 60</v>
      </c>
      <c r="BV3" s="18" t="str">
        <f>Summary!A5</f>
        <v>Revision # 60</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75">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c r="AJ7" s="82" t="str">
        <f>+Summary!$O$4</f>
        <v xml:space="preserve"> As of 08/14/00</v>
      </c>
      <c r="AK7"/>
      <c r="AL7" s="82" t="str">
        <f>+Summary!$O$4</f>
        <v xml:space="preserve"> As of 08/14/00</v>
      </c>
      <c r="AM7"/>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82"/>
      <c r="AV7" s="82" t="str">
        <f>+Summary!$O$4</f>
        <v xml:space="preserve"> As of 08/14/00</v>
      </c>
      <c r="AW7" s="82"/>
      <c r="AX7" s="82" t="str">
        <f>+Summary!$O$4</f>
        <v xml:space="preserve"> As of 08/14/00</v>
      </c>
      <c r="AY7" s="82"/>
      <c r="AZ7" s="82"/>
      <c r="BA7" s="82"/>
      <c r="BB7" s="82"/>
      <c r="BC7" s="82"/>
      <c r="BD7" s="82" t="str">
        <f>+Summary!$O$4</f>
        <v xml:space="preserve"> As of 08/14/00</v>
      </c>
      <c r="BE7"/>
      <c r="BF7" s="82" t="str">
        <f>+Summary!$O$4</f>
        <v xml:space="preserve"> As of 08/14/00</v>
      </c>
      <c r="BG7"/>
      <c r="BH7" s="82" t="str">
        <f>+Summary!$O$4</f>
        <v xml:space="preserve"> As of 08/14/00</v>
      </c>
      <c r="BI7"/>
      <c r="BJ7" s="82" t="str">
        <f>+Summary!$O$4</f>
        <v xml:space="preserve"> As of 08/14/00</v>
      </c>
      <c r="BK7"/>
      <c r="BL7" s="71" t="str">
        <f>Summary!O4</f>
        <v xml:space="preserve"> As of 08/14/00</v>
      </c>
      <c r="BM7"/>
      <c r="BN7" s="64" t="str">
        <f>+Summary!$O$4</f>
        <v xml:space="preserve"> As of 08/14/00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-192000</v>
      </c>
      <c r="BP10" s="6">
        <f>IF(+R10-BL10+BN10&gt;0,R10-BL10+BN10,0)</f>
        <v>0</v>
      </c>
      <c r="BR10" s="6">
        <f>+BL10+BP10</f>
        <v>0</v>
      </c>
      <c r="BT10" s="6">
        <f>+R10-BR10</f>
        <v>192000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1640000</v>
      </c>
      <c r="BP12" s="101">
        <f>SUM(BP9:BP11)</f>
        <v>0</v>
      </c>
      <c r="BR12" s="101">
        <f>SUM(BR9:BR11)</f>
        <v>142064940.44</v>
      </c>
      <c r="BT12" s="101">
        <f>SUM(BT9:BT11)</f>
        <v>-1832000.4399999976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2104698</v>
      </c>
      <c r="BO33"/>
      <c r="BP33" s="115">
        <f>+BP31+BP12</f>
        <v>650</v>
      </c>
      <c r="BQ33" s="115"/>
      <c r="BR33" s="115">
        <f>+BR31+BR12</f>
        <v>148408238.44</v>
      </c>
      <c r="BS33" s="115"/>
      <c r="BT33" s="115">
        <f>+BT31+BT12</f>
        <v>-2296698.4399999976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F39" s="6">
        <f>5049977-4403017</f>
        <v>646960</v>
      </c>
      <c r="BJ39" s="6"/>
      <c r="BL39" s="6">
        <f t="shared" ref="BL39:BL45" si="5">SUM(T39:BK39)</f>
        <v>5049977</v>
      </c>
      <c r="BN39" s="6">
        <f>5029611-R39</f>
        <v>3490646</v>
      </c>
      <c r="BP39" s="6">
        <f t="shared" ref="BP39:BP45" si="6">IF(+R39-BL39+BN39&gt;0,R39-BL39+BN39,0)</f>
        <v>0</v>
      </c>
      <c r="BR39" s="6">
        <f t="shared" ref="BR39:BR45" si="7">+BL39+BP39</f>
        <v>5049977</v>
      </c>
      <c r="BT39" s="6">
        <f>+R39-BR39</f>
        <v>-3511012</v>
      </c>
      <c r="BU39" s="6"/>
    </row>
    <row r="40" spans="1:73">
      <c r="A40" s="57"/>
      <c r="B40" s="233" t="s">
        <v>533</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F40" s="6">
        <f>4206988-4049893</f>
        <v>157095</v>
      </c>
      <c r="BJ40" s="6"/>
      <c r="BL40" s="6">
        <f t="shared" si="5"/>
        <v>4206988</v>
      </c>
      <c r="BN40" s="6">
        <f>4508946-R40</f>
        <v>2791564</v>
      </c>
      <c r="BP40" s="6">
        <f t="shared" si="6"/>
        <v>301958</v>
      </c>
      <c r="BR40" s="6">
        <f t="shared" si="7"/>
        <v>4508946</v>
      </c>
      <c r="BT40" s="6">
        <f t="shared" ref="BT40:BT45" si="8">+R40-BR40</f>
        <v>-2791564</v>
      </c>
      <c r="BU40" s="6"/>
    </row>
    <row r="41" spans="1:73">
      <c r="A41" s="57"/>
      <c r="B41" s="233" t="s">
        <v>534</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F41" s="6">
        <f>4466169-4196537</f>
        <v>269632</v>
      </c>
      <c r="BJ41" s="6"/>
      <c r="BL41" s="6">
        <f t="shared" si="5"/>
        <v>4466169</v>
      </c>
      <c r="BN41" s="6">
        <f>5191889-R41</f>
        <v>-9370490</v>
      </c>
      <c r="BP41" s="6">
        <f t="shared" si="6"/>
        <v>725720</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f>1174200-1097978</f>
        <v>76222</v>
      </c>
      <c r="BH42" s="6">
        <v>0</v>
      </c>
      <c r="BJ42" s="6">
        <v>0</v>
      </c>
      <c r="BL42" s="6">
        <f t="shared" si="5"/>
        <v>1174200</v>
      </c>
      <c r="BN42" s="6">
        <f>1113548-R42</f>
        <v>734860</v>
      </c>
      <c r="BP42" s="6">
        <f t="shared" si="6"/>
        <v>0</v>
      </c>
      <c r="BR42" s="6">
        <f t="shared" si="7"/>
        <v>1174200</v>
      </c>
      <c r="BT42" s="6">
        <f t="shared" si="8"/>
        <v>-795512</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147037</v>
      </c>
      <c r="BH45" s="6">
        <v>0</v>
      </c>
      <c r="BJ45" s="6">
        <v>0</v>
      </c>
      <c r="BL45" s="6">
        <f t="shared" si="5"/>
        <v>147037</v>
      </c>
      <c r="BN45" s="6">
        <f>551250-R45</f>
        <v>387025</v>
      </c>
      <c r="BP45" s="6">
        <f t="shared" si="6"/>
        <v>404213</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1296946</v>
      </c>
      <c r="BG46"/>
      <c r="BH46" s="9">
        <f t="shared" si="10"/>
        <v>0</v>
      </c>
      <c r="BI46"/>
      <c r="BJ46" s="9">
        <f t="shared" si="10"/>
        <v>0</v>
      </c>
      <c r="BK46"/>
      <c r="BL46" s="9">
        <f t="shared" si="10"/>
        <v>15107241</v>
      </c>
      <c r="BM46"/>
      <c r="BN46" s="9">
        <f t="shared" si="10"/>
        <v>-2076578</v>
      </c>
      <c r="BO46"/>
      <c r="BP46" s="9">
        <f t="shared" si="10"/>
        <v>1512959</v>
      </c>
      <c r="BQ46" s="9">
        <f t="shared" si="10"/>
        <v>0</v>
      </c>
      <c r="BR46" s="9">
        <f t="shared" si="10"/>
        <v>16620200</v>
      </c>
      <c r="BS46" s="9">
        <f t="shared" si="10"/>
        <v>0</v>
      </c>
      <c r="BT46" s="9">
        <f t="shared" si="10"/>
        <v>1995560</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535</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F49" s="6">
        <f>476183-476088</f>
        <v>95</v>
      </c>
      <c r="BJ49" s="6"/>
      <c r="BL49" s="6">
        <f>SUM(T49:BK49)</f>
        <v>476183</v>
      </c>
      <c r="BN49" s="6">
        <f>499073-R49</f>
        <v>88769</v>
      </c>
      <c r="BP49" s="6">
        <f>IF(+R49-BL49+BN49&gt;0,R49-BL49+BN49,0)</f>
        <v>22890</v>
      </c>
      <c r="BR49" s="6">
        <f>+BL49+BP49</f>
        <v>499073</v>
      </c>
      <c r="BT49" s="6">
        <f>+R49-BR49</f>
        <v>-88769</v>
      </c>
      <c r="BU49" s="6"/>
    </row>
    <row r="50" spans="1:73">
      <c r="A50"/>
      <c r="B50" s="233" t="s">
        <v>536</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F50" s="6">
        <f>4924228-4647003</f>
        <v>277225</v>
      </c>
      <c r="BJ50" s="6"/>
      <c r="BL50" s="6">
        <f>SUM(T50:BK50)</f>
        <v>4924228</v>
      </c>
      <c r="BN50" s="6">
        <f>5736890-R50</f>
        <v>749780</v>
      </c>
      <c r="BP50" s="6">
        <f>IF(+R50-BL50+BN50&gt;0,R50-BL50+BN50,0)</f>
        <v>812662</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F51" s="6">
        <f>846743-838499</f>
        <v>8244</v>
      </c>
      <c r="BJ51" s="6"/>
      <c r="BL51" s="6">
        <f>SUM(T51:BK51)</f>
        <v>846743</v>
      </c>
      <c r="BN51" s="6">
        <f>908711-R51</f>
        <v>122048</v>
      </c>
      <c r="BP51" s="6">
        <f>IF(+R51-BL51+BN51&gt;0,R51-BL51+BN51,0)</f>
        <v>61968</v>
      </c>
      <c r="BR51" s="6">
        <f>+BL51+BP51</f>
        <v>908711</v>
      </c>
      <c r="BT51" s="6">
        <f>+R51-BR51</f>
        <v>-122048</v>
      </c>
      <c r="BU51" s="6"/>
    </row>
    <row r="52" spans="1:73">
      <c r="A52"/>
      <c r="B52" s="233" t="s">
        <v>537</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F52" s="6">
        <f>828809-818547</f>
        <v>10262</v>
      </c>
      <c r="BJ52" s="6"/>
      <c r="BL52" s="6">
        <f>SUM(T52:BK52)</f>
        <v>828809</v>
      </c>
      <c r="BN52" s="6">
        <f>843063-R52</f>
        <v>188563</v>
      </c>
      <c r="BP52" s="6">
        <f>IF(+R52-BL52+BN52&gt;0,R52-BL52+BN52,0)</f>
        <v>14254</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295826</v>
      </c>
      <c r="BG53"/>
      <c r="BH53" s="9">
        <f t="shared" si="12"/>
        <v>0</v>
      </c>
      <c r="BI53"/>
      <c r="BJ53" s="9">
        <f t="shared" si="12"/>
        <v>0</v>
      </c>
      <c r="BK53"/>
      <c r="BL53" s="9">
        <f t="shared" si="12"/>
        <v>7075963</v>
      </c>
      <c r="BM53"/>
      <c r="BN53" s="9">
        <f t="shared" si="12"/>
        <v>1149160</v>
      </c>
      <c r="BO53"/>
      <c r="BP53" s="9">
        <f t="shared" si="12"/>
        <v>911774</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f>501323+1019332-1289806</f>
        <v>230849</v>
      </c>
      <c r="BG56"/>
      <c r="BH56" s="9"/>
      <c r="BI56"/>
      <c r="BJ56" s="9"/>
      <c r="BK56"/>
      <c r="BL56" s="6">
        <f t="shared" ref="BL56:BL79" si="13">SUM(T56:BK56)</f>
        <v>1520655</v>
      </c>
      <c r="BM56"/>
      <c r="BN56" s="6">
        <f>1151288+577765-R56</f>
        <v>-603945</v>
      </c>
      <c r="BO56"/>
      <c r="BP56" s="6">
        <f>IF(+R56-BL56+BN56&gt;0,R56-BL56+BN56,0)</f>
        <v>208398</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f>84897-66938</f>
        <v>17959</v>
      </c>
      <c r="BG57"/>
      <c r="BH57" s="9"/>
      <c r="BI57"/>
      <c r="BJ57" s="9"/>
      <c r="BK57"/>
      <c r="BL57" s="6">
        <f t="shared" si="13"/>
        <v>84897</v>
      </c>
      <c r="BM57"/>
      <c r="BN57" s="6">
        <f>150482</f>
        <v>150482</v>
      </c>
      <c r="BO57"/>
      <c r="BP57" s="6">
        <f>IF(+R57-BL57+BN57&gt;0,R57-BL57+BN57,0)</f>
        <v>65585</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f>446090-425284</f>
        <v>20806</v>
      </c>
      <c r="BG58"/>
      <c r="BH58" s="9"/>
      <c r="BI58"/>
      <c r="BJ58" s="9"/>
      <c r="BK58"/>
      <c r="BL58" s="6">
        <f>SUM(T58:BK58)</f>
        <v>446090</v>
      </c>
      <c r="BM58"/>
      <c r="BN58" s="6">
        <f>460249-R58</f>
        <v>-37168</v>
      </c>
      <c r="BO58"/>
      <c r="BP58" s="6">
        <f>IF(+R58-BL58+BN58&gt;0,R58-BL58+BN58,0)</f>
        <v>14159</v>
      </c>
      <c r="BQ58" s="6"/>
      <c r="BR58" s="6">
        <f>+BL58+BP58</f>
        <v>460249</v>
      </c>
      <c r="BS58" s="6"/>
      <c r="BT58" s="6">
        <f>+R58-BR58</f>
        <v>37168</v>
      </c>
      <c r="BU58" s="9"/>
    </row>
    <row r="59" spans="1:73" s="21" customFormat="1">
      <c r="B59" s="238" t="s">
        <v>538</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f>2348535-2311396</f>
        <v>37139</v>
      </c>
      <c r="BG59"/>
      <c r="BH59" s="9"/>
      <c r="BI59"/>
      <c r="BJ59" s="9"/>
      <c r="BK59"/>
      <c r="BL59" s="6">
        <f>SUM(T59:BK59)</f>
        <v>2348535</v>
      </c>
      <c r="BM59"/>
      <c r="BN59" s="6">
        <f>2425421-R59</f>
        <v>1591116</v>
      </c>
      <c r="BO59"/>
      <c r="BP59" s="6">
        <f>IF(+R59-BL59+BN59&gt;0,R59-BL59+BN59,0)</f>
        <v>76886</v>
      </c>
      <c r="BQ59" s="6"/>
      <c r="BR59" s="6">
        <f>+BL59+BP59</f>
        <v>2425421</v>
      </c>
      <c r="BS59" s="6"/>
      <c r="BT59" s="6">
        <f>+R59-BR59</f>
        <v>-1591116</v>
      </c>
      <c r="BU59" s="9"/>
    </row>
    <row r="60" spans="1:73" s="21" customFormat="1">
      <c r="B60" s="238" t="s">
        <v>539</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f>1329939-1323463</f>
        <v>6476</v>
      </c>
      <c r="BG60"/>
      <c r="BH60" s="9"/>
      <c r="BI60"/>
      <c r="BJ60" s="9"/>
      <c r="BK60"/>
      <c r="BL60" s="6">
        <f t="shared" si="13"/>
        <v>1329939</v>
      </c>
      <c r="BM60"/>
      <c r="BN60" s="6">
        <f>1329155-R60</f>
        <v>610616</v>
      </c>
      <c r="BO60"/>
      <c r="BP60" s="6">
        <f t="shared" ref="BP60:BP77" si="14">IF(+R60-BL60+BN60&gt;0,R60-BL60+BN60,0)</f>
        <v>0</v>
      </c>
      <c r="BQ60" s="6"/>
      <c r="BR60" s="6">
        <f t="shared" ref="BR60:BR77" si="15">+BL60+BP60</f>
        <v>1329939</v>
      </c>
      <c r="BS60" s="6"/>
      <c r="BT60" s="6">
        <f t="shared" ref="BT60:BT79" si="16">+R60-BR60</f>
        <v>-611400</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v>0</v>
      </c>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545</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f>3538842-3375904</f>
        <v>162938</v>
      </c>
      <c r="BG62"/>
      <c r="BH62" s="9"/>
      <c r="BI62"/>
      <c r="BJ62" s="9"/>
      <c r="BK62"/>
      <c r="BL62" s="6">
        <f t="shared" si="13"/>
        <v>3538842</v>
      </c>
      <c r="BM62"/>
      <c r="BN62" s="6">
        <f>3596047-R62</f>
        <v>1331026</v>
      </c>
      <c r="BO62"/>
      <c r="BP62" s="6">
        <f t="shared" si="14"/>
        <v>57205</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f>1443041-1438156</f>
        <v>4885</v>
      </c>
      <c r="BG63"/>
      <c r="BH63" s="9"/>
      <c r="BI63"/>
      <c r="BJ63" s="9"/>
      <c r="BK63"/>
      <c r="BL63" s="6">
        <f>SUM(T63:BK63)</f>
        <v>1443041</v>
      </c>
      <c r="BM63"/>
      <c r="BN63" s="6">
        <f>1471618-R63</f>
        <v>321156</v>
      </c>
      <c r="BO63"/>
      <c r="BP63" s="6">
        <f>IF(+R63-BL63+BN63&gt;0,R63-BL63+BN63,0)</f>
        <v>28577</v>
      </c>
      <c r="BQ63" s="6"/>
      <c r="BR63" s="6">
        <f>+BL63+BP63</f>
        <v>1471618</v>
      </c>
      <c r="BS63" s="6"/>
      <c r="BT63" s="6">
        <f>+R63-BR63</f>
        <v>-321156</v>
      </c>
      <c r="BU63" s="9"/>
    </row>
    <row r="64" spans="1:73" s="21" customFormat="1">
      <c r="B64" s="238" t="s">
        <v>540</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f>1031462-1008815</f>
        <v>22647</v>
      </c>
      <c r="BG64"/>
      <c r="BH64" s="9"/>
      <c r="BI64"/>
      <c r="BJ64" s="9"/>
      <c r="BK64"/>
      <c r="BL64" s="6">
        <f t="shared" si="13"/>
        <v>1031462</v>
      </c>
      <c r="BM64"/>
      <c r="BN64" s="6">
        <f>1039642-R64</f>
        <v>849693</v>
      </c>
      <c r="BO64"/>
      <c r="BP64" s="6">
        <f t="shared" si="14"/>
        <v>8180</v>
      </c>
      <c r="BQ64" s="6"/>
      <c r="BR64" s="6">
        <f t="shared" si="15"/>
        <v>1039642</v>
      </c>
      <c r="BS64" s="6"/>
      <c r="BT64" s="6">
        <f t="shared" si="16"/>
        <v>-849693</v>
      </c>
      <c r="BU64" s="9"/>
    </row>
    <row r="65" spans="2:73" s="21" customFormat="1">
      <c r="B65" s="238" t="s">
        <v>544</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f>37948-34894</f>
        <v>3054</v>
      </c>
      <c r="BG65"/>
      <c r="BH65" s="9"/>
      <c r="BI65"/>
      <c r="BJ65" s="9"/>
      <c r="BK65"/>
      <c r="BL65" s="6">
        <f>SUM(T65:BK65)</f>
        <v>37948</v>
      </c>
      <c r="BM65"/>
      <c r="BN65" s="6">
        <f>38833-R65</f>
        <v>-38788</v>
      </c>
      <c r="BO65"/>
      <c r="BP65" s="6">
        <f>IF(+R65-BL65+BN65&gt;0,R65-BL65+BN65,0)</f>
        <v>885</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f>548568-534755</f>
        <v>13813</v>
      </c>
      <c r="BG66"/>
      <c r="BH66" s="9"/>
      <c r="BI66"/>
      <c r="BJ66" s="9"/>
      <c r="BK66"/>
      <c r="BL66" s="6">
        <f t="shared" si="13"/>
        <v>548568</v>
      </c>
      <c r="BM66"/>
      <c r="BN66" s="6">
        <f>555023-R66</f>
        <v>410586</v>
      </c>
      <c r="BO66"/>
      <c r="BP66" s="6">
        <f t="shared" si="14"/>
        <v>6455</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v>0</v>
      </c>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f>17674-2746</f>
        <v>14928</v>
      </c>
      <c r="BG68"/>
      <c r="BH68" s="9"/>
      <c r="BI68"/>
      <c r="BJ68" s="9"/>
      <c r="BK68"/>
      <c r="BL68" s="6">
        <f t="shared" si="13"/>
        <v>17674</v>
      </c>
      <c r="BM68"/>
      <c r="BN68" s="6">
        <f>2746-R68</f>
        <v>-327714</v>
      </c>
      <c r="BO68"/>
      <c r="BP68" s="6">
        <f t="shared" si="14"/>
        <v>0</v>
      </c>
      <c r="BQ68" s="6"/>
      <c r="BR68" s="6">
        <f t="shared" si="15"/>
        <v>17674</v>
      </c>
      <c r="BS68" s="6"/>
      <c r="BT68" s="6">
        <f t="shared" si="16"/>
        <v>312786</v>
      </c>
      <c r="BU68" s="9"/>
    </row>
    <row r="69" spans="2:73" s="21" customFormat="1">
      <c r="B69" s="238" t="s">
        <v>541</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f>495063-479383</f>
        <v>15680</v>
      </c>
      <c r="BG69"/>
      <c r="BH69" s="9"/>
      <c r="BI69"/>
      <c r="BJ69" s="9"/>
      <c r="BK69"/>
      <c r="BL69" s="6">
        <f t="shared" si="13"/>
        <v>495063</v>
      </c>
      <c r="BM69"/>
      <c r="BN69" s="6">
        <f>482366-R69</f>
        <v>-326225</v>
      </c>
      <c r="BO69"/>
      <c r="BP69" s="6">
        <f t="shared" si="14"/>
        <v>0</v>
      </c>
      <c r="BQ69" s="6"/>
      <c r="BR69" s="6">
        <f t="shared" si="15"/>
        <v>495063</v>
      </c>
      <c r="BS69" s="6"/>
      <c r="BT69" s="6">
        <f t="shared" si="16"/>
        <v>313528</v>
      </c>
      <c r="BU69" s="9"/>
    </row>
    <row r="70" spans="2:73" s="21" customFormat="1">
      <c r="B70" s="238" t="s">
        <v>542</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f>1282165-1258968</f>
        <v>23197</v>
      </c>
      <c r="BG70"/>
      <c r="BH70" s="9"/>
      <c r="BI70"/>
      <c r="BJ70" s="9"/>
      <c r="BK70"/>
      <c r="BL70" s="6">
        <f t="shared" si="13"/>
        <v>1282165</v>
      </c>
      <c r="BM70"/>
      <c r="BN70" s="6">
        <f>1345532-R70</f>
        <v>487189</v>
      </c>
      <c r="BO70"/>
      <c r="BP70" s="6">
        <f t="shared" si="14"/>
        <v>63367</v>
      </c>
      <c r="BQ70" s="6"/>
      <c r="BR70" s="6">
        <f t="shared" si="15"/>
        <v>1345532</v>
      </c>
      <c r="BS70" s="6"/>
      <c r="BT70" s="6">
        <f t="shared" si="16"/>
        <v>-487189</v>
      </c>
      <c r="BU70" s="9"/>
    </row>
    <row r="71" spans="2:73" s="21" customFormat="1">
      <c r="B71" s="238" t="s">
        <v>543</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f>6038190-5717361</f>
        <v>320829</v>
      </c>
      <c r="BG71"/>
      <c r="BH71" s="9"/>
      <c r="BI71"/>
      <c r="BJ71" s="9"/>
      <c r="BK71"/>
      <c r="BL71" s="6">
        <f t="shared" si="13"/>
        <v>6038190</v>
      </c>
      <c r="BM71"/>
      <c r="BN71" s="6">
        <f>6443420-R71</f>
        <v>4697905</v>
      </c>
      <c r="BO71"/>
      <c r="BP71" s="6">
        <f t="shared" si="14"/>
        <v>405230</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f>222321-221751</f>
        <v>570</v>
      </c>
      <c r="BG72"/>
      <c r="BH72" s="9"/>
      <c r="BI72"/>
      <c r="BJ72" s="9"/>
      <c r="BK72"/>
      <c r="BL72" s="6">
        <f t="shared" si="13"/>
        <v>222321</v>
      </c>
      <c r="BM72"/>
      <c r="BN72" s="6">
        <f>221748-R72</f>
        <v>-349816</v>
      </c>
      <c r="BO72"/>
      <c r="BP72" s="6">
        <f t="shared" si="14"/>
        <v>0</v>
      </c>
      <c r="BQ72" s="6"/>
      <c r="BR72" s="6">
        <f>+BL72+BP72-3</f>
        <v>222318</v>
      </c>
      <c r="BS72" s="6"/>
      <c r="BT72" s="6">
        <f t="shared" si="16"/>
        <v>349246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f>304652+375201-423025</f>
        <v>256828</v>
      </c>
      <c r="BG73"/>
      <c r="BH73" s="9"/>
      <c r="BI73"/>
      <c r="BJ73" s="9"/>
      <c r="BK73"/>
      <c r="BL73" s="6">
        <f t="shared" si="13"/>
        <v>679853</v>
      </c>
      <c r="BM73"/>
      <c r="BN73" s="6">
        <f>288000+569000-R73</f>
        <v>-74641</v>
      </c>
      <c r="BO73"/>
      <c r="BP73" s="6">
        <f t="shared" si="14"/>
        <v>177147</v>
      </c>
      <c r="BQ73" s="6"/>
      <c r="BR73" s="6">
        <f t="shared" si="15"/>
        <v>857000</v>
      </c>
      <c r="BS73" s="6"/>
      <c r="BT73" s="6">
        <f t="shared" si="16"/>
        <v>74641</v>
      </c>
      <c r="BU73" s="9"/>
    </row>
    <row r="74" spans="2:73" s="21" customFormat="1">
      <c r="B74" s="238" t="s">
        <v>547</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f>18841458-18615518</f>
        <v>225940</v>
      </c>
      <c r="BG74"/>
      <c r="BH74" s="9"/>
      <c r="BI74"/>
      <c r="BJ74" s="9"/>
      <c r="BK74"/>
      <c r="BL74" s="6">
        <f t="shared" si="13"/>
        <v>18841458</v>
      </c>
      <c r="BM74"/>
      <c r="BN74" s="6">
        <f>18956735-R74</f>
        <v>12658870</v>
      </c>
      <c r="BO74"/>
      <c r="BP74" s="6">
        <f t="shared" si="14"/>
        <v>115277</v>
      </c>
      <c r="BQ74" s="6"/>
      <c r="BR74" s="6">
        <f t="shared" si="15"/>
        <v>18956735</v>
      </c>
      <c r="BS74" s="6"/>
      <c r="BT74" s="6">
        <f t="shared" si="16"/>
        <v>-12658870</v>
      </c>
      <c r="BU74" s="9"/>
    </row>
    <row r="75" spans="2:73" s="21" customFormat="1">
      <c r="B75" s="238" t="s">
        <v>546</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f>4411227-4019526</f>
        <v>391701</v>
      </c>
      <c r="BG75"/>
      <c r="BH75" s="9"/>
      <c r="BI75"/>
      <c r="BJ75" s="9"/>
      <c r="BK75"/>
      <c r="BL75" s="6">
        <f t="shared" si="13"/>
        <v>4411227</v>
      </c>
      <c r="BM75"/>
      <c r="BN75" s="6">
        <f>4402434-R75</f>
        <v>3534094</v>
      </c>
      <c r="BO75"/>
      <c r="BP75" s="6">
        <f t="shared" si="14"/>
        <v>0</v>
      </c>
      <c r="BQ75" s="6"/>
      <c r="BR75" s="6">
        <f t="shared" si="15"/>
        <v>4411227</v>
      </c>
      <c r="BS75" s="6"/>
      <c r="BT75" s="6">
        <f t="shared" si="16"/>
        <v>-3542887</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f>286812-259919</f>
        <v>26893</v>
      </c>
      <c r="BG77"/>
      <c r="BH77" s="9"/>
      <c r="BI77"/>
      <c r="BJ77" s="9"/>
      <c r="BK77"/>
      <c r="BL77" s="6">
        <f t="shared" si="13"/>
        <v>286812</v>
      </c>
      <c r="BM77"/>
      <c r="BN77" s="6">
        <f>259913-R77</f>
        <v>259913</v>
      </c>
      <c r="BO77"/>
      <c r="BP77" s="6">
        <f t="shared" si="14"/>
        <v>0</v>
      </c>
      <c r="BQ77" s="6"/>
      <c r="BR77" s="6">
        <f t="shared" si="15"/>
        <v>286812</v>
      </c>
      <c r="BS77" s="6"/>
      <c r="BT77" s="6">
        <f t="shared" si="16"/>
        <v>-286812</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f>254882-236705</f>
        <v>18177</v>
      </c>
      <c r="BG78"/>
      <c r="BH78" s="9"/>
      <c r="BI78"/>
      <c r="BJ78" s="9"/>
      <c r="BK78"/>
      <c r="BL78" s="6">
        <f t="shared" si="13"/>
        <v>254882</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f>234280-421031</f>
        <v>-186751</v>
      </c>
      <c r="BG79"/>
      <c r="BH79" s="9"/>
      <c r="BI79"/>
      <c r="BJ79" s="9"/>
      <c r="BK79"/>
      <c r="BL79" s="6">
        <f t="shared" si="13"/>
        <v>234280</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1628558</v>
      </c>
      <c r="BG80"/>
      <c r="BH80" s="9">
        <f t="shared" si="17"/>
        <v>0</v>
      </c>
      <c r="BI80"/>
      <c r="BJ80" s="9">
        <f t="shared" si="17"/>
        <v>0</v>
      </c>
      <c r="BK80"/>
      <c r="BL80" s="9">
        <f t="shared" si="17"/>
        <v>45706725</v>
      </c>
      <c r="BM80"/>
      <c r="BN80" s="9">
        <f t="shared" si="17"/>
        <v>26262926</v>
      </c>
      <c r="BO80"/>
      <c r="BP80" s="9">
        <f t="shared" si="17"/>
        <v>867211</v>
      </c>
      <c r="BQ80" s="9">
        <f t="shared" si="17"/>
        <v>0</v>
      </c>
      <c r="BR80" s="9">
        <f t="shared" si="17"/>
        <v>46742507</v>
      </c>
      <c r="BS80" s="9">
        <f t="shared" si="17"/>
        <v>0</v>
      </c>
      <c r="BT80" s="9">
        <f t="shared" si="17"/>
        <v>-26564302</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f>4901020-4470197</f>
        <v>430823</v>
      </c>
      <c r="BG83"/>
      <c r="BH83" s="9"/>
      <c r="BI83"/>
      <c r="BJ83" s="9"/>
      <c r="BK83"/>
      <c r="BL83" s="6">
        <f>SUM(T83:BK83)</f>
        <v>4901020</v>
      </c>
      <c r="BM83"/>
      <c r="BN83" s="6">
        <f>5762815-R83</f>
        <v>450715</v>
      </c>
      <c r="BO83"/>
      <c r="BP83" s="6">
        <f>IF(+R83-BL83+BN83&gt;0,R83-BL83+BN83,0)</f>
        <v>861795</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430823</v>
      </c>
      <c r="BG85"/>
      <c r="BH85" s="9">
        <f>SUM(BH83:BH84)</f>
        <v>0</v>
      </c>
      <c r="BI85"/>
      <c r="BJ85" s="9">
        <f>SUM(BJ83:BJ84)</f>
        <v>0</v>
      </c>
      <c r="BK85"/>
      <c r="BL85" s="9">
        <f>SUM(BL83:BL84)</f>
        <v>4901020</v>
      </c>
      <c r="BM85"/>
      <c r="BN85" s="9">
        <f>SUM(BN83:BN84)</f>
        <v>450715</v>
      </c>
      <c r="BO85"/>
      <c r="BP85" s="9">
        <f>SUM(BP83:BP84)</f>
        <v>861795</v>
      </c>
      <c r="BQ85" s="9">
        <f>SUM(BQ83:BQ84)</f>
        <v>0</v>
      </c>
      <c r="BR85" s="9">
        <f>SUM(BR83:BR84)</f>
        <v>5762815</v>
      </c>
      <c r="BS85" s="9">
        <f>SUM(BS83:BS84)</f>
        <v>0</v>
      </c>
      <c r="BT85" s="6">
        <f>+R85-BR85</f>
        <v>-450715</v>
      </c>
      <c r="BU85" s="9"/>
    </row>
    <row r="86" spans="1:73" s="21" customFormat="1">
      <c r="B86" s="241" t="s">
        <v>551</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0</v>
      </c>
      <c r="BE86"/>
      <c r="BF86" s="9"/>
      <c r="BG86"/>
      <c r="BH86" s="9"/>
      <c r="BI86"/>
      <c r="BJ86" s="9"/>
      <c r="BK86"/>
      <c r="BL86" s="6">
        <f>SUM(T86:BK86)</f>
        <v>0</v>
      </c>
      <c r="BM86"/>
      <c r="BN86" s="9"/>
      <c r="BO86"/>
      <c r="BP86" s="6"/>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f>-3652153+977079</f>
        <v>-2675074</v>
      </c>
      <c r="BG87"/>
      <c r="BH87" s="9"/>
      <c r="BI87"/>
      <c r="BJ87" s="9"/>
      <c r="BK87"/>
      <c r="BL87" s="6">
        <f>SUM(T87:BK87)</f>
        <v>3953448</v>
      </c>
      <c r="BM87"/>
      <c r="BN87" s="9">
        <v>0</v>
      </c>
      <c r="BO87"/>
      <c r="BP87" s="473">
        <f>-BL87</f>
        <v>-3953448</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977079</v>
      </c>
      <c r="BG89"/>
      <c r="BH89" s="244">
        <f t="shared" si="21"/>
        <v>0</v>
      </c>
      <c r="BI89"/>
      <c r="BJ89" s="244">
        <f t="shared" si="21"/>
        <v>0</v>
      </c>
      <c r="BK89"/>
      <c r="BL89" s="244">
        <f>BL85+BL80+BL53+BL46+BL87+BL86</f>
        <v>76744397</v>
      </c>
      <c r="BM89"/>
      <c r="BN89" s="244">
        <f t="shared" si="21"/>
        <v>25786223</v>
      </c>
      <c r="BO89"/>
      <c r="BP89" s="244">
        <f>BP85+BP80+BP53+BP46+BP87+BP86</f>
        <v>200291</v>
      </c>
      <c r="BQ89" s="244">
        <f t="shared" si="21"/>
        <v>0</v>
      </c>
      <c r="BR89" s="244">
        <f>BR85+BR80+BR53+BR46+BR87+BR86+BR88</f>
        <v>77113259</v>
      </c>
      <c r="BS89" s="244">
        <f t="shared" si="21"/>
        <v>0</v>
      </c>
      <c r="BT89" s="244">
        <f>BT85+BT80+BT53+BT46+BT87+BT86</f>
        <v>-26168617</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528</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530</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64914.39</v>
      </c>
      <c r="BH115" s="6">
        <v>0</v>
      </c>
      <c r="BJ115" s="6">
        <v>0</v>
      </c>
      <c r="BL115" s="6">
        <f>SUM(T115:BK115)</f>
        <v>635820.24000000011</v>
      </c>
      <c r="BN115" s="6">
        <v>0</v>
      </c>
      <c r="BP115" s="6">
        <f>+R115-BL115+BN115</f>
        <v>87965.759999999893</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64914.39</v>
      </c>
      <c r="BG117"/>
      <c r="BH117" s="102">
        <f>SUM(BH114:BH116)</f>
        <v>0</v>
      </c>
      <c r="BI117"/>
      <c r="BJ117" s="102">
        <f>SUM(BJ114:BJ116)</f>
        <v>0</v>
      </c>
      <c r="BK117"/>
      <c r="BL117" s="108">
        <f>SUM(BL114:BL116)</f>
        <v>820820.24000000011</v>
      </c>
      <c r="BM117"/>
      <c r="BN117" s="102">
        <f>SUM(BN114:BN116)</f>
        <v>0</v>
      </c>
      <c r="BO117"/>
      <c r="BP117" s="102">
        <f>SUM(BP114:BP116)</f>
        <v>87965.759999999893</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2743.49</v>
      </c>
      <c r="BG121"/>
      <c r="BH121" s="9">
        <v>0</v>
      </c>
      <c r="BI121"/>
      <c r="BJ121" s="9">
        <v>0</v>
      </c>
      <c r="BK121"/>
      <c r="BL121" s="9">
        <f>SUM(T121:BK121)</f>
        <v>396663.21</v>
      </c>
      <c r="BM121"/>
      <c r="BN121" s="9">
        <v>2743.49</v>
      </c>
      <c r="BO121"/>
      <c r="BP121" s="6">
        <f>IF(+R121-BL121+BN121&gt;0,R121-BL121+BN121,0)</f>
        <v>0</v>
      </c>
      <c r="BQ121" s="9"/>
      <c r="BR121" s="9">
        <f>+BL121+BP121</f>
        <v>396663.21</v>
      </c>
      <c r="BS121" s="9"/>
      <c r="BT121" s="9">
        <f>+R121-BR121</f>
        <v>-396663.21</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271859.17</v>
      </c>
      <c r="BG125"/>
      <c r="BH125" s="9">
        <v>0</v>
      </c>
      <c r="BI125"/>
      <c r="BJ125" s="9">
        <v>0</v>
      </c>
      <c r="BK125"/>
      <c r="BL125" s="22">
        <f>SUM(T125:BK125)</f>
        <v>301328.59999999998</v>
      </c>
      <c r="BM125"/>
      <c r="BN125" s="9">
        <v>0</v>
      </c>
      <c r="BO125"/>
      <c r="BP125" s="6">
        <f>IF(+R125-BL125+BN125&gt;0,R125-BL125+BN125,0)</f>
        <v>952552.4</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350</v>
      </c>
      <c r="BJ130" s="6">
        <v>0</v>
      </c>
      <c r="BL130" s="6">
        <f>SUM(T130:BK130)</f>
        <v>2446162.2800000003</v>
      </c>
      <c r="BN130" s="6">
        <v>25818</v>
      </c>
      <c r="BP130" s="6">
        <f>IF(+R130-BL130+BN130&gt;0,R130-BL130+BN130,0)</f>
        <v>0</v>
      </c>
      <c r="BR130" s="6">
        <f>+BL130+BP130</f>
        <v>2446162.2800000003</v>
      </c>
      <c r="BT130" s="6">
        <f>+R130-BR130</f>
        <v>-194662.28000000026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350</v>
      </c>
      <c r="BI132"/>
      <c r="BJ132" s="102">
        <f>SUM(BJ128:BJ131)</f>
        <v>0</v>
      </c>
      <c r="BK132"/>
      <c r="BL132" s="102">
        <f>SUM(BL128:BL131)</f>
        <v>2474662.2800000003</v>
      </c>
      <c r="BM132"/>
      <c r="BN132" s="102">
        <f>SUM(BN128:BN131)</f>
        <v>25818</v>
      </c>
      <c r="BO132"/>
      <c r="BP132" s="102">
        <f>SUM(BP128:BP131)</f>
        <v>0</v>
      </c>
      <c r="BQ132" s="9"/>
      <c r="BR132" s="102">
        <f>SUM(BR128:BR131)</f>
        <v>2474662.2800000003</v>
      </c>
      <c r="BS132" s="9"/>
      <c r="BT132" s="102">
        <f>SUM(BT128:BT131)</f>
        <v>-194662.28000000026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2377</v>
      </c>
      <c r="BH137" s="6">
        <v>125613.51</v>
      </c>
      <c r="BJ137" s="6">
        <v>0</v>
      </c>
      <c r="BL137" s="22">
        <f>SUM(T137:BK137)</f>
        <v>417167.89</v>
      </c>
      <c r="BN137" s="6">
        <v>0</v>
      </c>
      <c r="BP137" s="6">
        <f>IF(+R137-BL137+BN137&gt;0,R137-BL137+BN137,0)</f>
        <v>0</v>
      </c>
      <c r="BR137" s="6">
        <f>+BL137+BP137</f>
        <v>417167.89</v>
      </c>
      <c r="BT137" s="6">
        <f>+R137-BR137</f>
        <v>-17167.890000000014</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2377</v>
      </c>
      <c r="BG139"/>
      <c r="BH139" s="102">
        <f>SUM(BH135:BH138)</f>
        <v>125613.51</v>
      </c>
      <c r="BI139"/>
      <c r="BJ139" s="102">
        <f>SUM(BJ135:BJ138)</f>
        <v>0</v>
      </c>
      <c r="BK139"/>
      <c r="BL139" s="102">
        <f>SUM(BL135:BL138)</f>
        <v>417167.89</v>
      </c>
      <c r="BM139"/>
      <c r="BN139" s="102">
        <f>SUM(BN135:BN138)</f>
        <v>0</v>
      </c>
      <c r="BO139"/>
      <c r="BP139" s="102">
        <f>SUM(BP135:BP138)</f>
        <v>0</v>
      </c>
      <c r="BQ139" s="9"/>
      <c r="BR139" s="102">
        <f>SUM(BR135:BR138)</f>
        <v>417167.89</v>
      </c>
      <c r="BS139" s="9"/>
      <c r="BT139" s="102">
        <f>SUM(BT135:BT138)</f>
        <v>-17167.890000000014</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8574.66</v>
      </c>
      <c r="BI141"/>
      <c r="BJ141" s="9">
        <v>0</v>
      </c>
      <c r="BK141"/>
      <c r="BL141" s="9">
        <f>SUM(T141:BK141)</f>
        <v>794580.1</v>
      </c>
      <c r="BM141"/>
      <c r="BN141" s="9">
        <v>200000</v>
      </c>
      <c r="BO141"/>
      <c r="BP141" s="6">
        <f>IF(+R141-BL141+BN141&gt;0,R141-BL141+BN141,0)</f>
        <v>405419.9</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59.75</v>
      </c>
      <c r="BG151"/>
      <c r="BH151" s="10">
        <v>0</v>
      </c>
      <c r="BI151"/>
      <c r="BJ151" s="10">
        <v>0</v>
      </c>
      <c r="BK151"/>
      <c r="BL151" s="10">
        <f>SUM(T151:BK151)</f>
        <v>271308.25</v>
      </c>
      <c r="BM151"/>
      <c r="BN151" s="10">
        <v>0</v>
      </c>
      <c r="BO151"/>
      <c r="BP151" s="6">
        <f>IF(+R151-BL151+BN151&gt;0,R151-BL151+BN151,0)</f>
        <v>0</v>
      </c>
      <c r="BQ151" s="10"/>
      <c r="BR151" s="9">
        <f>+BL151+BP151</f>
        <v>271308.25</v>
      </c>
      <c r="BS151" s="10"/>
      <c r="BT151" s="9">
        <f>+R151-BR151</f>
        <v>-121308.25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29358.5</v>
      </c>
      <c r="BI158"/>
      <c r="BJ158" s="12">
        <v>0</v>
      </c>
      <c r="BK158"/>
      <c r="BL158" s="80">
        <f t="shared" si="27"/>
        <v>514961.68</v>
      </c>
      <c r="BM158"/>
      <c r="BN158" s="12">
        <v>79955</v>
      </c>
      <c r="BO158"/>
      <c r="BP158" s="6">
        <f t="shared" si="28"/>
        <v>0</v>
      </c>
      <c r="BQ158" s="12"/>
      <c r="BR158" s="6">
        <f t="shared" si="29"/>
        <v>514961.68</v>
      </c>
      <c r="BS158" s="12"/>
      <c r="BT158" s="6">
        <f t="shared" si="30"/>
        <v>-514961.68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f>17899.3+13668.55</f>
        <v>31567.85</v>
      </c>
      <c r="BG159"/>
      <c r="BH159" s="12">
        <v>1440</v>
      </c>
      <c r="BI159"/>
      <c r="BJ159" s="12">
        <v>0</v>
      </c>
      <c r="BK159"/>
      <c r="BL159" s="80">
        <f t="shared" si="27"/>
        <v>374342.85</v>
      </c>
      <c r="BM159"/>
      <c r="BN159" s="12">
        <v>106842</v>
      </c>
      <c r="BO159"/>
      <c r="BP159" s="6">
        <f t="shared" si="28"/>
        <v>0</v>
      </c>
      <c r="BQ159" s="12"/>
      <c r="BR159" s="6">
        <f t="shared" si="29"/>
        <v>374342.85</v>
      </c>
      <c r="BS159" s="12"/>
      <c r="BT159" s="6">
        <f t="shared" si="30"/>
        <v>-239749.84999999998</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31567.85</v>
      </c>
      <c r="BG162"/>
      <c r="BH162" s="102">
        <f t="shared" si="32"/>
        <v>30798.5</v>
      </c>
      <c r="BI162"/>
      <c r="BJ162" s="102">
        <f t="shared" si="32"/>
        <v>0</v>
      </c>
      <c r="BK162"/>
      <c r="BL162" s="102">
        <f t="shared" si="32"/>
        <v>1388479.19</v>
      </c>
      <c r="BM162"/>
      <c r="BN162" s="102">
        <f t="shared" ref="BN162:BT162" si="33">SUM(BN156:BN161)</f>
        <v>388143</v>
      </c>
      <c r="BO162"/>
      <c r="BP162" s="102">
        <f t="shared" si="33"/>
        <v>0</v>
      </c>
      <c r="BQ162" s="102">
        <f t="shared" si="33"/>
        <v>0</v>
      </c>
      <c r="BR162" s="102">
        <f t="shared" si="33"/>
        <v>1388479.19</v>
      </c>
      <c r="BS162" s="102">
        <f t="shared" si="33"/>
        <v>0</v>
      </c>
      <c r="BT162" s="102">
        <f t="shared" si="33"/>
        <v>-1173886.19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373521.64999999997</v>
      </c>
      <c r="BG173"/>
      <c r="BH173" s="120">
        <f t="shared" si="35"/>
        <v>165336.67000000001</v>
      </c>
      <c r="BI173"/>
      <c r="BJ173" s="120">
        <f t="shared" si="35"/>
        <v>0</v>
      </c>
      <c r="BK173"/>
      <c r="BL173" s="120">
        <f>BL171+BL162+BL153+BL151+BL149+BL143+BL139+BL132+BL125+BL123+BL121+BL117+BL169+BL141</f>
        <v>24670394.065358691</v>
      </c>
      <c r="BM173"/>
      <c r="BN173" s="120">
        <f t="shared" si="35"/>
        <v>7936102.4900000002</v>
      </c>
      <c r="BO173"/>
      <c r="BP173" s="120">
        <f>BP117+BP121+BP123+BP125+BP132+BP139+BP141+BP143+BP149+BP151+BP153+BP162+BP169+BP171</f>
        <v>8641972.4261786509</v>
      </c>
      <c r="BQ173" s="120">
        <f t="shared" si="35"/>
        <v>0</v>
      </c>
      <c r="BR173" s="120">
        <f>BR117+BR121+BR123+BR125+BR132+BR139+BR141+BR143+BR149+BR151+BR153+BR162+BR169+BR171</f>
        <v>33322069.49153734</v>
      </c>
      <c r="BS173" s="120">
        <f t="shared" si="35"/>
        <v>0</v>
      </c>
      <c r="BT173" s="120">
        <f>BT117+BT121+BT123+BT125+BT132+BT139+BT141+BT143+BT149+BT151+BT153+BT162+BT169+BT171</f>
        <v>-8349934.49153734</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1350600.65</v>
      </c>
      <c r="BG178"/>
      <c r="BH178" s="168">
        <f t="shared" si="37"/>
        <v>165336.67000000001</v>
      </c>
      <c r="BI178"/>
      <c r="BJ178" s="168">
        <f t="shared" si="37"/>
        <v>0</v>
      </c>
      <c r="BK178"/>
      <c r="BL178" s="168">
        <f t="shared" si="37"/>
        <v>262449995.83869204</v>
      </c>
      <c r="BM178"/>
      <c r="BN178" s="168">
        <f t="shared" si="37"/>
        <v>31424382.490000002</v>
      </c>
      <c r="BO178"/>
      <c r="BP178" s="168">
        <f>BP33+BP89+BP99+BP108+BP173</f>
        <v>9459807.4261786509</v>
      </c>
      <c r="BQ178" s="168">
        <f t="shared" si="37"/>
        <v>2030320</v>
      </c>
      <c r="BR178" s="168">
        <f t="shared" si="37"/>
        <v>272088077.2648707</v>
      </c>
      <c r="BS178" s="168">
        <f t="shared" si="37"/>
        <v>2030320</v>
      </c>
      <c r="BT178" s="168">
        <f>BT33+BT89+BT99+BT108+BT175+BT173</f>
        <v>-32412609.51487067</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447513.28497511632</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561</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1350600.65</v>
      </c>
      <c r="BG187"/>
      <c r="BH187" s="10">
        <f t="shared" si="38"/>
        <v>165336.67000000001</v>
      </c>
      <c r="BI187"/>
      <c r="BJ187" s="10">
        <f t="shared" si="38"/>
        <v>0</v>
      </c>
      <c r="BK187"/>
      <c r="BL187" s="10">
        <f>BL178+BL181+BL183+BL185+BL184</f>
        <v>262375466.34869203</v>
      </c>
      <c r="BM187"/>
      <c r="BN187" s="10">
        <f t="shared" ref="BN187:BT187" si="39">BN178+BN181+BN183+BN185+BN184</f>
        <v>31424382.490000002</v>
      </c>
      <c r="BO187"/>
      <c r="BP187" s="10">
        <f t="shared" si="39"/>
        <v>9459807.4261786509</v>
      </c>
      <c r="BQ187" s="10">
        <f t="shared" si="39"/>
        <v>2030320</v>
      </c>
      <c r="BR187" s="10">
        <f t="shared" si="39"/>
        <v>272013547.77487069</v>
      </c>
      <c r="BS187" s="10">
        <f t="shared" si="39"/>
        <v>2030320</v>
      </c>
      <c r="BT187" s="10">
        <f t="shared" si="39"/>
        <v>-32412609.51487067</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75">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5"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5"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5" thickBot="1">
      <c r="A201" s="131" t="s">
        <v>532</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1350600.65</v>
      </c>
      <c r="BG201"/>
      <c r="BH201" s="121">
        <f t="shared" si="43"/>
        <v>165336.67000000001</v>
      </c>
      <c r="BI201"/>
      <c r="BJ201" s="121">
        <f t="shared" si="43"/>
        <v>0</v>
      </c>
      <c r="BK201"/>
      <c r="BL201" s="121">
        <f t="shared" si="43"/>
        <v>262689990.61869204</v>
      </c>
      <c r="BM201"/>
      <c r="BN201" s="121">
        <f t="shared" si="43"/>
        <v>31424382.490000002</v>
      </c>
      <c r="BO201"/>
      <c r="BP201" s="121">
        <f t="shared" si="43"/>
        <v>9459807.4261786509</v>
      </c>
      <c r="BQ201" s="121">
        <f t="shared" si="43"/>
        <v>2030320</v>
      </c>
      <c r="BR201" s="121">
        <f t="shared" si="43"/>
        <v>272328072.04487067</v>
      </c>
      <c r="BS201" s="121">
        <f t="shared" si="43"/>
        <v>2030320</v>
      </c>
      <c r="BT201" s="121">
        <f t="shared" si="43"/>
        <v>-32412609.51487067</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5"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565</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566</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567</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585</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569</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570</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571</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588</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573</v>
      </c>
      <c r="BL220" s="22">
        <f>BL187-BL218</f>
        <v>1515936.4286920428</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47" activePane="bottomRight" state="frozen"/>
      <selection activeCell="K13" sqref="K13:K16"/>
      <selection pane="topRight" activeCell="K13" sqref="K13:K16"/>
      <selection pane="bottomLeft" activeCell="K13" sqref="K13:K16"/>
      <selection pane="bottomRight" activeCell="K13" sqref="K13:K1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- 0731xls.xls]Gleason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36752.660091203703</v>
      </c>
      <c r="BT3" s="23"/>
      <c r="BV3" s="78" t="str">
        <f>Summary!A5</f>
        <v>Revision # 60</v>
      </c>
    </row>
    <row r="4" spans="1:76" s="18" customFormat="1" ht="15.75">
      <c r="A4" s="94"/>
      <c r="B4" s="19">
        <f>Summary!C13</f>
        <v>509</v>
      </c>
      <c r="C4"/>
      <c r="G4" s="67"/>
      <c r="J4" s="469" t="s">
        <v>47</v>
      </c>
      <c r="L4" s="74"/>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69"/>
      <c r="AV7" s="82" t="str">
        <f>+Summary!$O$4</f>
        <v xml:space="preserve"> As of 08/14/00</v>
      </c>
      <c r="AW7" s="82"/>
      <c r="AX7" s="82" t="str">
        <f>+Summary!$O$4</f>
        <v xml:space="preserve"> As of 08/14/00</v>
      </c>
      <c r="AY7" s="82"/>
      <c r="AZ7" s="82" t="str">
        <f>+Summary!$O$4</f>
        <v xml:space="preserve"> As of 08/14/00</v>
      </c>
      <c r="BA7" s="82"/>
      <c r="BB7" s="82" t="str">
        <f>+Summary!$O$4</f>
        <v xml:space="preserve"> As of 08/14/00</v>
      </c>
      <c r="BC7" s="82"/>
      <c r="BD7" s="82" t="str">
        <f>+Summary!$O$4</f>
        <v xml:space="preserve"> As of 08/14/00</v>
      </c>
      <c r="BE7" s="82"/>
      <c r="BF7" s="82" t="str">
        <f>+Summary!$O$4</f>
        <v xml:space="preserve"> As of 08/14/00</v>
      </c>
      <c r="BG7" s="82"/>
      <c r="BH7" s="82" t="str">
        <f>+Summary!$O$4</f>
        <v xml:space="preserve"> As of 08/14/00</v>
      </c>
      <c r="BI7" s="82"/>
      <c r="BJ7" s="82" t="str">
        <f>+Summary!$O$4</f>
        <v xml:space="preserve"> As of 08/14/00</v>
      </c>
      <c r="BK7" s="82"/>
      <c r="BL7" s="82" t="str">
        <f>+Summary!$O$4</f>
        <v xml:space="preserve"> As of 08/14/00</v>
      </c>
      <c r="BN7" s="71" t="str">
        <f>+Summary!$O$4</f>
        <v xml:space="preserve"> As of 08/14/00</v>
      </c>
      <c r="BP7" s="64" t="str">
        <f>+Summary!$O$4</f>
        <v xml:space="preserve"> As of 08/14/00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528</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529</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591</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zoomScale="80" zoomScaleNormal="80" workbookViewId="0">
      <pane xSplit="12" ySplit="8" topLeftCell="BP163" activePane="bottomRight" state="frozen"/>
      <selection activeCell="K13" sqref="K13:K16"/>
      <selection pane="topRight" activeCell="K13" sqref="K13:K16"/>
      <selection pane="bottomLeft" activeCell="K13" sqref="K13:K16"/>
      <selection pane="bottomRight" activeCell="BU166" sqref="BU16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2.28515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hidden="1" customWidth="1"/>
    <col min="56" max="56" width="17.85546875" style="6" hidden="1" customWidth="1"/>
    <col min="57" max="57" width="0.85546875"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28515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- 0731xls.xls]Gleason</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36752.660091203703</v>
      </c>
      <c r="BT3" s="23"/>
      <c r="BV3" s="78" t="str">
        <f>Summary!A5</f>
        <v>Revision # 60</v>
      </c>
    </row>
    <row r="4" spans="1:76" s="18" customFormat="1" ht="15.75">
      <c r="A4" s="94"/>
      <c r="B4" s="19">
        <f>Summary!C13</f>
        <v>509</v>
      </c>
      <c r="C4"/>
      <c r="G4" s="67"/>
      <c r="J4" s="67"/>
      <c r="L4" s="469" t="s">
        <v>47</v>
      </c>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75">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69"/>
      <c r="AV7" s="82" t="str">
        <f>+Summary!$O$4</f>
        <v xml:space="preserve"> As of 08/14/00</v>
      </c>
      <c r="AW7" s="82"/>
      <c r="AX7" s="82" t="str">
        <f>+Summary!$O$4</f>
        <v xml:space="preserve"> As of 08/14/00</v>
      </c>
      <c r="AY7" s="82"/>
      <c r="AZ7" s="82" t="str">
        <f>+Summary!$O$4</f>
        <v xml:space="preserve"> As of 08/14/00</v>
      </c>
      <c r="BA7" s="82"/>
      <c r="BB7" s="82" t="str">
        <f>BP7</f>
        <v xml:space="preserve"> As of 08/14/00</v>
      </c>
      <c r="BC7"/>
      <c r="BD7" s="82" t="str">
        <f>+Summary!$O$4</f>
        <v xml:space="preserve"> As of 08/14/00</v>
      </c>
      <c r="BE7"/>
      <c r="BF7" s="82" t="str">
        <f>+Summary!$O$4</f>
        <v xml:space="preserve"> As of 08/14/00</v>
      </c>
      <c r="BG7" s="82"/>
      <c r="BH7" s="82" t="str">
        <f>+Summary!$O$4</f>
        <v xml:space="preserve"> As of 08/14/00</v>
      </c>
      <c r="BI7" s="82"/>
      <c r="BJ7" s="82" t="str">
        <f>+Summary!$O$4</f>
        <v xml:space="preserve"> As of 08/14/00</v>
      </c>
      <c r="BK7" s="82"/>
      <c r="BL7" s="82" t="str">
        <f>+Summary!$O$4</f>
        <v xml:space="preserve"> As of 08/14/00</v>
      </c>
      <c r="BN7" s="449" t="str">
        <f>+Summary!$O$4</f>
        <v xml:space="preserve"> As of 08/14/00</v>
      </c>
      <c r="BP7" s="64" t="str">
        <f>+Summary!$O$4</f>
        <v xml:space="preserve"> As of 08/14/00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H43" s="6">
        <f>1344184-490688</f>
        <v>853496</v>
      </c>
      <c r="BL43"/>
      <c r="BM43" s="6"/>
      <c r="BN43" s="6">
        <f t="shared" ref="BN43:BN53" si="9">SUM(T43:BM43)</f>
        <v>1344184</v>
      </c>
      <c r="BO43" s="6"/>
      <c r="BP43" s="6">
        <f>1508635-1493645</f>
        <v>14990</v>
      </c>
      <c r="BQ43" s="6"/>
      <c r="BR43" s="6">
        <f>IF(+R43-AR43+BP43&gt;0,R43-AR43+BP43,0)</f>
        <v>1497183</v>
      </c>
      <c r="BT43" s="6">
        <f>+AR43+BR43</f>
        <v>1508635</v>
      </c>
      <c r="BV43" s="6">
        <f t="shared" ref="BV43:BV54" si="10">+R43-BT43</f>
        <v>-14990</v>
      </c>
    </row>
    <row r="44" spans="1:75">
      <c r="A44" s="57"/>
      <c r="B44" s="233" t="s">
        <v>533</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H44" s="6">
        <f>1597694-454688</f>
        <v>1143006</v>
      </c>
      <c r="BL44"/>
      <c r="BM44" s="6"/>
      <c r="BN44" s="6">
        <f t="shared" si="9"/>
        <v>1597694</v>
      </c>
      <c r="BO44" s="6"/>
      <c r="BP44" s="6">
        <f>2075718-1564045</f>
        <v>511673</v>
      </c>
      <c r="BQ44" s="6"/>
      <c r="BR44" s="6">
        <f>IF(+R44-AR44+BP44&gt;0,R44-AR44+BP44,0)</f>
        <v>2020230</v>
      </c>
      <c r="BT44" s="6">
        <f>+AR44+BR44</f>
        <v>2075718</v>
      </c>
      <c r="BV44" s="6">
        <f t="shared" si="10"/>
        <v>-511673</v>
      </c>
    </row>
    <row r="45" spans="1:75">
      <c r="A45" s="57"/>
      <c r="B45" s="233" t="s">
        <v>534</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0">
        <f>2452211-1506977</f>
        <v>945234</v>
      </c>
      <c r="BH45" s="6">
        <f>3634383-2452211</f>
        <v>1182172</v>
      </c>
      <c r="BL45"/>
      <c r="BM45" s="6"/>
      <c r="BN45" s="6">
        <f t="shared" si="9"/>
        <v>3634383</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f>464879-272628</f>
        <v>192251</v>
      </c>
      <c r="BJ46" s="6">
        <v>0</v>
      </c>
      <c r="BL46"/>
      <c r="BM46" s="6"/>
      <c r="BN46" s="6">
        <f t="shared" si="9"/>
        <v>464879</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f>137472-57394</f>
        <v>80078</v>
      </c>
      <c r="BJ47" s="6">
        <v>0</v>
      </c>
      <c r="BL47"/>
      <c r="BM47" s="6"/>
      <c r="BN47" s="6">
        <f t="shared" si="9"/>
        <v>137472</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H50" s="6">
        <v>104120</v>
      </c>
      <c r="BL50" s="6"/>
      <c r="BM50" s="6"/>
      <c r="BN50" s="6">
        <f t="shared" si="9"/>
        <v>138394</v>
      </c>
      <c r="BO50" s="6"/>
      <c r="BP50" s="6">
        <v>0</v>
      </c>
      <c r="BQ50" s="6"/>
      <c r="BR50" s="6">
        <f>IF(+R50-BN50+BP50&gt;0,R50-BN50+BP50,0)</f>
        <v>0</v>
      </c>
      <c r="BT50" s="6">
        <f>+BN50+BR50</f>
        <v>138394</v>
      </c>
      <c r="BV50" s="6">
        <f t="shared" si="10"/>
        <v>-138394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H51" s="6">
        <f>32425+454136</f>
        <v>486561</v>
      </c>
      <c r="BL51" s="6"/>
      <c r="BM51" s="6"/>
      <c r="BN51" s="6">
        <f>SUM(T51:BM51)</f>
        <v>548026</v>
      </c>
      <c r="BO51" s="6"/>
      <c r="BP51" s="6">
        <v>0</v>
      </c>
      <c r="BQ51" s="6"/>
      <c r="BR51" s="6">
        <f t="shared" si="11"/>
        <v>0</v>
      </c>
      <c r="BT51" s="6">
        <f t="shared" si="12"/>
        <v>548026</v>
      </c>
      <c r="BV51" s="6">
        <f>+R51-BT51</f>
        <v>-548026</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4041684</v>
      </c>
      <c r="BI54" s="9">
        <f t="shared" si="14"/>
        <v>0</v>
      </c>
      <c r="BJ54" s="9">
        <f t="shared" si="14"/>
        <v>0</v>
      </c>
      <c r="BK54" s="9">
        <f t="shared" si="14"/>
        <v>0</v>
      </c>
      <c r="BL54" s="9">
        <f t="shared" si="14"/>
        <v>0</v>
      </c>
      <c r="BM54" s="9">
        <f t="shared" si="14"/>
        <v>0</v>
      </c>
      <c r="BN54" s="9">
        <f t="shared" si="14"/>
        <v>8146761</v>
      </c>
      <c r="BO54" s="9">
        <f t="shared" si="14"/>
        <v>0</v>
      </c>
      <c r="BP54" s="9">
        <f t="shared" si="14"/>
        <v>2058165</v>
      </c>
      <c r="BQ54" s="9">
        <f t="shared" si="14"/>
        <v>0</v>
      </c>
      <c r="BR54" s="9">
        <f t="shared" si="14"/>
        <v>16141324</v>
      </c>
      <c r="BS54" s="9">
        <f t="shared" si="14"/>
        <v>0</v>
      </c>
      <c r="BT54" s="9">
        <f t="shared" si="14"/>
        <v>17530291</v>
      </c>
      <c r="BU54" s="9"/>
      <c r="BV54" s="9">
        <f t="shared" si="10"/>
        <v>-2765403</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535</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H57" s="6">
        <f>288544-117841</f>
        <v>170703</v>
      </c>
      <c r="BL57" s="6"/>
      <c r="BM57" s="6"/>
      <c r="BN57" s="6">
        <f>SUM(T57:BM57)</f>
        <v>288544</v>
      </c>
      <c r="BO57" s="6"/>
      <c r="BP57" s="6"/>
      <c r="BQ57" s="6"/>
      <c r="BR57" s="6">
        <f>IF(+R57-BN57+BP57&gt;0,R57-BN57+BP57,0)</f>
        <v>0</v>
      </c>
      <c r="BT57" s="6">
        <f>+BN57+BR57</f>
        <v>288544</v>
      </c>
      <c r="BV57" s="6">
        <f t="shared" ref="BV57:BV63" si="15">+R57-BT57</f>
        <v>-88059</v>
      </c>
    </row>
    <row r="58" spans="1:74">
      <c r="A58"/>
      <c r="B58" s="233" t="s">
        <v>536</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H58" s="6">
        <f>3204369-2894530</f>
        <v>309839</v>
      </c>
      <c r="BL58" s="6"/>
      <c r="BM58" s="6"/>
      <c r="BN58" s="6">
        <f>SUM(T58:BM58)</f>
        <v>3204369</v>
      </c>
      <c r="BO58" s="6"/>
      <c r="BP58" s="6">
        <f>3006669-3824394</f>
        <v>-817725</v>
      </c>
      <c r="BQ58" s="6"/>
      <c r="BR58" s="6">
        <f>IF(+R58-BN58+BP58&gt;0,R58-BN58+BP58,0)</f>
        <v>0</v>
      </c>
      <c r="BT58" s="6">
        <f>+BN58+BR58</f>
        <v>3204369</v>
      </c>
      <c r="BV58" s="6">
        <f t="shared" si="15"/>
        <v>620025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H59" s="6">
        <f>682994-276231</f>
        <v>406763</v>
      </c>
      <c r="BL59" s="6"/>
      <c r="BM59" s="6"/>
      <c r="BN59" s="6">
        <f>SUM(T59:BM59)</f>
        <v>682994</v>
      </c>
      <c r="BO59" s="6"/>
      <c r="BP59" s="6">
        <v>0</v>
      </c>
      <c r="BQ59" s="6"/>
      <c r="BR59" s="6">
        <f>IF(+R59-BN59+BP59&gt;0,R59-BN59+BP59,0)</f>
        <v>106266</v>
      </c>
      <c r="BT59" s="6">
        <f>+BN59+BR59</f>
        <v>789260</v>
      </c>
      <c r="BV59" s="6">
        <f t="shared" si="15"/>
        <v>0</v>
      </c>
    </row>
    <row r="60" spans="1:74">
      <c r="A60"/>
      <c r="B60" s="233" t="s">
        <v>537</v>
      </c>
      <c r="C60"/>
      <c r="D60"/>
      <c r="E60"/>
      <c r="F60"/>
      <c r="G60"/>
      <c r="H60"/>
      <c r="I60"/>
      <c r="J60" s="49" t="s">
        <v>229</v>
      </c>
      <c r="K60"/>
      <c r="L60" s="134"/>
      <c r="M60" s="6"/>
      <c r="O60" s="6"/>
      <c r="Q60" s="6"/>
      <c r="R60" s="235">
        <v>482700</v>
      </c>
      <c r="S60" s="6"/>
      <c r="T60" s="6"/>
      <c r="U60" s="6"/>
      <c r="V60" s="6"/>
      <c r="X60" s="6"/>
      <c r="Z60" s="6"/>
      <c r="AB60" s="6"/>
      <c r="AD60" s="6"/>
      <c r="AI60"/>
      <c r="AK60"/>
      <c r="AM60"/>
      <c r="AZ60" s="6">
        <v>174035</v>
      </c>
      <c r="BH60" s="6">
        <f>406264-174035</f>
        <v>232229</v>
      </c>
      <c r="BL60" s="6"/>
      <c r="BM60" s="6"/>
      <c r="BN60" s="6">
        <f>SUM(T60:BM60)</f>
        <v>406264</v>
      </c>
      <c r="BO60" s="6"/>
      <c r="BP60" s="6">
        <f>442495-482700</f>
        <v>-40205</v>
      </c>
      <c r="BQ60" s="6"/>
      <c r="BR60" s="6">
        <f>IF(+R60-BN60+BP60&gt;0,R60-BN60+BP60,0)</f>
        <v>36231</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H61" s="6">
        <f>20421-20223</f>
        <v>198</v>
      </c>
      <c r="BL61" s="6"/>
      <c r="BM61" s="6"/>
      <c r="BN61" s="6">
        <f>SUM(T61:BM61)</f>
        <v>20421</v>
      </c>
      <c r="BO61" s="6"/>
      <c r="BP61" s="6">
        <v>0</v>
      </c>
      <c r="BQ61" s="6"/>
      <c r="BR61" s="6">
        <f>IF(+R61-BN61+BP61&gt;0,R61-BN61+BP61,0)</f>
        <v>0</v>
      </c>
      <c r="BT61" s="6">
        <f>+BN61+BR61</f>
        <v>20421</v>
      </c>
      <c r="BV61" s="6">
        <f t="shared" si="15"/>
        <v>-20421</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1119732</v>
      </c>
      <c r="BI63" s="9">
        <f t="shared" si="17"/>
        <v>0</v>
      </c>
      <c r="BJ63" s="9">
        <f t="shared" si="17"/>
        <v>0</v>
      </c>
      <c r="BK63" s="9">
        <f t="shared" si="17"/>
        <v>0</v>
      </c>
      <c r="BL63" s="9">
        <f t="shared" si="17"/>
        <v>0</v>
      </c>
      <c r="BM63" s="9">
        <f t="shared" si="17"/>
        <v>0</v>
      </c>
      <c r="BN63" s="9">
        <f t="shared" si="17"/>
        <v>4602592</v>
      </c>
      <c r="BO63" s="9">
        <f t="shared" si="17"/>
        <v>0</v>
      </c>
      <c r="BP63" s="9">
        <f t="shared" si="17"/>
        <v>-857930</v>
      </c>
      <c r="BQ63" s="9">
        <f t="shared" si="17"/>
        <v>0</v>
      </c>
      <c r="BR63" s="9">
        <f t="shared" si="17"/>
        <v>142497</v>
      </c>
      <c r="BS63" s="9">
        <f t="shared" si="17"/>
        <v>0</v>
      </c>
      <c r="BT63" s="9">
        <f t="shared" si="17"/>
        <v>4745089</v>
      </c>
      <c r="BU63" s="9"/>
      <c r="BV63" s="9">
        <f t="shared" si="15"/>
        <v>551750</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f>3055302-2952830+272495+20694-249699</f>
        <v>145962</v>
      </c>
      <c r="BI66" s="9"/>
      <c r="BJ66" s="9"/>
      <c r="BK66" s="9"/>
      <c r="BL66" s="9"/>
      <c r="BM66" s="9"/>
      <c r="BN66" s="6">
        <f t="shared" ref="BN66:BN84" si="18">SUM(T66:BM66)</f>
        <v>3098792</v>
      </c>
      <c r="BO66" s="9"/>
      <c r="BP66" s="6">
        <v>0</v>
      </c>
      <c r="BQ66" s="6"/>
      <c r="BR66" s="6">
        <f t="shared" ref="BR66:BR85" si="19">IF(+R66-BN66+BP66&gt;0,R66-BN66+BP66,0)</f>
        <v>0</v>
      </c>
      <c r="BS66" s="6"/>
      <c r="BT66" s="6">
        <f t="shared" ref="BT66:BT85" si="20">+BN66+BR66</f>
        <v>3098792</v>
      </c>
      <c r="BU66" s="9"/>
      <c r="BV66" s="6">
        <f t="shared" ref="BV66:BV85" si="21">+R66-BT66</f>
        <v>-877039</v>
      </c>
    </row>
    <row r="67" spans="2:74" s="21" customFormat="1">
      <c r="B67" s="238" t="s">
        <v>538</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f>1007521-735944</f>
        <v>271577</v>
      </c>
      <c r="BI67" s="9"/>
      <c r="BJ67" s="9"/>
      <c r="BK67" s="9"/>
      <c r="BL67" s="9"/>
      <c r="BM67" s="9"/>
      <c r="BN67" s="6">
        <f t="shared" si="18"/>
        <v>1007521</v>
      </c>
      <c r="BO67" s="9"/>
      <c r="BP67" s="6">
        <f>508478-363263</f>
        <v>145215</v>
      </c>
      <c r="BQ67" s="6"/>
      <c r="BR67" s="6">
        <f t="shared" si="19"/>
        <v>0</v>
      </c>
      <c r="BS67" s="6"/>
      <c r="BT67" s="6">
        <f t="shared" si="20"/>
        <v>1007521</v>
      </c>
      <c r="BU67" s="9"/>
      <c r="BV67" s="6">
        <f t="shared" si="21"/>
        <v>-644214</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f>230143-198522</f>
        <v>31621</v>
      </c>
      <c r="BI68" s="9"/>
      <c r="BJ68" s="9"/>
      <c r="BK68" s="9"/>
      <c r="BL68" s="9"/>
      <c r="BM68" s="9"/>
      <c r="BN68" s="6">
        <f t="shared" si="18"/>
        <v>230143</v>
      </c>
      <c r="BO68" s="9"/>
      <c r="BP68" s="6"/>
      <c r="BQ68" s="6"/>
      <c r="BR68" s="6">
        <f t="shared" si="19"/>
        <v>42232</v>
      </c>
      <c r="BS68" s="6"/>
      <c r="BT68" s="6">
        <f t="shared" si="20"/>
        <v>272375</v>
      </c>
      <c r="BU68" s="9"/>
      <c r="BV68" s="6">
        <f t="shared" si="21"/>
        <v>0</v>
      </c>
    </row>
    <row r="69" spans="2:74" s="21" customFormat="1">
      <c r="B69" s="238" t="s">
        <v>539</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f>599775-555814</f>
        <v>43961</v>
      </c>
      <c r="BI69" s="9"/>
      <c r="BJ69" s="9"/>
      <c r="BK69" s="9"/>
      <c r="BL69" s="9"/>
      <c r="BM69" s="9"/>
      <c r="BN69" s="6">
        <f t="shared" si="18"/>
        <v>599775</v>
      </c>
      <c r="BO69" s="9"/>
      <c r="BP69" s="6">
        <f>374050-294546</f>
        <v>79504</v>
      </c>
      <c r="BQ69" s="6"/>
      <c r="BR69" s="6">
        <f t="shared" si="19"/>
        <v>0</v>
      </c>
      <c r="BS69" s="6"/>
      <c r="BT69" s="6">
        <f t="shared" si="20"/>
        <v>599775</v>
      </c>
      <c r="BU69" s="9"/>
      <c r="BV69" s="6">
        <f t="shared" si="21"/>
        <v>-305229</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f>266441-259344</f>
        <v>7097</v>
      </c>
      <c r="BI70" s="9"/>
      <c r="BJ70" s="9"/>
      <c r="BK70" s="9"/>
      <c r="BL70" s="9"/>
      <c r="BM70" s="9"/>
      <c r="BN70" s="6">
        <f t="shared" si="18"/>
        <v>266441</v>
      </c>
      <c r="BO70" s="9"/>
      <c r="BP70" s="6">
        <v>0</v>
      </c>
      <c r="BQ70" s="6"/>
      <c r="BR70" s="6">
        <f t="shared" si="19"/>
        <v>0</v>
      </c>
      <c r="BS70" s="6"/>
      <c r="BT70" s="6">
        <f t="shared" si="20"/>
        <v>266441</v>
      </c>
      <c r="BU70" s="9"/>
      <c r="BV70" s="6">
        <f t="shared" si="21"/>
        <v>-94210</v>
      </c>
    </row>
    <row r="71" spans="2:74" s="21" customFormat="1">
      <c r="B71" s="238" t="s">
        <v>545</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f>1843466-1404467</f>
        <v>438999</v>
      </c>
      <c r="BI71" s="9"/>
      <c r="BJ71" s="9"/>
      <c r="BK71" s="9"/>
      <c r="BL71" s="9"/>
      <c r="BM71" s="9"/>
      <c r="BN71" s="6">
        <f t="shared" si="18"/>
        <v>1843466</v>
      </c>
      <c r="BO71" s="9"/>
      <c r="BP71" s="6">
        <f>1569522-1115136</f>
        <v>454386</v>
      </c>
      <c r="BQ71" s="6"/>
      <c r="BR71" s="6">
        <f t="shared" si="19"/>
        <v>0</v>
      </c>
      <c r="BS71" s="6"/>
      <c r="BT71" s="6">
        <f t="shared" si="20"/>
        <v>1843466</v>
      </c>
      <c r="BU71" s="9"/>
      <c r="BV71" s="6">
        <f t="shared" si="21"/>
        <v>-728330</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f>645350-577419</f>
        <v>67931</v>
      </c>
      <c r="BI72" s="9"/>
      <c r="BJ72" s="9"/>
      <c r="BK72" s="9"/>
      <c r="BL72" s="9"/>
      <c r="BM72" s="9"/>
      <c r="BN72" s="6">
        <f t="shared" si="18"/>
        <v>645350</v>
      </c>
      <c r="BO72" s="9"/>
      <c r="BP72" s="6"/>
      <c r="BQ72" s="6"/>
      <c r="BR72" s="6">
        <f t="shared" si="19"/>
        <v>105760</v>
      </c>
      <c r="BS72" s="6"/>
      <c r="BT72" s="6">
        <f t="shared" si="20"/>
        <v>751110</v>
      </c>
      <c r="BU72" s="9"/>
      <c r="BV72" s="6">
        <f t="shared" si="21"/>
        <v>0</v>
      </c>
    </row>
    <row r="73" spans="2:74" s="21" customFormat="1">
      <c r="B73" s="238" t="s">
        <v>540</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f>97281-22214</f>
        <v>75067</v>
      </c>
      <c r="BI73" s="9"/>
      <c r="BJ73" s="9"/>
      <c r="BK73" s="9"/>
      <c r="BL73" s="9"/>
      <c r="BM73" s="9"/>
      <c r="BN73" s="6">
        <f t="shared" si="18"/>
        <v>97281</v>
      </c>
      <c r="BO73" s="9"/>
      <c r="BP73" s="6">
        <f>108008-79049</f>
        <v>28959</v>
      </c>
      <c r="BQ73" s="6"/>
      <c r="BR73" s="6">
        <f t="shared" si="19"/>
        <v>10727</v>
      </c>
      <c r="BS73" s="6"/>
      <c r="BT73" s="6">
        <f t="shared" si="20"/>
        <v>108008</v>
      </c>
      <c r="BU73" s="9"/>
      <c r="BV73" s="6">
        <f t="shared" si="21"/>
        <v>-28959</v>
      </c>
    </row>
    <row r="74" spans="2:74" s="21" customFormat="1">
      <c r="B74" s="238" t="s">
        <v>544</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f>27594-15847</f>
        <v>11747</v>
      </c>
      <c r="BI74" s="9"/>
      <c r="BJ74" s="9"/>
      <c r="BK74" s="9"/>
      <c r="BL74" s="9"/>
      <c r="BM74" s="9"/>
      <c r="BN74" s="6">
        <f t="shared" si="18"/>
        <v>27594</v>
      </c>
      <c r="BO74" s="9"/>
      <c r="BP74" s="6"/>
      <c r="BQ74" s="6"/>
      <c r="BR74" s="6">
        <f t="shared" si="19"/>
        <v>15906</v>
      </c>
      <c r="BS74" s="6"/>
      <c r="BT74" s="6">
        <f t="shared" si="20"/>
        <v>43500</v>
      </c>
      <c r="BU74" s="9"/>
      <c r="BV74" s="6">
        <f t="shared" si="21"/>
        <v>0</v>
      </c>
    </row>
    <row r="75" spans="2:74" s="21" customFormat="1">
      <c r="B75" s="238" t="s">
        <v>552</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f>141341-29878</f>
        <v>111463</v>
      </c>
      <c r="BI75" s="9"/>
      <c r="BJ75" s="9"/>
      <c r="BK75" s="9"/>
      <c r="BL75" s="9"/>
      <c r="BM75" s="9"/>
      <c r="BN75" s="6">
        <f t="shared" si="18"/>
        <v>141341</v>
      </c>
      <c r="BO75" s="9"/>
      <c r="BP75" s="6">
        <f>101800-81956</f>
        <v>19844</v>
      </c>
      <c r="BQ75" s="6"/>
      <c r="BR75" s="6">
        <f t="shared" si="19"/>
        <v>0</v>
      </c>
      <c r="BS75" s="6"/>
      <c r="BT75" s="6">
        <f t="shared" si="20"/>
        <v>141341</v>
      </c>
      <c r="BU75" s="9"/>
      <c r="BV75" s="6">
        <f t="shared" si="21"/>
        <v>-59385</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v>3351</v>
      </c>
      <c r="BI76" s="9"/>
      <c r="BJ76" s="9"/>
      <c r="BK76" s="9"/>
      <c r="BL76" s="9"/>
      <c r="BM76" s="9"/>
      <c r="BN76" s="6">
        <f t="shared" si="18"/>
        <v>3351</v>
      </c>
      <c r="BO76" s="9"/>
      <c r="BP76" s="6"/>
      <c r="BQ76" s="6"/>
      <c r="BR76" s="6">
        <f t="shared" si="19"/>
        <v>213999</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f>658070-9122</f>
        <v>648948</v>
      </c>
      <c r="BI77" s="9"/>
      <c r="BJ77" s="9"/>
      <c r="BK77" s="9"/>
      <c r="BL77" s="9"/>
      <c r="BM77" s="9"/>
      <c r="BN77" s="6">
        <f t="shared" si="18"/>
        <v>658070</v>
      </c>
      <c r="BO77" s="9"/>
      <c r="BP77" s="6">
        <f>200656-199748</f>
        <v>908</v>
      </c>
      <c r="BQ77" s="6"/>
      <c r="BR77" s="6">
        <f t="shared" si="19"/>
        <v>0</v>
      </c>
      <c r="BS77" s="6"/>
      <c r="BT77" s="6">
        <f t="shared" si="20"/>
        <v>658070</v>
      </c>
      <c r="BU77" s="9"/>
      <c r="BV77" s="6">
        <f t="shared" si="21"/>
        <v>-458322</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f>202295-184450</f>
        <v>17845</v>
      </c>
      <c r="BI78" s="9"/>
      <c r="BJ78" s="9"/>
      <c r="BK78" s="9"/>
      <c r="BL78" s="9"/>
      <c r="BM78" s="9"/>
      <c r="BN78" s="6">
        <f t="shared" si="18"/>
        <v>202295</v>
      </c>
      <c r="BO78" s="9"/>
      <c r="BP78" s="6"/>
      <c r="BQ78" s="6"/>
      <c r="BR78" s="6">
        <f t="shared" si="19"/>
        <v>187705</v>
      </c>
      <c r="BS78" s="6"/>
      <c r="BT78" s="6">
        <f t="shared" si="20"/>
        <v>390000</v>
      </c>
      <c r="BU78" s="9"/>
      <c r="BV78" s="6">
        <f t="shared" si="21"/>
        <v>0</v>
      </c>
    </row>
    <row r="79" spans="2:74" s="21" customFormat="1">
      <c r="B79" s="238" t="s">
        <v>542</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f>267349-21684</f>
        <v>245665</v>
      </c>
      <c r="BI79" s="9"/>
      <c r="BJ79" s="9"/>
      <c r="BK79" s="9"/>
      <c r="BL79" s="9"/>
      <c r="BM79" s="9"/>
      <c r="BN79" s="6">
        <f t="shared" si="18"/>
        <v>267349</v>
      </c>
      <c r="BO79" s="9"/>
      <c r="BP79" s="6">
        <f>369817-290544</f>
        <v>79273</v>
      </c>
      <c r="BQ79" s="6"/>
      <c r="BR79" s="6">
        <f t="shared" si="19"/>
        <v>102468</v>
      </c>
      <c r="BS79" s="6"/>
      <c r="BT79" s="6">
        <f t="shared" si="20"/>
        <v>369817</v>
      </c>
      <c r="BU79" s="9"/>
      <c r="BV79" s="6">
        <f t="shared" si="21"/>
        <v>-79273</v>
      </c>
    </row>
    <row r="80" spans="2:74" s="21" customFormat="1">
      <c r="B80" s="238" t="s">
        <v>543</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f>2254200-148038</f>
        <v>2106162</v>
      </c>
      <c r="BI80" s="9"/>
      <c r="BJ80" s="9"/>
      <c r="BK80" s="9"/>
      <c r="BL80" s="9"/>
      <c r="BM80" s="9"/>
      <c r="BN80" s="6">
        <f t="shared" si="18"/>
        <v>2254200</v>
      </c>
      <c r="BO80" s="9"/>
      <c r="BP80" s="6">
        <f>1887865-1025638</f>
        <v>862227</v>
      </c>
      <c r="BQ80" s="6"/>
      <c r="BR80" s="6">
        <f t="shared" si="19"/>
        <v>0</v>
      </c>
      <c r="BS80" s="6"/>
      <c r="BT80" s="6">
        <f t="shared" si="20"/>
        <v>2254200</v>
      </c>
      <c r="BU80" s="9"/>
      <c r="BV80" s="6">
        <f t="shared" si="21"/>
        <v>-1228562</v>
      </c>
    </row>
    <row r="81" spans="2:74" s="21" customFormat="1">
      <c r="B81" s="238" t="s">
        <v>548</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v>70748</v>
      </c>
      <c r="BI81" s="9"/>
      <c r="BJ81" s="9"/>
      <c r="BK81" s="9"/>
      <c r="BL81" s="9"/>
      <c r="BM81" s="9"/>
      <c r="BN81" s="6">
        <f t="shared" si="18"/>
        <v>70748</v>
      </c>
      <c r="BO81" s="9"/>
      <c r="BP81" s="6">
        <f>382731-347524</f>
        <v>35207</v>
      </c>
      <c r="BQ81" s="6"/>
      <c r="BR81" s="6">
        <f t="shared" si="19"/>
        <v>311983</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f>367355+297298</f>
        <v>664653</v>
      </c>
      <c r="BI82" s="9"/>
      <c r="BJ82" s="9"/>
      <c r="BK82" s="9"/>
      <c r="BL82" s="9"/>
      <c r="BM82" s="9"/>
      <c r="BN82" s="6">
        <f t="shared" si="18"/>
        <v>664653</v>
      </c>
      <c r="BO82" s="9"/>
      <c r="BP82" s="6">
        <v>0</v>
      </c>
      <c r="BQ82" s="6"/>
      <c r="BR82" s="6">
        <f t="shared" si="19"/>
        <v>0</v>
      </c>
      <c r="BS82" s="6"/>
      <c r="BT82" s="6">
        <f t="shared" si="20"/>
        <v>664653</v>
      </c>
      <c r="BU82" s="9"/>
      <c r="BV82" s="6">
        <f t="shared" si="21"/>
        <v>-99706</v>
      </c>
    </row>
    <row r="83" spans="2:74" s="21" customFormat="1">
      <c r="B83" s="238" t="s">
        <v>547</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f>4758976-684606</f>
        <v>4074370</v>
      </c>
      <c r="BI83" s="9"/>
      <c r="BJ83" s="9"/>
      <c r="BK83" s="9"/>
      <c r="BL83" s="9"/>
      <c r="BM83" s="9"/>
      <c r="BN83" s="6">
        <f t="shared" si="18"/>
        <v>4758976</v>
      </c>
      <c r="BO83" s="9"/>
      <c r="BP83" s="6">
        <f>4361334-3436815</f>
        <v>924519</v>
      </c>
      <c r="BQ83" s="6"/>
      <c r="BR83" s="6">
        <f t="shared" si="19"/>
        <v>0</v>
      </c>
      <c r="BS83" s="6"/>
      <c r="BT83" s="6">
        <f t="shared" si="20"/>
        <v>4758976</v>
      </c>
      <c r="BU83" s="9"/>
      <c r="BV83" s="6">
        <f t="shared" si="21"/>
        <v>-1322161</v>
      </c>
    </row>
    <row r="84" spans="2:74" s="21" customFormat="1">
      <c r="B84" s="238" t="s">
        <v>549</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f>786230-72428</f>
        <v>713802</v>
      </c>
      <c r="BI84" s="9"/>
      <c r="BJ84" s="9"/>
      <c r="BK84" s="9"/>
      <c r="BL84" s="9"/>
      <c r="BM84" s="9"/>
      <c r="BN84" s="6">
        <f t="shared" si="18"/>
        <v>786230</v>
      </c>
      <c r="BO84" s="9"/>
      <c r="BP84" s="6">
        <f>836221-582144</f>
        <v>254077</v>
      </c>
      <c r="BQ84" s="6"/>
      <c r="BR84" s="6">
        <f t="shared" si="19"/>
        <v>49991</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9750969</v>
      </c>
      <c r="BI86" s="9">
        <f t="shared" si="23"/>
        <v>0</v>
      </c>
      <c r="BJ86" s="9">
        <f t="shared" si="23"/>
        <v>0</v>
      </c>
      <c r="BK86" s="9">
        <f t="shared" si="23"/>
        <v>0</v>
      </c>
      <c r="BL86" s="9">
        <f t="shared" si="23"/>
        <v>0</v>
      </c>
      <c r="BM86" s="9">
        <f t="shared" si="23"/>
        <v>0</v>
      </c>
      <c r="BN86" s="9">
        <f t="shared" si="23"/>
        <v>17623576</v>
      </c>
      <c r="BO86" s="9">
        <f t="shared" si="23"/>
        <v>0</v>
      </c>
      <c r="BP86" s="9">
        <f t="shared" si="23"/>
        <v>2884119</v>
      </c>
      <c r="BQ86" s="9">
        <f t="shared" si="23"/>
        <v>0</v>
      </c>
      <c r="BR86" s="9">
        <f t="shared" si="23"/>
        <v>1040771</v>
      </c>
      <c r="BS86" s="9">
        <f t="shared" si="23"/>
        <v>0</v>
      </c>
      <c r="BT86" s="9">
        <f t="shared" si="23"/>
        <v>18664347</v>
      </c>
      <c r="BU86" s="9">
        <f t="shared" si="23"/>
        <v>0</v>
      </c>
      <c r="BV86" s="9">
        <f>+R86-BT86</f>
        <v>-6214674</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f>12182028-8708878</f>
        <v>3473150</v>
      </c>
      <c r="BI89" s="9"/>
      <c r="BJ89" s="9"/>
      <c r="BK89" s="9"/>
      <c r="BL89" s="9"/>
      <c r="BM89" s="9"/>
      <c r="BN89" s="6">
        <f>SUM(T89:BM89)</f>
        <v>12182028</v>
      </c>
      <c r="BO89" s="9"/>
      <c r="BP89" s="6">
        <f>12136758-9230000</f>
        <v>2906758</v>
      </c>
      <c r="BQ89" s="6"/>
      <c r="BR89" s="6">
        <f>IF(+R89-BN89+BP89&gt;0,R89-BN89+BP89,0)</f>
        <v>0</v>
      </c>
      <c r="BS89" s="6"/>
      <c r="BT89" s="6">
        <f>+BN89+BR89</f>
        <v>12182028</v>
      </c>
      <c r="BU89" s="9"/>
      <c r="BV89" s="6">
        <f>+R89-BT89</f>
        <v>-2952028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3473150</v>
      </c>
      <c r="BI91" s="9">
        <f t="shared" si="25"/>
        <v>0</v>
      </c>
      <c r="BJ91" s="9">
        <f t="shared" si="25"/>
        <v>0</v>
      </c>
      <c r="BK91" s="9">
        <f t="shared" si="25"/>
        <v>0</v>
      </c>
      <c r="BL91" s="9">
        <f t="shared" si="25"/>
        <v>0</v>
      </c>
      <c r="BM91" s="9">
        <f t="shared" si="25"/>
        <v>0</v>
      </c>
      <c r="BN91" s="9">
        <f t="shared" si="25"/>
        <v>12182028</v>
      </c>
      <c r="BO91" s="9">
        <f t="shared" si="25"/>
        <v>0</v>
      </c>
      <c r="BP91" s="9">
        <f t="shared" si="25"/>
        <v>2906758</v>
      </c>
      <c r="BQ91" s="9">
        <f t="shared" si="25"/>
        <v>0</v>
      </c>
      <c r="BR91" s="9">
        <f t="shared" si="25"/>
        <v>0</v>
      </c>
      <c r="BS91" s="9">
        <f t="shared" si="25"/>
        <v>0</v>
      </c>
      <c r="BT91" s="9">
        <f t="shared" si="25"/>
        <v>12182028</v>
      </c>
      <c r="BU91" s="9"/>
      <c r="BV91" s="9">
        <f>+R91-BT91</f>
        <v>-2952028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8254970+2743470+249699</f>
        <v>11248139</v>
      </c>
      <c r="BG95" s="9"/>
      <c r="BH95" s="9">
        <f>-18385535+1302930</f>
        <v>-17082605</v>
      </c>
      <c r="BI95" s="9"/>
      <c r="BJ95" s="9"/>
      <c r="BK95" s="9"/>
      <c r="BL95" s="9"/>
      <c r="BM95" s="9"/>
      <c r="BN95" s="6">
        <f>SUM(T95:BM95)</f>
        <v>3617161.5599999987</v>
      </c>
      <c r="BO95" s="9"/>
      <c r="BP95" s="9">
        <f>-50096668+46735000</f>
        <v>-3361668</v>
      </c>
      <c r="BQ95" s="9"/>
      <c r="BR95" s="9"/>
      <c r="BS95" s="9"/>
      <c r="BT95" s="6">
        <f>-52871755+46735000</f>
        <v>-6136755</v>
      </c>
      <c r="BU95" s="9"/>
      <c r="BV95" s="6">
        <f>+R95-BT95</f>
        <v>6136755</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11248139</v>
      </c>
      <c r="BG97" s="244">
        <f t="shared" ref="BG97:BW97" si="28">BG91+BG86+BG63+BG54+BG95+BG93</f>
        <v>0</v>
      </c>
      <c r="BH97" s="244">
        <f t="shared" si="28"/>
        <v>1302930</v>
      </c>
      <c r="BI97" s="244">
        <f t="shared" si="28"/>
        <v>0</v>
      </c>
      <c r="BJ97" s="244">
        <f t="shared" si="28"/>
        <v>0</v>
      </c>
      <c r="BK97" s="244">
        <f t="shared" si="28"/>
        <v>0</v>
      </c>
      <c r="BL97" s="244">
        <f t="shared" si="28"/>
        <v>0</v>
      </c>
      <c r="BM97" s="244">
        <f t="shared" si="28"/>
        <v>0</v>
      </c>
      <c r="BN97" s="244">
        <f t="shared" si="28"/>
        <v>45922118.560000002</v>
      </c>
      <c r="BO97" s="244">
        <f t="shared" si="28"/>
        <v>0</v>
      </c>
      <c r="BP97" s="244">
        <f t="shared" si="28"/>
        <v>3629444</v>
      </c>
      <c r="BQ97" s="244">
        <f t="shared" si="28"/>
        <v>0</v>
      </c>
      <c r="BR97" s="244">
        <f>BT97-BN97</f>
        <v>812881.43999999762</v>
      </c>
      <c r="BS97" s="244">
        <f t="shared" si="28"/>
        <v>0</v>
      </c>
      <c r="BT97" s="244">
        <f t="shared" si="28"/>
        <v>46735000</v>
      </c>
      <c r="BU97" s="244">
        <f t="shared" si="28"/>
        <v>0</v>
      </c>
      <c r="BV97" s="244">
        <f t="shared" si="28"/>
        <v>-4993600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H98" s="6">
        <f>BH97-1302930</f>
        <v>0</v>
      </c>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528</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530</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112206.42</v>
      </c>
      <c r="BJ132" s="6">
        <v>0</v>
      </c>
      <c r="BL132" s="6">
        <v>0</v>
      </c>
      <c r="BM132" s="6"/>
      <c r="BN132" s="6">
        <f>SUM(T132:BM132)</f>
        <v>604460.13</v>
      </c>
      <c r="BO132" s="6"/>
      <c r="BP132" s="6">
        <v>0</v>
      </c>
      <c r="BQ132" s="6"/>
      <c r="BR132" s="6">
        <f>+R132-BN132+BP132</f>
        <v>119325.87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112206.42</v>
      </c>
      <c r="BI134" s="10"/>
      <c r="BJ134" s="102">
        <f>SUM(BJ131:BJ133)</f>
        <v>0</v>
      </c>
      <c r="BK134" s="10"/>
      <c r="BL134" s="102">
        <f>SUM(BL131:BL133)</f>
        <v>0</v>
      </c>
      <c r="BM134" s="9"/>
      <c r="BN134" s="102">
        <f>SUM(BN131:BN133)</f>
        <v>789460.13</v>
      </c>
      <c r="BO134" s="9"/>
      <c r="BP134" s="102">
        <f>SUM(BP131:BP133)</f>
        <v>0</v>
      </c>
      <c r="BQ134" s="9"/>
      <c r="BR134" s="102">
        <f>SUM(BR131:BR133)</f>
        <v>119325.87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10035.93</v>
      </c>
      <c r="BI136" s="9"/>
      <c r="BJ136" s="9">
        <v>8574.66</v>
      </c>
      <c r="BK136" s="9"/>
      <c r="BL136" s="9">
        <v>0</v>
      </c>
      <c r="BM136" s="9"/>
      <c r="BN136" s="16">
        <f>SUM(T136:BM136)</f>
        <v>109559</v>
      </c>
      <c r="BO136" s="9"/>
      <c r="BP136" s="9">
        <v>0</v>
      </c>
      <c r="BQ136" s="9"/>
      <c r="BR136" s="6">
        <f>IF(+R136-BN136+BP136&gt;0,R136-BN136+BP136,0)</f>
        <v>0</v>
      </c>
      <c r="BS136" s="9"/>
      <c r="BT136" s="9">
        <f>+BN136+BR136</f>
        <v>109559</v>
      </c>
      <c r="BU136" s="9"/>
      <c r="BV136" s="9">
        <f>+R136-BT136</f>
        <v>-109559</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20000</v>
      </c>
      <c r="BJ145" s="6">
        <v>0</v>
      </c>
      <c r="BL145" s="6">
        <v>0</v>
      </c>
      <c r="BM145" s="6"/>
      <c r="BN145" s="6">
        <f>SUM(T145:BM145)</f>
        <v>45010</v>
      </c>
      <c r="BO145" s="6"/>
      <c r="BP145" s="6">
        <v>0</v>
      </c>
      <c r="BQ145" s="6"/>
      <c r="BR145" s="6">
        <f>IF(+R145-BN145+BP145&gt;0,R145-BN145+BP145,0)</f>
        <v>0</v>
      </c>
      <c r="BT145" s="6">
        <f>+BN145+BR145</f>
        <v>45010</v>
      </c>
      <c r="BV145" s="6">
        <f>+R145-BT145</f>
        <v>-45010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20000</v>
      </c>
      <c r="BI149" s="10"/>
      <c r="BJ149" s="102">
        <f>SUM(BJ145:BJ148)</f>
        <v>0</v>
      </c>
      <c r="BK149" s="10"/>
      <c r="BL149" s="102">
        <f>SUM(BL145:BL148)</f>
        <v>0</v>
      </c>
      <c r="BM149" s="9"/>
      <c r="BN149" s="102">
        <f>SUM(BN145:BN148)</f>
        <v>428551</v>
      </c>
      <c r="BO149" s="9"/>
      <c r="BP149" s="102">
        <f>SUM(BP145:BP148)</f>
        <v>0</v>
      </c>
      <c r="BQ149" s="9"/>
      <c r="BR149" s="102">
        <f>SUM(BR145:BR148)</f>
        <v>0</v>
      </c>
      <c r="BS149" s="9"/>
      <c r="BT149" s="102">
        <f>SUM(BT145:BT148)</f>
        <v>428551</v>
      </c>
      <c r="BU149" s="9"/>
      <c r="BV149" s="102">
        <f>SUM(BV145:BV148)</f>
        <v>-59510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BH153" s="6">
        <v>0</v>
      </c>
      <c r="BL153" s="6">
        <v>0</v>
      </c>
      <c r="BM153" s="6"/>
      <c r="BN153" s="6">
        <f t="shared" si="38"/>
        <v>0</v>
      </c>
      <c r="BO153" s="6"/>
      <c r="BP153" s="227">
        <v>0</v>
      </c>
      <c r="BQ153" s="6"/>
      <c r="BR153" s="6">
        <f t="shared" si="39"/>
        <v>0</v>
      </c>
      <c r="BT153" s="6">
        <f t="shared" si="40"/>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131064.3</v>
      </c>
      <c r="BB154" s="6">
        <v>2040.3</v>
      </c>
      <c r="BD154" s="6">
        <v>0</v>
      </c>
      <c r="BF154" s="6">
        <v>213078.6</v>
      </c>
      <c r="BH154" s="6">
        <v>0</v>
      </c>
      <c r="BJ154" s="6">
        <v>155653.44</v>
      </c>
      <c r="BL154" s="6">
        <v>0</v>
      </c>
      <c r="BM154" s="6"/>
      <c r="BN154" s="6">
        <f t="shared" si="38"/>
        <v>501836.64</v>
      </c>
      <c r="BO154" s="6"/>
      <c r="BP154" s="227">
        <v>0</v>
      </c>
      <c r="BQ154" s="6"/>
      <c r="BR154" s="6">
        <f t="shared" si="39"/>
        <v>0</v>
      </c>
      <c r="BT154" s="6">
        <f t="shared" si="40"/>
        <v>501836.64</v>
      </c>
      <c r="BV154" s="6">
        <f>+R154-BT154</f>
        <v>-501836.64</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f>
        <v>15594.76</v>
      </c>
      <c r="BD157" s="6">
        <f>49686.37+302</f>
        <v>49988.37</v>
      </c>
      <c r="BF157" s="6">
        <v>30443.56</v>
      </c>
      <c r="BL157" s="6"/>
      <c r="BM157" s="6"/>
      <c r="BN157" s="6">
        <f t="shared" si="38"/>
        <v>609737.94999999995</v>
      </c>
      <c r="BO157" s="6"/>
      <c r="BP157" s="227">
        <v>0</v>
      </c>
      <c r="BQ157" s="6"/>
      <c r="BR157" s="6">
        <f t="shared" si="39"/>
        <v>0</v>
      </c>
      <c r="BT157" s="6">
        <f t="shared" si="40"/>
        <v>609737.94999999995</v>
      </c>
      <c r="BV157" s="6">
        <f>+R157-BT157</f>
        <v>-139156.94999999995</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146659.06</v>
      </c>
      <c r="BA159" s="10"/>
      <c r="BB159" s="102">
        <f>SUM(BB152:BB158)</f>
        <v>2040.3</v>
      </c>
      <c r="BC159"/>
      <c r="BD159" s="102">
        <f>SUM(BD152:BD158)</f>
        <v>49988.37</v>
      </c>
      <c r="BE159"/>
      <c r="BF159" s="102">
        <f>SUM(BF152:BF158)</f>
        <v>243522.16</v>
      </c>
      <c r="BG159" s="10"/>
      <c r="BH159" s="102">
        <f>SUM(BH152:BH158)</f>
        <v>0</v>
      </c>
      <c r="BI159" s="10"/>
      <c r="BJ159" s="102">
        <f>SUM(BJ152:BJ158)</f>
        <v>155653.44</v>
      </c>
      <c r="BK159" s="10"/>
      <c r="BL159" s="102">
        <f>SUM(BL152:BL158)</f>
        <v>0</v>
      </c>
      <c r="BM159" s="9"/>
      <c r="BN159" s="102">
        <f>SUM(BN152:BN158)</f>
        <v>1180993.5899999999</v>
      </c>
      <c r="BO159" s="9"/>
      <c r="BP159" s="102">
        <f>SUM(BP152:BP158)</f>
        <v>0</v>
      </c>
      <c r="BQ159" s="9"/>
      <c r="BR159" s="102">
        <f>SUM(BR152:BR158)</f>
        <v>0</v>
      </c>
      <c r="BS159" s="9"/>
      <c r="BT159" s="102">
        <f>SUM(BT152:BT158)</f>
        <v>1180993.5899999999</v>
      </c>
      <c r="BU159" s="9"/>
      <c r="BV159" s="102">
        <f>SUM(BV152:BV158)</f>
        <v>-640993.59</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2761.7</v>
      </c>
      <c r="BJ162" s="6">
        <v>0</v>
      </c>
      <c r="BL162" s="6">
        <v>0</v>
      </c>
      <c r="BM162" s="6"/>
      <c r="BN162" s="6">
        <f>SUM(T162:BM162)</f>
        <v>148430.69</v>
      </c>
      <c r="BO162" s="6"/>
      <c r="BP162" s="6">
        <v>0</v>
      </c>
      <c r="BQ162" s="6"/>
      <c r="BR162" s="6">
        <f>IF(+R162-BN162+BP162&gt;0,R162-BN162+BP162,0)</f>
        <v>0</v>
      </c>
      <c r="BT162" s="6">
        <f>+BN162+BR162</f>
        <v>148430.69</v>
      </c>
      <c r="BV162" s="6">
        <f>+R162-BT162</f>
        <v>-88430.69</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16">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57">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16">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16">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16">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16">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16">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16">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16">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16">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16">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16">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16">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16">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16">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16">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16">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16"/>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16"/>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2761.7</v>
      </c>
      <c r="BI182" s="102">
        <f t="shared" si="45"/>
        <v>0</v>
      </c>
      <c r="BJ182" s="102">
        <f t="shared" si="45"/>
        <v>0</v>
      </c>
      <c r="BK182" s="102">
        <f t="shared" si="45"/>
        <v>0</v>
      </c>
      <c r="BL182" s="102">
        <f t="shared" si="45"/>
        <v>0</v>
      </c>
      <c r="BM182" s="102">
        <f t="shared" si="45"/>
        <v>0</v>
      </c>
      <c r="BN182" s="102">
        <f t="shared" si="45"/>
        <v>2990083.5300000003</v>
      </c>
      <c r="BO182" s="102">
        <f t="shared" si="45"/>
        <v>0</v>
      </c>
      <c r="BP182" s="102">
        <f t="shared" si="45"/>
        <v>1690117</v>
      </c>
      <c r="BQ182" s="102">
        <f t="shared" si="45"/>
        <v>0</v>
      </c>
      <c r="BR182" s="102">
        <f t="shared" si="45"/>
        <v>1849148</v>
      </c>
      <c r="BS182" s="102">
        <f t="shared" si="45"/>
        <v>0</v>
      </c>
      <c r="BT182" s="102">
        <f t="shared" si="45"/>
        <v>4002231.5300000003</v>
      </c>
      <c r="BU182" s="102">
        <f t="shared" si="45"/>
        <v>0</v>
      </c>
      <c r="BV182" s="102">
        <f t="shared" si="45"/>
        <v>-1802231.53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709845.77</v>
      </c>
      <c r="BI184" s="9"/>
      <c r="BJ184" s="9">
        <v>0</v>
      </c>
      <c r="BK184" s="9"/>
      <c r="BL184" s="9">
        <v>0</v>
      </c>
      <c r="BM184" s="9"/>
      <c r="BN184" s="9">
        <f>SUM(T184:BM184)</f>
        <v>709845.77</v>
      </c>
      <c r="BO184" s="9"/>
      <c r="BP184" s="9">
        <v>0</v>
      </c>
      <c r="BQ184" s="9"/>
      <c r="BR184" s="6">
        <f>IF(+R184-BN184+BP184&gt;0,R184-BN184+BP184,0)</f>
        <v>390154.23</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-592943.07999999996</v>
      </c>
      <c r="BK188" s="22"/>
      <c r="BL188" s="22">
        <v>0</v>
      </c>
      <c r="BM188" s="22"/>
      <c r="BN188" s="22">
        <f>SUM(T188:BM188)</f>
        <v>1097879.92</v>
      </c>
      <c r="BO188" s="22"/>
      <c r="BP188" s="22">
        <v>0</v>
      </c>
      <c r="BQ188" s="22"/>
      <c r="BR188" s="6">
        <f>IF(+R188-BN188+BP188&gt;0,R188-BN188+BP188,0)</f>
        <v>0</v>
      </c>
      <c r="BS188" s="22"/>
      <c r="BT188" s="6">
        <f>+BN188+BR188</f>
        <v>1097879.92</v>
      </c>
      <c r="BU188" s="22"/>
      <c r="BV188" s="6">
        <f>+R188-BT188</f>
        <v>-597879.91999999993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-592943.07999999996</v>
      </c>
      <c r="BK190" s="103"/>
      <c r="BL190" s="108">
        <f>SUM(BL187:BL189)</f>
        <v>0</v>
      </c>
      <c r="BM190" s="16"/>
      <c r="BN190" s="108">
        <f>SUM(BN187:BN189)</f>
        <v>1097879.92</v>
      </c>
      <c r="BO190" s="16"/>
      <c r="BP190" s="108">
        <f>SUM(BP187:BP189)</f>
        <v>0</v>
      </c>
      <c r="BQ190" s="16"/>
      <c r="BR190" s="108">
        <f>SUM(BR187:BR189)</f>
        <v>0</v>
      </c>
      <c r="BS190" s="16"/>
      <c r="BT190" s="108">
        <f>SUM(BT187:BT189)</f>
        <v>1097879.92</v>
      </c>
      <c r="BU190" s="16"/>
      <c r="BV190" s="108">
        <f>SUM(BV187:BV189)</f>
        <v>-597879.91999999993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80">
        <f>89360+43287.29-4983</f>
        <v>127664.29000000001</v>
      </c>
      <c r="BG200" s="12"/>
      <c r="BH200" s="12">
        <v>13668.55</v>
      </c>
      <c r="BI200" s="12"/>
      <c r="BJ200" s="12">
        <f>100000+19970.47+1900+3870+409.33+200</f>
        <v>126349.8</v>
      </c>
      <c r="BK200" s="12"/>
      <c r="BL200" s="12">
        <v>0</v>
      </c>
      <c r="BM200" s="12"/>
      <c r="BN200" s="12">
        <f t="shared" si="46"/>
        <v>704416.76</v>
      </c>
      <c r="BO200" s="12"/>
      <c r="BP200" s="12">
        <v>0</v>
      </c>
      <c r="BQ200" s="12"/>
      <c r="BR200" s="6">
        <f t="shared" si="47"/>
        <v>0</v>
      </c>
      <c r="BS200" s="12"/>
      <c r="BT200" s="6">
        <f t="shared" si="48"/>
        <v>704416.76</v>
      </c>
      <c r="BU200" s="12"/>
      <c r="BV200" s="6">
        <f t="shared" si="49"/>
        <v>-578651.76</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13668.55</v>
      </c>
      <c r="BI203" s="102">
        <f t="shared" si="50"/>
        <v>0</v>
      </c>
      <c r="BJ203" s="102">
        <f t="shared" si="50"/>
        <v>126349.8</v>
      </c>
      <c r="BK203" s="102">
        <f t="shared" si="50"/>
        <v>0</v>
      </c>
      <c r="BL203" s="102">
        <f t="shared" si="50"/>
        <v>0</v>
      </c>
      <c r="BM203" s="102">
        <f t="shared" si="50"/>
        <v>0</v>
      </c>
      <c r="BN203" s="108">
        <f t="shared" si="50"/>
        <v>1058760.82</v>
      </c>
      <c r="BO203" s="102">
        <f t="shared" si="50"/>
        <v>0</v>
      </c>
      <c r="BP203" s="102">
        <f t="shared" si="50"/>
        <v>0</v>
      </c>
      <c r="BQ203" s="102">
        <f t="shared" si="50"/>
        <v>0</v>
      </c>
      <c r="BR203" s="102">
        <f t="shared" si="50"/>
        <v>143107.12000000002</v>
      </c>
      <c r="BS203" s="102">
        <f t="shared" si="50"/>
        <v>0</v>
      </c>
      <c r="BT203" s="102">
        <f t="shared" si="50"/>
        <v>1201867.9400000002</v>
      </c>
      <c r="BU203" s="102">
        <f t="shared" si="50"/>
        <v>0</v>
      </c>
      <c r="BV203" s="102">
        <f t="shared" si="50"/>
        <v>-801867.94000000006</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76"/>
      <c r="AK206" s="12"/>
      <c r="AL206" s="12">
        <v>14302.18</v>
      </c>
      <c r="AM206" s="12"/>
      <c r="AN206" s="12">
        <v>13885.7</v>
      </c>
      <c r="AO206" s="12"/>
      <c r="AP206" s="12">
        <v>27414.720000000001</v>
      </c>
      <c r="AQ206" s="12"/>
      <c r="AR206" s="12">
        <v>13907.58</v>
      </c>
      <c r="AS206" s="12"/>
      <c r="AT206" s="476"/>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1071160.7461543321</v>
      </c>
      <c r="BA213" s="120">
        <f t="shared" si="52"/>
        <v>0</v>
      </c>
      <c r="BB213" s="120">
        <f t="shared" si="52"/>
        <v>1141447.0200359318</v>
      </c>
      <c r="BC213"/>
      <c r="BD213" s="120">
        <f t="shared" si="52"/>
        <v>1590625.4300000002</v>
      </c>
      <c r="BE213"/>
      <c r="BF213" s="120">
        <f t="shared" si="52"/>
        <v>2600984.0512928553</v>
      </c>
      <c r="BG213" s="120">
        <f t="shared" si="52"/>
        <v>0</v>
      </c>
      <c r="BH213" s="120">
        <f t="shared" si="52"/>
        <v>865756.67000000016</v>
      </c>
      <c r="BI213" s="120">
        <f t="shared" si="52"/>
        <v>0</v>
      </c>
      <c r="BJ213" s="120">
        <f t="shared" si="52"/>
        <v>-302365.18</v>
      </c>
      <c r="BK213" s="120">
        <f t="shared" si="52"/>
        <v>0</v>
      </c>
      <c r="BL213" s="120">
        <f t="shared" si="52"/>
        <v>0</v>
      </c>
      <c r="BM213" s="120">
        <f t="shared" si="52"/>
        <v>0</v>
      </c>
      <c r="BN213" s="120">
        <f t="shared" si="52"/>
        <v>16911908.843667485</v>
      </c>
      <c r="BO213" s="120">
        <f t="shared" si="52"/>
        <v>0</v>
      </c>
      <c r="BP213" s="120">
        <f t="shared" si="52"/>
        <v>-87885</v>
      </c>
      <c r="BQ213" s="120">
        <f t="shared" si="52"/>
        <v>0</v>
      </c>
      <c r="BR213" s="120">
        <f>BR211+BR203+BR194+BR192+BR190+BR184+BR159+BR149+BR142+BR140+BR138+BR136+BR134+BR209</f>
        <v>2767528.8200000003</v>
      </c>
      <c r="BS213" s="120">
        <f t="shared" si="52"/>
        <v>0</v>
      </c>
      <c r="BT213" s="120">
        <f t="shared" si="52"/>
        <v>19679437.663667485</v>
      </c>
      <c r="BU213" s="120">
        <f t="shared" si="52"/>
        <v>0</v>
      </c>
      <c r="BV213" s="120">
        <f>BV211+BV203+BV194+BV192+BV190+BV184+BV159+BV149+BV142+BV140+BV138+BV136+BV134+BV209+BV182</f>
        <v>-3501791.1936674854</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11403531.526154332</v>
      </c>
      <c r="BA219" s="168">
        <f t="shared" si="54"/>
        <v>0</v>
      </c>
      <c r="BB219" s="168">
        <f t="shared" si="54"/>
        <v>12239663.540035931</v>
      </c>
      <c r="BC219"/>
      <c r="BD219" s="168">
        <f t="shared" si="54"/>
        <v>4338594.6500000004</v>
      </c>
      <c r="BE219"/>
      <c r="BF219" s="168">
        <f t="shared" si="54"/>
        <v>17589125.581292856</v>
      </c>
      <c r="BG219" s="168">
        <f t="shared" si="54"/>
        <v>0</v>
      </c>
      <c r="BH219" s="168">
        <f t="shared" si="54"/>
        <v>2171448.37</v>
      </c>
      <c r="BI219" s="168">
        <f t="shared" si="54"/>
        <v>0</v>
      </c>
      <c r="BJ219" s="168">
        <f t="shared" si="54"/>
        <v>-302365.18</v>
      </c>
      <c r="BK219" s="168">
        <f t="shared" si="54"/>
        <v>0</v>
      </c>
      <c r="BL219" s="168">
        <f t="shared" si="54"/>
        <v>0</v>
      </c>
      <c r="BM219" s="168">
        <f t="shared" si="54"/>
        <v>0</v>
      </c>
      <c r="BN219" s="168">
        <f t="shared" si="54"/>
        <v>169964131.21366748</v>
      </c>
      <c r="BO219" s="168">
        <f t="shared" si="54"/>
        <v>0</v>
      </c>
      <c r="BP219" s="168">
        <f t="shared" si="54"/>
        <v>2688770</v>
      </c>
      <c r="BQ219" s="168">
        <f t="shared" si="54"/>
        <v>2030320</v>
      </c>
      <c r="BR219" s="168">
        <f>BR37+BR107+BR97+BR182+BR112+BR213+BR215+BR217</f>
        <v>8492133.0299999975</v>
      </c>
      <c r="BS219" s="168">
        <f t="shared" si="54"/>
        <v>2030320</v>
      </c>
      <c r="BT219" s="168">
        <f t="shared" si="54"/>
        <v>177619264.24366748</v>
      </c>
      <c r="BU219" s="168">
        <f t="shared" si="54"/>
        <v>2030320</v>
      </c>
      <c r="BV219" s="168">
        <f>R219-BT219</f>
        <v>-7044254.2436674833</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74"/>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52" customFormat="1" ht="13.5" thickBot="1">
      <c r="A225" s="162" t="s">
        <v>556</v>
      </c>
      <c r="B225" s="451"/>
      <c r="L225" s="453"/>
      <c r="M225" s="454"/>
      <c r="N225" s="455"/>
      <c r="O225" s="454"/>
      <c r="P225" s="455"/>
      <c r="Q225" s="454"/>
      <c r="R225" s="456">
        <f t="shared" ref="R225:BW225" si="55">R219+R222</f>
        <v>170575010</v>
      </c>
      <c r="S225" s="456">
        <f t="shared" si="55"/>
        <v>0</v>
      </c>
      <c r="T225" s="456">
        <f t="shared" si="55"/>
        <v>0</v>
      </c>
      <c r="U225" s="456">
        <f t="shared" si="55"/>
        <v>0</v>
      </c>
      <c r="V225" s="456">
        <f t="shared" si="55"/>
        <v>0</v>
      </c>
      <c r="W225" s="456">
        <f t="shared" si="55"/>
        <v>0</v>
      </c>
      <c r="X225" s="456">
        <f t="shared" si="55"/>
        <v>0</v>
      </c>
      <c r="Y225" s="456">
        <f t="shared" si="55"/>
        <v>0</v>
      </c>
      <c r="Z225" s="456">
        <f t="shared" si="55"/>
        <v>0</v>
      </c>
      <c r="AA225" s="456">
        <f t="shared" si="55"/>
        <v>0</v>
      </c>
      <c r="AB225" s="456">
        <f t="shared" si="55"/>
        <v>0</v>
      </c>
      <c r="AC225" s="456">
        <f t="shared" si="55"/>
        <v>0</v>
      </c>
      <c r="AD225" s="456">
        <f t="shared" si="55"/>
        <v>0</v>
      </c>
      <c r="AE225" s="456">
        <f t="shared" si="55"/>
        <v>0</v>
      </c>
      <c r="AF225" s="456">
        <f t="shared" si="55"/>
        <v>0</v>
      </c>
      <c r="AG225" s="456">
        <f t="shared" si="55"/>
        <v>0</v>
      </c>
      <c r="AH225" s="456">
        <f t="shared" si="55"/>
        <v>0</v>
      </c>
      <c r="AI225" s="456"/>
      <c r="AJ225" s="456">
        <f t="shared" si="55"/>
        <v>19083.809999999998</v>
      </c>
      <c r="AK225" s="456"/>
      <c r="AL225" s="456">
        <f t="shared" si="55"/>
        <v>93152637.489999995</v>
      </c>
      <c r="AM225" s="456"/>
      <c r="AN225" s="456">
        <f t="shared" si="55"/>
        <v>715387.53999999992</v>
      </c>
      <c r="AO225" s="456"/>
      <c r="AP225" s="456">
        <f t="shared" si="55"/>
        <v>2178269.8126763888</v>
      </c>
      <c r="AQ225" s="456"/>
      <c r="AR225" s="456">
        <f t="shared" si="55"/>
        <v>7520773.7532297745</v>
      </c>
      <c r="AS225" s="456">
        <f t="shared" si="55"/>
        <v>0</v>
      </c>
      <c r="AT225" s="456">
        <f t="shared" si="55"/>
        <v>3024167.3252736586</v>
      </c>
      <c r="AU225" s="456">
        <f t="shared" si="55"/>
        <v>0</v>
      </c>
      <c r="AV225" s="456">
        <f t="shared" si="55"/>
        <v>8287387.2469411138</v>
      </c>
      <c r="AW225" s="456">
        <f t="shared" si="55"/>
        <v>0</v>
      </c>
      <c r="AX225" s="456">
        <f t="shared" si="55"/>
        <v>7624290.748063433</v>
      </c>
      <c r="AY225" s="456">
        <f t="shared" si="55"/>
        <v>0</v>
      </c>
      <c r="AZ225" s="456">
        <f t="shared" si="55"/>
        <v>11403531.526154332</v>
      </c>
      <c r="BA225" s="456">
        <f t="shared" si="55"/>
        <v>0</v>
      </c>
      <c r="BB225" s="456">
        <f t="shared" si="55"/>
        <v>12239663.540035931</v>
      </c>
      <c r="BC225"/>
      <c r="BD225" s="456">
        <f t="shared" si="55"/>
        <v>4338629.6500000004</v>
      </c>
      <c r="BE225"/>
      <c r="BF225" s="456">
        <f t="shared" si="55"/>
        <v>17589324.091292858</v>
      </c>
      <c r="BG225" s="456">
        <f t="shared" si="55"/>
        <v>0</v>
      </c>
      <c r="BH225" s="456">
        <f t="shared" si="55"/>
        <v>2171448.37</v>
      </c>
      <c r="BI225" s="456">
        <f t="shared" si="55"/>
        <v>0</v>
      </c>
      <c r="BJ225" s="456">
        <f t="shared" si="55"/>
        <v>-302365.18</v>
      </c>
      <c r="BK225" s="456">
        <f t="shared" si="55"/>
        <v>0</v>
      </c>
      <c r="BL225" s="456">
        <f t="shared" si="55"/>
        <v>0</v>
      </c>
      <c r="BM225" s="456">
        <f t="shared" si="55"/>
        <v>0</v>
      </c>
      <c r="BN225" s="456">
        <f t="shared" si="55"/>
        <v>169962229.72366747</v>
      </c>
      <c r="BO225" s="456">
        <f t="shared" si="55"/>
        <v>0</v>
      </c>
      <c r="BP225" s="456">
        <f t="shared" si="55"/>
        <v>2688770</v>
      </c>
      <c r="BQ225" s="456">
        <f t="shared" si="55"/>
        <v>2030320</v>
      </c>
      <c r="BR225" s="456">
        <f t="shared" si="55"/>
        <v>8492133.0299999975</v>
      </c>
      <c r="BS225" s="456">
        <f t="shared" si="55"/>
        <v>2030320</v>
      </c>
      <c r="BT225" s="456">
        <f t="shared" si="55"/>
        <v>177617362.75366747</v>
      </c>
      <c r="BU225" s="456">
        <f t="shared" si="55"/>
        <v>2030320</v>
      </c>
      <c r="BV225" s="456">
        <f>BV219+BV222</f>
        <v>-7042352.7536674831</v>
      </c>
      <c r="BW225" s="456">
        <f t="shared" si="55"/>
        <v>0</v>
      </c>
      <c r="BX225" s="457"/>
      <c r="BY225" s="457"/>
      <c r="BZ225" s="457"/>
      <c r="CA225" s="457"/>
      <c r="CB225" s="457"/>
      <c r="CC225" s="457"/>
      <c r="CD225" s="457"/>
      <c r="CE225" s="457"/>
      <c r="CF225" s="457"/>
      <c r="CG225" s="457"/>
      <c r="CH225" s="457"/>
      <c r="CI225" s="457"/>
      <c r="CJ225" s="457"/>
      <c r="CK225" s="457"/>
      <c r="CL225" s="457"/>
      <c r="CM225" s="457"/>
      <c r="CN225" s="457"/>
      <c r="CO225" s="457"/>
      <c r="CP225" s="457"/>
      <c r="CQ225" s="457"/>
      <c r="CR225" s="457"/>
      <c r="CS225" s="457"/>
      <c r="CT225" s="457"/>
      <c r="CU225" s="457"/>
      <c r="CV225" s="457"/>
      <c r="CW225" s="457"/>
      <c r="CX225" s="457"/>
      <c r="CY225" s="457"/>
      <c r="CZ225" s="457"/>
      <c r="DA225" s="457"/>
      <c r="DB225" s="457"/>
      <c r="DC225" s="457"/>
      <c r="DD225" s="457"/>
      <c r="DE225" s="457"/>
      <c r="DF225" s="457"/>
      <c r="DG225" s="457"/>
      <c r="DH225" s="457"/>
      <c r="DI225" s="457"/>
      <c r="DJ225" s="457"/>
      <c r="DK225" s="457"/>
      <c r="DL225" s="457"/>
      <c r="DM225" s="457"/>
      <c r="DN225" s="457"/>
      <c r="DO225" s="457"/>
      <c r="DP225" s="457"/>
      <c r="DQ225" s="457"/>
      <c r="DR225" s="457"/>
      <c r="DS225" s="457"/>
      <c r="DT225" s="457"/>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58" t="s">
        <v>554</v>
      </c>
      <c r="BN228" s="361"/>
    </row>
    <row r="229" spans="1:124" customFormat="1">
      <c r="A229" s="56" t="s">
        <v>288</v>
      </c>
      <c r="BN229" s="361"/>
    </row>
    <row r="230" spans="1:124" customFormat="1">
      <c r="A230" s="58"/>
      <c r="B230" t="s">
        <v>79</v>
      </c>
      <c r="BB230" s="35">
        <v>200000</v>
      </c>
      <c r="BD230">
        <v>685000</v>
      </c>
      <c r="BN230" s="10">
        <f>SUM(T230:BM230)</f>
        <v>885000</v>
      </c>
    </row>
    <row r="231" spans="1:124" customFormat="1">
      <c r="B231" t="s">
        <v>557</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558</v>
      </c>
      <c r="L232" s="49" t="s">
        <v>553</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59">
        <f>SUM(T233:BM233)</f>
        <v>24827.200000000001</v>
      </c>
      <c r="BO233" s="9"/>
      <c r="BP233" s="10">
        <v>0</v>
      </c>
      <c r="BQ233" s="9"/>
      <c r="BR233" s="6">
        <f>IF(+R233-BN233+BP233&gt;0,R233-BN233+BP233,0)</f>
        <v>107914.8</v>
      </c>
      <c r="BS233" s="9"/>
      <c r="BT233" s="459">
        <f>+BN233+BR233</f>
        <v>132742</v>
      </c>
      <c r="BU233" s="9"/>
      <c r="BV233" s="460">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590</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61" t="s">
        <v>555</v>
      </c>
      <c r="B237" s="462"/>
      <c r="C237" s="463"/>
      <c r="D237" s="463"/>
      <c r="E237" s="463"/>
      <c r="F237" s="463"/>
      <c r="G237" s="463"/>
      <c r="H237" s="463"/>
      <c r="I237" s="463"/>
      <c r="J237" s="464"/>
      <c r="K237" s="463"/>
      <c r="L237" s="465"/>
      <c r="M237" s="466"/>
      <c r="N237" s="467"/>
      <c r="O237" s="466"/>
      <c r="P237" s="467"/>
      <c r="Q237" s="466"/>
      <c r="R237" s="468">
        <f>R225+R234</f>
        <v>197201653</v>
      </c>
      <c r="S237" s="468">
        <f t="shared" ref="S237:BW237" si="57">S231+S234</f>
        <v>0</v>
      </c>
      <c r="T237" s="468">
        <f t="shared" si="57"/>
        <v>0</v>
      </c>
      <c r="U237" s="468">
        <f t="shared" si="57"/>
        <v>0</v>
      </c>
      <c r="V237" s="468">
        <f t="shared" si="57"/>
        <v>0</v>
      </c>
      <c r="W237" s="468">
        <f t="shared" si="57"/>
        <v>0</v>
      </c>
      <c r="X237" s="468">
        <f t="shared" si="57"/>
        <v>0</v>
      </c>
      <c r="Y237" s="468">
        <f t="shared" si="57"/>
        <v>0</v>
      </c>
      <c r="Z237" s="468">
        <f t="shared" si="57"/>
        <v>0</v>
      </c>
      <c r="AA237" s="468">
        <f t="shared" si="57"/>
        <v>0</v>
      </c>
      <c r="AB237" s="468">
        <f t="shared" si="57"/>
        <v>0</v>
      </c>
      <c r="AC237" s="468">
        <f t="shared" si="57"/>
        <v>0</v>
      </c>
      <c r="AD237" s="468">
        <f t="shared" si="57"/>
        <v>0</v>
      </c>
      <c r="AE237" s="468">
        <f t="shared" si="57"/>
        <v>0</v>
      </c>
      <c r="AF237" s="468">
        <f t="shared" si="57"/>
        <v>0</v>
      </c>
      <c r="AG237" s="468">
        <f t="shared" si="57"/>
        <v>0</v>
      </c>
      <c r="AH237" s="468">
        <f t="shared" si="57"/>
        <v>0</v>
      </c>
      <c r="AI237" s="468"/>
      <c r="AJ237" s="468">
        <f t="shared" si="57"/>
        <v>0</v>
      </c>
      <c r="AK237" s="468"/>
      <c r="AL237" s="468">
        <f t="shared" si="57"/>
        <v>0</v>
      </c>
      <c r="AM237" s="468"/>
      <c r="AN237" s="468">
        <f t="shared" si="57"/>
        <v>0</v>
      </c>
      <c r="AO237" s="468"/>
      <c r="AP237" s="468">
        <f t="shared" si="57"/>
        <v>0</v>
      </c>
      <c r="AQ237" s="468"/>
      <c r="AR237" s="468">
        <f t="shared" si="57"/>
        <v>0</v>
      </c>
      <c r="AS237" s="468">
        <f t="shared" si="57"/>
        <v>0</v>
      </c>
      <c r="AT237" s="468">
        <f t="shared" si="57"/>
        <v>0</v>
      </c>
      <c r="AU237" s="468">
        <f t="shared" si="57"/>
        <v>0</v>
      </c>
      <c r="AV237" s="468">
        <f t="shared" si="57"/>
        <v>0</v>
      </c>
      <c r="AW237" s="468">
        <f t="shared" si="57"/>
        <v>0</v>
      </c>
      <c r="AX237" s="468">
        <f t="shared" si="57"/>
        <v>0</v>
      </c>
      <c r="AY237" s="468">
        <f t="shared" si="57"/>
        <v>0</v>
      </c>
      <c r="AZ237" s="468">
        <f>AZ225+AZ234</f>
        <v>11403531.526154332</v>
      </c>
      <c r="BA237" s="468">
        <f t="shared" si="57"/>
        <v>0</v>
      </c>
      <c r="BB237" s="468">
        <f>BB225+BB234</f>
        <v>12538176.930035932</v>
      </c>
      <c r="BC237"/>
      <c r="BD237" s="468">
        <f>BD225+BD234</f>
        <v>5023629.6500000004</v>
      </c>
      <c r="BE237"/>
      <c r="BF237" s="468">
        <f t="shared" si="57"/>
        <v>0</v>
      </c>
      <c r="BG237" s="468">
        <f t="shared" si="57"/>
        <v>0</v>
      </c>
      <c r="BH237" s="468">
        <f t="shared" si="57"/>
        <v>0</v>
      </c>
      <c r="BI237" s="468">
        <f t="shared" si="57"/>
        <v>0</v>
      </c>
      <c r="BJ237" s="468">
        <f t="shared" si="57"/>
        <v>0</v>
      </c>
      <c r="BK237" s="468">
        <f t="shared" si="57"/>
        <v>0</v>
      </c>
      <c r="BL237" s="468">
        <f t="shared" si="57"/>
        <v>0</v>
      </c>
      <c r="BM237" s="468">
        <f t="shared" si="57"/>
        <v>0</v>
      </c>
      <c r="BN237" s="468">
        <f>BN225+BN234</f>
        <v>170945743.11366746</v>
      </c>
      <c r="BO237" s="468">
        <f t="shared" si="57"/>
        <v>0</v>
      </c>
      <c r="BP237" s="468">
        <f>BP225+BP234</f>
        <v>2688770</v>
      </c>
      <c r="BQ237" s="468">
        <f t="shared" si="57"/>
        <v>0</v>
      </c>
      <c r="BR237" s="468">
        <f>BR225+BR234</f>
        <v>35020262.640000001</v>
      </c>
      <c r="BS237" s="468">
        <f t="shared" si="57"/>
        <v>0</v>
      </c>
      <c r="BT237" s="468">
        <f>BT225+BT234</f>
        <v>204244005.75366747</v>
      </c>
      <c r="BU237" s="468">
        <f t="shared" si="57"/>
        <v>0</v>
      </c>
      <c r="BV237" s="468">
        <f>BV225+BV234</f>
        <v>-7042352.7536674831</v>
      </c>
      <c r="BW237" s="468">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1"/>
    </row>
    <row r="239" spans="1:124" customFormat="1">
      <c r="L239" s="49"/>
      <c r="BB239" s="35"/>
      <c r="BN239" s="361"/>
    </row>
    <row r="240" spans="1:124" customFormat="1">
      <c r="L240" s="49"/>
      <c r="BB240" s="35"/>
      <c r="BN240" s="361"/>
    </row>
    <row r="241" spans="12:68" customFormat="1" hidden="1">
      <c r="L241" s="49"/>
      <c r="BB241" s="35"/>
      <c r="BF241" t="s">
        <v>574</v>
      </c>
      <c r="BN241" s="361">
        <v>165343590.96000001</v>
      </c>
    </row>
    <row r="242" spans="12:68" customFormat="1" hidden="1">
      <c r="L242" s="49"/>
      <c r="AT242" s="360"/>
      <c r="BB242" s="35"/>
      <c r="BF242" t="s">
        <v>575</v>
      </c>
      <c r="BN242" s="361">
        <v>677253.63</v>
      </c>
    </row>
    <row r="243" spans="12:68" customFormat="1" hidden="1">
      <c r="AT243" s="360"/>
      <c r="BB243" s="35"/>
      <c r="BF243" t="s">
        <v>576</v>
      </c>
      <c r="BN243" s="361">
        <f>BF211</f>
        <v>590762.34129285498</v>
      </c>
    </row>
    <row r="244" spans="12:68" customFormat="1" hidden="1">
      <c r="AT244" s="360"/>
      <c r="BB244" s="35"/>
      <c r="BF244" t="s">
        <v>576</v>
      </c>
      <c r="BN244" s="361"/>
      <c r="BP244" s="362">
        <f>SUM(BN243:BN244)</f>
        <v>590762.34129285498</v>
      </c>
    </row>
    <row r="245" spans="12:68" customFormat="1" hidden="1">
      <c r="AT245" s="360"/>
      <c r="BB245" s="35"/>
      <c r="BF245" t="s">
        <v>577</v>
      </c>
      <c r="BN245" s="360">
        <v>198.51</v>
      </c>
    </row>
    <row r="246" spans="12:68" customFormat="1" hidden="1">
      <c r="BB246" s="35"/>
      <c r="BF246" t="s">
        <v>578</v>
      </c>
      <c r="BN246" s="360">
        <v>35</v>
      </c>
    </row>
    <row r="247" spans="12:68" customFormat="1" hidden="1">
      <c r="BF247" t="s">
        <v>269</v>
      </c>
      <c r="BN247" s="360">
        <f>BN222-BF222-BD222</f>
        <v>-2135</v>
      </c>
    </row>
    <row r="248" spans="12:68" customFormat="1" hidden="1">
      <c r="BF248" t="s">
        <v>586</v>
      </c>
      <c r="BN248" s="360">
        <v>1233742</v>
      </c>
    </row>
    <row r="249" spans="12:68" customFormat="1" hidden="1">
      <c r="BF249" t="s">
        <v>579</v>
      </c>
      <c r="BN249" s="360"/>
    </row>
    <row r="250" spans="12:68" customFormat="1" hidden="1">
      <c r="BF250" t="s">
        <v>584</v>
      </c>
      <c r="BN250" s="360"/>
    </row>
    <row r="251" spans="12:68" customFormat="1" hidden="1">
      <c r="BN251" s="360"/>
    </row>
    <row r="252" spans="12:68" customFormat="1" hidden="1">
      <c r="BN252" s="362">
        <f>SUM(BN241:BN250)</f>
        <v>167843447.44129285</v>
      </c>
    </row>
    <row r="253" spans="12:68" customFormat="1" hidden="1">
      <c r="BF253" t="s">
        <v>573</v>
      </c>
      <c r="BN253" s="38">
        <f>BN225-BN252</f>
        <v>2118782.2823746204</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R255"/>
  <sheetViews>
    <sheetView zoomScale="80" zoomScaleNormal="66" workbookViewId="0">
      <pane xSplit="19" ySplit="7" topLeftCell="BL72" activePane="bottomRight" state="frozen"/>
      <selection activeCell="K13" sqref="K13:K16"/>
      <selection pane="topRight" activeCell="K13" sqref="K13:K16"/>
      <selection pane="bottomLeft" activeCell="K13" sqref="K13:K16"/>
      <selection pane="bottomRight" activeCell="BO103" sqref="BO10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5703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1.42578125" style="6" hidden="1" customWidth="1"/>
    <col min="38" max="38" width="16" style="6" hidden="1" customWidth="1"/>
    <col min="39" max="39" width="1.4257812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- 0731xls.xls]Gleason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36752.660091203703</v>
      </c>
      <c r="BR3" s="23"/>
      <c r="BT3" s="78" t="str">
        <f>Summary!A5</f>
        <v>Revision # 60</v>
      </c>
      <c r="BV3" s="18" t="str">
        <f>Summary!A5</f>
        <v>Revision # 60</v>
      </c>
    </row>
    <row r="4" spans="1:74" s="18" customFormat="1" ht="15.75">
      <c r="A4" s="94"/>
      <c r="B4" s="19">
        <f>Summary!C15</f>
        <v>470</v>
      </c>
      <c r="C4"/>
      <c r="G4" s="67"/>
      <c r="J4" s="469" t="s">
        <v>47</v>
      </c>
      <c r="L4" s="74"/>
      <c r="N4" s="69"/>
      <c r="O4" s="129" t="s">
        <v>559</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08/14/00</v>
      </c>
      <c r="U7" s="96"/>
      <c r="V7" s="82" t="str">
        <f>+Summary!$O$4</f>
        <v xml:space="preserve"> As of 08/14/00</v>
      </c>
      <c r="W7" s="69"/>
      <c r="X7" s="82" t="str">
        <f>+Summary!$O$4</f>
        <v xml:space="preserve"> As of 08/14/00</v>
      </c>
      <c r="Y7" s="69"/>
      <c r="Z7" s="82" t="str">
        <f>+Summary!$O$4</f>
        <v xml:space="preserve"> As of 08/14/00</v>
      </c>
      <c r="AA7" s="69"/>
      <c r="AB7" s="82" t="str">
        <f>+Summary!$O$4</f>
        <v xml:space="preserve"> As of 08/14/00</v>
      </c>
      <c r="AC7" s="69"/>
      <c r="AD7" s="82" t="str">
        <f>+Summary!$O$4</f>
        <v xml:space="preserve"> As of 08/14/00</v>
      </c>
      <c r="AE7" s="69"/>
      <c r="AF7" s="82" t="str">
        <f>+Summary!$O$4</f>
        <v xml:space="preserve"> As of 08/14/00</v>
      </c>
      <c r="AG7" s="69"/>
      <c r="AH7" s="82" t="str">
        <f>+Summary!$O$4</f>
        <v xml:space="preserve"> As of 08/14/00</v>
      </c>
      <c r="AI7" s="69"/>
      <c r="AJ7" s="82" t="str">
        <f>+Summary!$O$4</f>
        <v xml:space="preserve"> As of 08/14/00</v>
      </c>
      <c r="AK7" s="69"/>
      <c r="AL7" s="82" t="str">
        <f>+Summary!$O$4</f>
        <v xml:space="preserve"> As of 08/14/00</v>
      </c>
      <c r="AM7" s="69"/>
      <c r="AN7" s="82" t="str">
        <f>+Summary!$O$4</f>
        <v xml:space="preserve"> As of 08/14/00</v>
      </c>
      <c r="AO7" s="69"/>
      <c r="AP7" s="82" t="str">
        <f>+Summary!$O$4</f>
        <v xml:space="preserve"> As of 08/14/00</v>
      </c>
      <c r="AQ7" s="69"/>
      <c r="AR7" s="82" t="str">
        <f>+Summary!$O$4</f>
        <v xml:space="preserve"> As of 08/14/00</v>
      </c>
      <c r="AS7" s="69"/>
      <c r="AT7" s="82" t="str">
        <f>+Summary!$O$4</f>
        <v xml:space="preserve"> As of 08/14/00</v>
      </c>
      <c r="AU7" s="82"/>
      <c r="AV7" s="82" t="str">
        <f>+Summary!$O$4</f>
        <v xml:space="preserve"> As of 08/14/00</v>
      </c>
      <c r="AW7" s="82"/>
      <c r="AX7" s="82" t="str">
        <f>+Summary!$O$4</f>
        <v xml:space="preserve"> As of 08/14/00</v>
      </c>
      <c r="AY7" s="82"/>
      <c r="AZ7" s="82" t="str">
        <f>+Summary!$O$4</f>
        <v xml:space="preserve"> As of 08/14/00</v>
      </c>
      <c r="BA7" s="82"/>
      <c r="BB7" s="82" t="str">
        <f>+Summary!$O$4</f>
        <v xml:space="preserve"> As of 08/14/00</v>
      </c>
      <c r="BC7" s="82"/>
      <c r="BD7" s="82" t="str">
        <f>+Summary!$O$4</f>
        <v xml:space="preserve"> As of 08/14/00</v>
      </c>
      <c r="BE7" s="82"/>
      <c r="BF7" s="82" t="str">
        <f>+Summary!$O$4</f>
        <v xml:space="preserve"> As of 08/14/00</v>
      </c>
      <c r="BG7" s="82"/>
      <c r="BH7" s="82" t="str">
        <f>+Summary!$O$4</f>
        <v xml:space="preserve"> As of 08/14/00</v>
      </c>
      <c r="BI7" s="82"/>
      <c r="BJ7" s="82" t="str">
        <f>+Summary!$O$4</f>
        <v xml:space="preserve"> As of 08/14/00</v>
      </c>
      <c r="BL7" s="71" t="str">
        <f>+Summary!$O$4</f>
        <v xml:space="preserve"> As of 08/14/00</v>
      </c>
      <c r="BN7" s="64" t="str">
        <f>+Summary!$O$4</f>
        <v xml:space="preserve"> As of 08/14/00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533</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534</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535</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536</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537</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538</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539</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545</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550</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544</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542</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543</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548</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547</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549</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v>1534960</v>
      </c>
      <c r="BG78" s="9"/>
      <c r="BH78" s="9"/>
      <c r="BI78" s="9"/>
      <c r="BJ78" s="9"/>
      <c r="BK78" s="9"/>
      <c r="BL78" s="6">
        <f t="shared" si="13"/>
        <v>1551987</v>
      </c>
      <c r="BM78" s="9"/>
      <c r="BN78" s="6">
        <v>0</v>
      </c>
      <c r="BO78" s="9"/>
      <c r="BP78" s="6">
        <f>IF(+R78-BL78+BN78&gt;0,R78-BL78+BN78,0)</f>
        <v>0</v>
      </c>
      <c r="BQ78" s="6"/>
      <c r="BR78" s="6">
        <f t="shared" si="15"/>
        <v>1551987</v>
      </c>
      <c r="BS78" s="6"/>
      <c r="BT78" s="6">
        <f t="shared" si="16"/>
        <v>-1551987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1534960</v>
      </c>
      <c r="BG80" s="9">
        <f t="shared" si="17"/>
        <v>0</v>
      </c>
      <c r="BH80" s="9">
        <f t="shared" si="17"/>
        <v>0</v>
      </c>
      <c r="BI80" s="9">
        <f t="shared" si="17"/>
        <v>0</v>
      </c>
      <c r="BJ80" s="9">
        <f t="shared" si="17"/>
        <v>0</v>
      </c>
      <c r="BK80" s="9">
        <f t="shared" si="17"/>
        <v>0</v>
      </c>
      <c r="BL80" s="9">
        <f t="shared" si="17"/>
        <v>5618847</v>
      </c>
      <c r="BM80" s="9">
        <f t="shared" si="17"/>
        <v>1171784</v>
      </c>
      <c r="BN80" s="9">
        <f t="shared" si="17"/>
        <v>3777273</v>
      </c>
      <c r="BO80" s="9">
        <f t="shared" si="17"/>
        <v>2643295</v>
      </c>
      <c r="BP80" s="9">
        <f t="shared" si="17"/>
        <v>12041100</v>
      </c>
      <c r="BQ80" s="9">
        <f t="shared" si="17"/>
        <v>5668777</v>
      </c>
      <c r="BR80" s="9">
        <f t="shared" si="17"/>
        <v>17659947</v>
      </c>
      <c r="BS80" s="9">
        <f t="shared" si="17"/>
        <v>12305633</v>
      </c>
      <c r="BT80" s="9">
        <f t="shared" si="17"/>
        <v>-5383044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-46166603+43494000</f>
        <v>-2672603</v>
      </c>
      <c r="BS89" s="6"/>
      <c r="BT89" s="6">
        <f>+R89-BR89</f>
        <v>2672603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1534960</v>
      </c>
      <c r="BG91" s="244">
        <f t="shared" si="21"/>
        <v>0</v>
      </c>
      <c r="BH91" s="244">
        <f t="shared" si="21"/>
        <v>0</v>
      </c>
      <c r="BI91" s="244">
        <f t="shared" si="21"/>
        <v>0</v>
      </c>
      <c r="BJ91" s="244">
        <f t="shared" si="21"/>
        <v>0</v>
      </c>
      <c r="BK91" s="244">
        <f t="shared" si="21"/>
        <v>0</v>
      </c>
      <c r="BL91" s="244">
        <f t="shared" si="21"/>
        <v>42393999.620000005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528</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531</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164872.12</v>
      </c>
      <c r="BH113" s="10"/>
      <c r="BJ113" s="6">
        <v>0</v>
      </c>
      <c r="BK113" s="6"/>
      <c r="BL113" s="6">
        <f>SUM(T113:BK113)</f>
        <v>789494.68</v>
      </c>
      <c r="BM113" s="6"/>
      <c r="BN113" s="6">
        <v>0</v>
      </c>
      <c r="BO113" s="6"/>
      <c r="BP113" s="6">
        <f>+R113-BL113+BN113</f>
        <v>-65708.680000000051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164872.12</v>
      </c>
      <c r="BG115" s="10"/>
      <c r="BH115" s="102">
        <f>SUM(BH112:BH114)</f>
        <v>0</v>
      </c>
      <c r="BI115" s="10"/>
      <c r="BJ115" s="102">
        <f>SUM(BJ112:BJ114)</f>
        <v>0</v>
      </c>
      <c r="BK115" s="9"/>
      <c r="BL115" s="102">
        <f>SUM(BL112:BL114)</f>
        <v>974494.68</v>
      </c>
      <c r="BM115" s="9"/>
      <c r="BN115" s="102">
        <f>SUM(BN112:BN114)</f>
        <v>0</v>
      </c>
      <c r="BO115" s="9"/>
      <c r="BP115" s="102">
        <f>SUM(BP112:BP114)</f>
        <v>-65708.680000000051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12076.23</v>
      </c>
      <c r="BH135" s="6">
        <v>2692.67</v>
      </c>
      <c r="BJ135" s="6">
        <v>0</v>
      </c>
      <c r="BK135" s="6"/>
      <c r="BL135" s="6">
        <f>SUM(T135:BK135)</f>
        <v>463704.2099999999</v>
      </c>
      <c r="BM135" s="6"/>
      <c r="BN135" s="6">
        <v>0</v>
      </c>
      <c r="BO135" s="6"/>
      <c r="BP135" s="6">
        <f>IF(+R135-BL135+BN135&gt;0,R135-BL135+BN135,0)</f>
        <v>0</v>
      </c>
      <c r="BR135" s="6">
        <f>+BL135+BP135</f>
        <v>463704.2099999999</v>
      </c>
      <c r="BT135" s="6">
        <f>+R135-BR135</f>
        <v>-13704.209999999905</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12076.23</v>
      </c>
      <c r="BG137" s="10"/>
      <c r="BH137" s="102">
        <f>SUM(BH133:BH136)</f>
        <v>2692.67</v>
      </c>
      <c r="BI137" s="10"/>
      <c r="BJ137" s="102">
        <f>SUM(BJ133:BJ136)</f>
        <v>0</v>
      </c>
      <c r="BK137" s="9"/>
      <c r="BL137" s="102">
        <f>SUM(BL133:BL136)</f>
        <v>463704.2099999999</v>
      </c>
      <c r="BM137" s="9"/>
      <c r="BN137" s="102">
        <f>SUM(BN133:BN136)</f>
        <v>0</v>
      </c>
      <c r="BO137" s="9"/>
      <c r="BP137" s="102">
        <f>SUM(BP133:BP136)</f>
        <v>0</v>
      </c>
      <c r="BQ137" s="9"/>
      <c r="BR137" s="102">
        <f>SUM(BR133:BR136)</f>
        <v>463704.2099999999</v>
      </c>
      <c r="BS137" s="9"/>
      <c r="BT137" s="102">
        <f>SUM(BT133:BT136)</f>
        <v>-13704.209999999905</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297614.53999999998</v>
      </c>
      <c r="BG139" s="9"/>
      <c r="BH139" s="9">
        <v>8574.67</v>
      </c>
      <c r="BI139" s="9"/>
      <c r="BJ139" s="9">
        <v>0</v>
      </c>
      <c r="BK139" s="9"/>
      <c r="BL139" s="9">
        <f>SUM(T139:BK139)</f>
        <v>360310.25999999995</v>
      </c>
      <c r="BM139" s="9"/>
      <c r="BN139" s="9">
        <v>0</v>
      </c>
      <c r="BO139" s="9"/>
      <c r="BP139" s="6">
        <f>IF(+R139-BL139+BN139&gt;0,R139-BL139+BN139,0)</f>
        <v>4639689.74</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13668.55</v>
      </c>
      <c r="BG157" s="12"/>
      <c r="BH157" s="12">
        <f>32977.26+25000</f>
        <v>57977.26</v>
      </c>
      <c r="BI157" s="12"/>
      <c r="BJ157" s="12">
        <v>0</v>
      </c>
      <c r="BK157" s="12"/>
      <c r="BL157" s="12">
        <f t="shared" si="26"/>
        <v>512185.17999999993</v>
      </c>
      <c r="BM157" s="12"/>
      <c r="BN157" s="12">
        <v>0</v>
      </c>
      <c r="BO157" s="12"/>
      <c r="BP157" s="6">
        <f t="shared" si="27"/>
        <v>0</v>
      </c>
      <c r="BQ157" s="12"/>
      <c r="BR157" s="6">
        <f t="shared" si="28"/>
        <v>512185.17999999993</v>
      </c>
      <c r="BS157" s="12"/>
      <c r="BT157" s="6">
        <f t="shared" si="29"/>
        <v>-292185.17999999993</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13668.55</v>
      </c>
      <c r="BG160" s="102">
        <f t="shared" si="30"/>
        <v>0</v>
      </c>
      <c r="BH160" s="102">
        <f t="shared" si="30"/>
        <v>57977.26</v>
      </c>
      <c r="BI160" s="102">
        <f t="shared" si="30"/>
        <v>0</v>
      </c>
      <c r="BJ160" s="102">
        <f t="shared" si="30"/>
        <v>0</v>
      </c>
      <c r="BK160" s="102">
        <f t="shared" si="30"/>
        <v>0</v>
      </c>
      <c r="BL160" s="102">
        <f t="shared" si="30"/>
        <v>967117.37</v>
      </c>
      <c r="BM160" s="102">
        <f t="shared" si="30"/>
        <v>0</v>
      </c>
      <c r="BN160" s="102">
        <f t="shared" si="30"/>
        <v>159233</v>
      </c>
      <c r="BO160" s="102">
        <f t="shared" si="30"/>
        <v>0</v>
      </c>
      <c r="BP160" s="102">
        <f t="shared" si="30"/>
        <v>88464.700000000012</v>
      </c>
      <c r="BQ160" s="102">
        <f t="shared" si="30"/>
        <v>0</v>
      </c>
      <c r="BR160" s="102">
        <f t="shared" si="30"/>
        <v>1055582.07</v>
      </c>
      <c r="BS160" s="102">
        <f t="shared" si="30"/>
        <v>0</v>
      </c>
      <c r="BT160" s="102">
        <f t="shared" si="30"/>
        <v>-655582.06999999995</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488231.43999999994</v>
      </c>
      <c r="BG171" s="120">
        <f t="shared" si="31"/>
        <v>0</v>
      </c>
      <c r="BH171" s="120">
        <f t="shared" si="31"/>
        <v>69244.600000000006</v>
      </c>
      <c r="BI171" s="120">
        <f t="shared" si="31"/>
        <v>0</v>
      </c>
      <c r="BJ171" s="120">
        <f t="shared" si="31"/>
        <v>0</v>
      </c>
      <c r="BK171" s="120">
        <f t="shared" si="31"/>
        <v>0</v>
      </c>
      <c r="BL171" s="120">
        <f t="shared" si="31"/>
        <v>16813931.29029518</v>
      </c>
      <c r="BM171" s="120">
        <f t="shared" si="31"/>
        <v>0</v>
      </c>
      <c r="BN171" s="120">
        <f t="shared" si="31"/>
        <v>-566984</v>
      </c>
      <c r="BO171" s="120">
        <f t="shared" si="31"/>
        <v>0</v>
      </c>
      <c r="BP171" s="120">
        <f t="shared" si="31"/>
        <v>7773419.1699999999</v>
      </c>
      <c r="BQ171" s="120">
        <f t="shared" si="31"/>
        <v>0</v>
      </c>
      <c r="BR171" s="120">
        <f t="shared" si="31"/>
        <v>24587350.460295182</v>
      </c>
      <c r="BS171" s="120">
        <f t="shared" si="31"/>
        <v>0</v>
      </c>
      <c r="BT171" s="120">
        <f t="shared" si="31"/>
        <v>-1003508.460295183</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2023191.44</v>
      </c>
      <c r="BG176" s="168">
        <f t="shared" si="33"/>
        <v>0</v>
      </c>
      <c r="BH176" s="168">
        <f t="shared" si="33"/>
        <v>69244.600000000006</v>
      </c>
      <c r="BI176" s="168">
        <f t="shared" si="33"/>
        <v>0</v>
      </c>
      <c r="BJ176" s="168">
        <f t="shared" si="33"/>
        <v>0</v>
      </c>
      <c r="BK176" s="168">
        <f t="shared" si="33"/>
        <v>0</v>
      </c>
      <c r="BL176" s="168">
        <f t="shared" si="33"/>
        <v>153568436.36029521</v>
      </c>
      <c r="BM176" s="168">
        <f t="shared" si="33"/>
        <v>3202104</v>
      </c>
      <c r="BN176" s="168">
        <f t="shared" si="33"/>
        <v>6801999</v>
      </c>
      <c r="BO176" s="168">
        <f t="shared" si="33"/>
        <v>4673615</v>
      </c>
      <c r="BP176" s="168">
        <f t="shared" si="33"/>
        <v>11042897.869999981</v>
      </c>
      <c r="BQ176" s="168">
        <f t="shared" si="33"/>
        <v>7699097</v>
      </c>
      <c r="BR176" s="168">
        <f t="shared" si="33"/>
        <v>163076374.16029516</v>
      </c>
      <c r="BS176" s="168">
        <f t="shared" si="33"/>
        <v>14335953</v>
      </c>
      <c r="BT176" s="168">
        <f t="shared" si="33"/>
        <v>-4625126.0602951832</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346971.00885169185</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2023191.44</v>
      </c>
      <c r="BG185" s="10">
        <f t="shared" si="34"/>
        <v>0</v>
      </c>
      <c r="BH185" s="10">
        <f t="shared" si="34"/>
        <v>69244.600000000006</v>
      </c>
      <c r="BI185" s="10">
        <f t="shared" si="34"/>
        <v>0</v>
      </c>
      <c r="BJ185" s="10">
        <f t="shared" si="34"/>
        <v>0</v>
      </c>
      <c r="BK185" s="10">
        <f t="shared" si="34"/>
        <v>0</v>
      </c>
      <c r="BL185" s="10">
        <f t="shared" si="34"/>
        <v>153457214.8702952</v>
      </c>
      <c r="BM185" s="10">
        <f t="shared" si="34"/>
        <v>3202104</v>
      </c>
      <c r="BN185" s="10">
        <f>BN176+BN179+BN181+BN183</f>
        <v>6801999</v>
      </c>
      <c r="BO185" s="10">
        <f t="shared" si="34"/>
        <v>4673615</v>
      </c>
      <c r="BP185" s="10">
        <f t="shared" si="34"/>
        <v>11042797.359999981</v>
      </c>
      <c r="BQ185" s="10">
        <f t="shared" si="34"/>
        <v>7699097</v>
      </c>
      <c r="BR185" s="10">
        <f t="shared" si="34"/>
        <v>162965052.16029516</v>
      </c>
      <c r="BS185" s="10">
        <f t="shared" si="34"/>
        <v>14335953</v>
      </c>
      <c r="BT185" s="10">
        <f t="shared" si="34"/>
        <v>-4625126.0602951832</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2023191.44</v>
      </c>
      <c r="BG198" s="121">
        <f t="shared" si="36"/>
        <v>0</v>
      </c>
      <c r="BH198" s="121">
        <f t="shared" si="36"/>
        <v>69244.600000000006</v>
      </c>
      <c r="BI198" s="121">
        <f t="shared" si="36"/>
        <v>0</v>
      </c>
      <c r="BJ198" s="121">
        <f t="shared" si="36"/>
        <v>0</v>
      </c>
      <c r="BK198" s="121">
        <f t="shared" si="36"/>
        <v>0</v>
      </c>
      <c r="BL198" s="121">
        <f t="shared" si="36"/>
        <v>153583536.36029521</v>
      </c>
      <c r="BM198" s="121">
        <f t="shared" si="36"/>
        <v>3202104</v>
      </c>
      <c r="BN198" s="121">
        <f t="shared" si="36"/>
        <v>6801999</v>
      </c>
      <c r="BO198" s="121">
        <f t="shared" si="36"/>
        <v>4673615</v>
      </c>
      <c r="BP198" s="121">
        <f t="shared" si="36"/>
        <v>11042897.869999981</v>
      </c>
      <c r="BQ198" s="121">
        <f t="shared" si="36"/>
        <v>7699097</v>
      </c>
      <c r="BR198" s="121">
        <f t="shared" si="36"/>
        <v>163091474.16029516</v>
      </c>
      <c r="BS198" s="121">
        <f t="shared" si="36"/>
        <v>14335953</v>
      </c>
      <c r="BT198" s="121">
        <f t="shared" si="36"/>
        <v>-4625126.0602951832</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2023191.44</v>
      </c>
      <c r="BG200" s="121">
        <f t="shared" si="37"/>
        <v>0</v>
      </c>
      <c r="BH200" s="121">
        <f t="shared" si="37"/>
        <v>69244.600000000006</v>
      </c>
      <c r="BI200" s="121">
        <f t="shared" si="37"/>
        <v>0</v>
      </c>
      <c r="BJ200" s="121">
        <f t="shared" si="37"/>
        <v>0</v>
      </c>
      <c r="BK200" s="121">
        <f t="shared" si="37"/>
        <v>0</v>
      </c>
      <c r="BL200" s="121">
        <f t="shared" si="37"/>
        <v>153472314.8702952</v>
      </c>
      <c r="BM200" s="121">
        <f t="shared" si="37"/>
        <v>3202104</v>
      </c>
      <c r="BN200" s="121">
        <f t="shared" si="37"/>
        <v>6801999</v>
      </c>
      <c r="BO200" s="121">
        <f t="shared" si="37"/>
        <v>4673615</v>
      </c>
      <c r="BP200" s="121">
        <f t="shared" si="37"/>
        <v>11042797.359999981</v>
      </c>
      <c r="BQ200" s="121">
        <f t="shared" si="37"/>
        <v>7699097</v>
      </c>
      <c r="BR200" s="121">
        <f t="shared" si="37"/>
        <v>162980152.16029516</v>
      </c>
      <c r="BS200" s="121">
        <f t="shared" si="37"/>
        <v>14335953</v>
      </c>
      <c r="BT200" s="121">
        <f t="shared" si="37"/>
        <v>-4625126.0602951832</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580</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589</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581</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587</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568</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582</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576</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583</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75">
        <f>BL185-BL212</f>
        <v>2092699.1271150112</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5"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2000-08-01T13:41:44Z</cp:lastPrinted>
  <dcterms:created xsi:type="dcterms:W3CDTF">1998-11-04T14:40:39Z</dcterms:created>
  <dcterms:modified xsi:type="dcterms:W3CDTF">2023-09-13T21:42:13Z</dcterms:modified>
</cp:coreProperties>
</file>